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4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2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4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5.xml" ContentType="application/vnd.openxmlformats-officedocument.drawing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6.xml" ContentType="application/vnd.openxmlformats-officedocument.drawing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9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0.xml" ContentType="application/vnd.openxmlformats-officedocument.drawing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31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32.xml" ContentType="application/vnd.openxmlformats-officedocument.drawing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33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34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35.xml" ContentType="application/vnd.openxmlformats-officedocument.drawing+xml"/>
  <Override PartName="/xl/ctrlProps/ctrlProp55.xml" ContentType="application/vnd.ms-excel.controlproperties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36.xml" ContentType="application/vnd.openxmlformats-officedocument.drawing+xml"/>
  <Override PartName="/xl/ctrlProps/ctrlProp56.xml" ContentType="application/vnd.ms-excel.controlproperti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7.xml" ContentType="application/vnd.openxmlformats-officedocument.drawing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38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45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46.xml" ContentType="application/vnd.openxmlformats-officedocument.drawing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47.xml" ContentType="application/vnd.openxmlformats-officedocument.drawing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8.xml" ContentType="application/vnd.openxmlformats-officedocument.drawing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49.xml" ContentType="application/vnd.openxmlformats-officedocument.drawing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filterPrivacy="1" codeName="TämäTyökirja"/>
  <xr:revisionPtr revIDLastSave="0" documentId="8_{4C9901C1-E271-0046-B68F-DD7392350309}" xr6:coauthVersionLast="47" xr6:coauthVersionMax="47" xr10:uidLastSave="{00000000-0000-0000-0000-000000000000}"/>
  <workbookProtection workbookAlgorithmName="SHA-512" workbookHashValue="XnpJFp+v47SnzstNB3qPWt1AdzIag/Hm68g6kFtMCQ3W1yL+YelD8qyyB2id2mAr/miSYJAnJov5Kej5B6lTpw==" workbookSaltValue="ISt/hgDrBaxGo1UHd8QScg==" workbookSpinCount="100000" lockStructure="1"/>
  <bookViews>
    <workbookView xWindow="29600" yWindow="500" windowWidth="35500" windowHeight="20980" tabRatio="942" xr2:uid="{00000000-000D-0000-FFFF-FFFF00000000}"/>
  </bookViews>
  <sheets>
    <sheet name="R-series" sheetId="2" r:id="rId1"/>
    <sheet name="C-selection" sheetId="58" r:id="rId2"/>
    <sheet name="C-series" sheetId="51" r:id="rId3"/>
    <sheet name="C5 validointi" sheetId="63" state="hidden" r:id="rId4"/>
    <sheet name="TuloksetC" sheetId="52" state="hidden" r:id="rId5"/>
    <sheet name="C koodit" sheetId="54" state="hidden" r:id="rId6"/>
    <sheet name="KirjastoC_koodit" sheetId="70" state="hidden" r:id="rId7"/>
    <sheet name="SEC-laskenta_C" sheetId="61" state="hidden" r:id="rId8"/>
    <sheet name="Kojeet ja kennon hyötysuhde_C" sheetId="59" state="hidden" r:id="rId9"/>
    <sheet name="Laskenta tulopuoli C5" sheetId="46" state="hidden" r:id="rId10"/>
    <sheet name="Laskenta poistopuoli C5" sheetId="47" state="hidden" r:id="rId11"/>
    <sheet name="Laskenta vaipan läpi C5" sheetId="48" state="hidden" r:id="rId12"/>
    <sheet name="Laskenta vesipatteri C5" sheetId="49" state="hidden" r:id="rId13"/>
    <sheet name="Laskenta_vuosihyötysuhde_C" sheetId="60" state="hidden" r:id="rId14"/>
    <sheet name="Kirjasto" sheetId="34" state="hidden" r:id="rId15"/>
    <sheet name="KirjastoC" sheetId="53" state="hidden" r:id="rId16"/>
    <sheet name="Tulokset" sheetId="9" state="hidden" r:id="rId17"/>
    <sheet name="SEC-laskenta" sheetId="15" state="hidden" r:id="rId18"/>
    <sheet name="Laskenta tulopuoli 130" sheetId="29" state="hidden" r:id="rId19"/>
    <sheet name="Laskenta poistopuoli 130" sheetId="30" state="hidden" r:id="rId20"/>
    <sheet name="Laskenta vaipan läpi 130" sheetId="31" state="hidden" r:id="rId21"/>
    <sheet name="Laskenta tulopuoli 60" sheetId="3" state="hidden" r:id="rId22"/>
    <sheet name="Laskenta poistopuoli 60" sheetId="1" state="hidden" r:id="rId23"/>
    <sheet name="Laskenta keittiöohitus" sheetId="20" state="hidden" r:id="rId24"/>
    <sheet name="Laskenta vaipan läpi 60" sheetId="4" state="hidden" r:id="rId25"/>
    <sheet name="Laskenta tulopuoli 250" sheetId="25" state="hidden" r:id="rId26"/>
    <sheet name="Laskenta poistopuoli 250" sheetId="26" state="hidden" r:id="rId27"/>
    <sheet name="Laskenta vaipan läpi 250" sheetId="27" state="hidden" r:id="rId28"/>
    <sheet name="Laskenta vesipatteri 250" sheetId="28" state="hidden" r:id="rId29"/>
    <sheet name="Laskenta tulopuoli 350" sheetId="21" state="hidden" r:id="rId30"/>
    <sheet name="Laskenta poistopuoli 350" sheetId="22" state="hidden" r:id="rId31"/>
    <sheet name="Laskenta vaipan läpi 350" sheetId="23" state="hidden" r:id="rId32"/>
    <sheet name="Laskenta tulopuoli 100" sheetId="6" state="hidden" r:id="rId33"/>
    <sheet name="Laskenta poistopuoli 100" sheetId="8" state="hidden" r:id="rId34"/>
    <sheet name="Laskenta vaipan läpi 100" sheetId="7" state="hidden" r:id="rId35"/>
    <sheet name="Laskenta tulopuoli 150" sheetId="10" state="hidden" r:id="rId36"/>
    <sheet name="Laskenta poistopuoli 150" sheetId="14" state="hidden" r:id="rId37"/>
    <sheet name="Laskenta vaipan läpi 150" sheetId="12" state="hidden" r:id="rId38"/>
    <sheet name="SäädataC" sheetId="62" state="hidden" r:id="rId39"/>
    <sheet name="Säädata" sheetId="42" state="hidden" r:id="rId40"/>
    <sheet name="Kojeet ja kennon hyötysuhde" sheetId="19" state="hidden" r:id="rId41"/>
    <sheet name="Laskenta_vuosihyötysuhde" sheetId="35" state="hidden" r:id="rId42"/>
    <sheet name="Kirjasto (maat)" sheetId="38" state="hidden" r:id="rId43"/>
    <sheet name="Kirjasto (kaupungit)" sheetId="39" state="hidden" r:id="rId44"/>
    <sheet name="Syötä maat KIRJASTOLINKIT!" sheetId="40" state="hidden" r:id="rId45"/>
    <sheet name="Syötä kaupungit KIRJASTOLINKIT!" sheetId="41" state="hidden" r:id="rId46"/>
    <sheet name="Syötä pysyvyyskäyrät" sheetId="36" state="hidden" r:id="rId47"/>
    <sheet name="Laskenta vesipatteri 350" sheetId="24" state="hidden" r:id="rId48"/>
    <sheet name="KirjastoC (kaupungit)" sheetId="71" state="hidden" r:id="rId49"/>
    <sheet name="C5 Lämmitys" sheetId="68" state="hidden" r:id="rId50"/>
    <sheet name="C5 Jäähdytys" sheetId="69" state="hidden" r:id="rId51"/>
    <sheet name="C5 LÄM-1" sheetId="64" state="hidden" r:id="rId52"/>
    <sheet name="C5 LÄM-2" sheetId="65" state="hidden" r:id="rId53"/>
    <sheet name="C5 JÄ-1" sheetId="66" state="hidden" r:id="rId54"/>
    <sheet name="C5 JÄ-2" sheetId="67" state="hidden" r:id="rId55"/>
    <sheet name="Muutoslogi" sheetId="5" state="hidden" r:id="rId56"/>
  </sheets>
  <externalReferences>
    <externalReference r:id="rId57"/>
  </externalReferences>
  <definedNames>
    <definedName name="Aluelistaus" localSheetId="1">OFFSET(Säädata!$B$7,Säädata!$D$4,0,Säädata!$E$4,1)</definedName>
    <definedName name="Aluelistaus" localSheetId="38">OFFSET(SäädataC!$B$7,SäädataC!$D$4,0,SäädataC!$E$4,1)</definedName>
    <definedName name="Aluelistaus">OFFSET(Säädata!$B$7,Säädata!$D$4,0,Säädata!$E$4,1)</definedName>
    <definedName name="AluelistausC" localSheetId="1">OFFSET(SäädataC!$B$7,SäädataC!$D$4,0,SäädataC!$E$4,1)</definedName>
    <definedName name="AluelistausC" localSheetId="38">OFFSET(SäädataC!$B$7,SäädataC!$D$4,0,SäädataC!$E$4,1)</definedName>
    <definedName name="AluelistausC">OFFSET(SäädataC!$B$7,SäädataC!$D$4,0,SäädataC!$E$4,1)</definedName>
    <definedName name="Koodi_A">'C koodit'!$A$15:$A$22</definedName>
    <definedName name="Koodi_B">'C koodit'!$B$15:$B$22</definedName>
    <definedName name="Koodi_C">'C koodit'!$C$15:$C$22</definedName>
    <definedName name="Koodi_D">'C koodit'!$D$15:$D$22</definedName>
    <definedName name="Koodi_E">'C koodit'!$E$15:$E$22</definedName>
    <definedName name="Koodi_F">'C koodit'!$F$15:$F$22</definedName>
    <definedName name="Koodi_G">'C koodit'!$G$15:$G$22</definedName>
    <definedName name="Koodi_H">'C koodit'!$H$15:$H$22</definedName>
    <definedName name="Koodi_I">'C koodit'!$I$15:$I$22</definedName>
    <definedName name="Koodi_J">'C koodit'!$J$15:$J$22</definedName>
    <definedName name="Koodi_K">'C koodit'!$K$15:$K$22</definedName>
    <definedName name="Koodi_L">'C koodit'!$L$15:$L$22</definedName>
    <definedName name="Koodi_M">'C koodit'!$M$15:$M$22</definedName>
    <definedName name="Koodi_N">'C koodit'!$N$15:$N$22</definedName>
    <definedName name="Koodi_O">'C koodit'!$O$15:$O$22</definedName>
    <definedName name="Koodi_P">'C koodit'!$P$15:$P$22</definedName>
    <definedName name="Koodi_Q">'C koodit'!$Q$15:$Q$22</definedName>
    <definedName name="Koodi_R">'C koodit'!$R$15:$R$22</definedName>
    <definedName name="Koodi_S">'C koodit'!$S$15:$S$22</definedName>
    <definedName name="Kuntalistaus" localSheetId="1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vatiedosto">INDIRECT('[1]Taul1 (2)'!$B$7)</definedName>
    <definedName name="pohjakuva">INDIRECT('[1]Taul1 (2)'!$C$7)</definedName>
    <definedName name="_xlnm.Print_Area" localSheetId="1">'C-selection'!$C$2:$AH$57,'C-selection'!$AK$2:$AL$24</definedName>
    <definedName name="_xlnm.Print_Area" localSheetId="2">'C-series'!$B$2:$O$74,'C-series'!$Q$2:$AD$74,'C-series'!$B$80:$O$127,'C-series'!$AF$2:$AG$24</definedName>
    <definedName name="_xlnm.Print_Area" localSheetId="0">'R-series'!$B$2:$O$78,'R-series'!$Q$2:$AD$73,'R-series'!$B$81:$O$102</definedName>
    <definedName name="Valikko_A">'C koodit'!$A$2:$A$2</definedName>
    <definedName name="Valikko_B">'C koodit'!$B$2:$B$4</definedName>
    <definedName name="Valikko_C">'C koodit'!$C$2:$C$3</definedName>
    <definedName name="Valikko_D">'C koodit'!$D$2:$D$3</definedName>
    <definedName name="Valikko_E">'C koodit'!$E$2:$E$4</definedName>
    <definedName name="Valikko_F">'C koodit'!$F$2:$F$4</definedName>
    <definedName name="Valikko_G">'C koodit'!$G$2:$G$5</definedName>
    <definedName name="Valikko_H">'C koodit'!$H$2:$H$4</definedName>
    <definedName name="Valikko_I">'C koodit'!$I$2:$I$5</definedName>
    <definedName name="Valikko_J">'C koodit'!$J$2:$J$4</definedName>
    <definedName name="Valikko_K">'C koodit'!$K$2:$K$5</definedName>
    <definedName name="Valikko_L">'C koodit'!$L$2:$L$3</definedName>
    <definedName name="Valikko_M">'C koodit'!$M$2:$M$3</definedName>
    <definedName name="Valikko_N">'C koodit'!$N$2:$N$9</definedName>
    <definedName name="Valikko_O">'C koodit'!$O$2:$O$6</definedName>
    <definedName name="Valikko_P">'C koodit'!$P$2:$P$4</definedName>
    <definedName name="Valikko_Q">'C koodit'!$Q$2:$Q$3</definedName>
    <definedName name="Valikko_R">'C koodit'!$R$2:$R$6</definedName>
    <definedName name="Valikko_S">'C koodit'!$S$2:$S$4</definedName>
    <definedName name="Valtiolistaus" localSheetId="1">INDIRECT("'"&amp;'Syötä maat KIRJASTOLINKIT!'!$A$1&amp;"'!$B$2:$B$"&amp;COUNTA('Syötä maat KIRJASTOLINKIT!'!$B$2:$B$26)+2-1)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7" i="2" l="1" a="1"/>
  <c r="U17" i="2" s="1"/>
  <c r="U18" i="51" a="1"/>
  <c r="U18" i="51" s="1"/>
  <c r="B4" i="71"/>
  <c r="B16" i="62" s="1" a="1"/>
  <c r="B16" i="62" s="1"/>
  <c r="B1" i="71" a="1"/>
  <c r="B1" i="71" s="1"/>
  <c r="B4" i="39"/>
  <c r="M74" i="69" a="1"/>
  <c r="M74" i="69" s="1"/>
  <c r="N88" i="69" s="1"/>
  <c r="M73" i="69" a="1"/>
  <c r="M73" i="69" s="1"/>
  <c r="N87" i="69" s="1"/>
  <c r="M72" i="69" a="1"/>
  <c r="M72" i="69" s="1"/>
  <c r="N83" i="69" s="1"/>
  <c r="M71" i="69" a="1"/>
  <c r="M71" i="69" s="1"/>
  <c r="N82" i="69" s="1"/>
  <c r="M70" i="69" a="1"/>
  <c r="M70" i="69" s="1"/>
  <c r="M56" i="68" a="1"/>
  <c r="M56" i="68" s="1"/>
  <c r="N70" i="68" s="1"/>
  <c r="M55" i="68" a="1"/>
  <c r="M55" i="68" s="1"/>
  <c r="N69" i="68" s="1"/>
  <c r="M54" i="68" a="1"/>
  <c r="M54" i="68" s="1"/>
  <c r="N65" i="68" s="1"/>
  <c r="M53" i="68" a="1"/>
  <c r="M53" i="68" s="1"/>
  <c r="N64" i="68" s="1"/>
  <c r="M52" i="68" a="1"/>
  <c r="M52" i="68" s="1"/>
  <c r="N68" i="68" s="1"/>
  <c r="H81" i="51" a="1"/>
  <c r="H81" i="51" s="1"/>
  <c r="H106" i="51" s="1"/>
  <c r="H119" i="51" a="1"/>
  <c r="H119" i="51" s="1"/>
  <c r="H111" i="51" a="1"/>
  <c r="H111" i="51" s="1"/>
  <c r="C119" i="51" a="1"/>
  <c r="C119" i="51" s="1"/>
  <c r="C118" i="51" a="1"/>
  <c r="C118" i="51" s="1"/>
  <c r="C112" i="51" a="1"/>
  <c r="C112" i="51" s="1"/>
  <c r="C106" i="51" a="1"/>
  <c r="C106" i="51" s="1"/>
  <c r="H123" i="51"/>
  <c r="H94" i="51" a="1"/>
  <c r="H94" i="51" s="1"/>
  <c r="H102" i="51" s="1"/>
  <c r="H93" i="51" a="1"/>
  <c r="H93" i="51" s="1"/>
  <c r="H101" i="51" s="1"/>
  <c r="H92" i="51" a="1"/>
  <c r="H92" i="51" s="1"/>
  <c r="H100" i="51" s="1"/>
  <c r="H91" i="51" a="1"/>
  <c r="H91" i="51" s="1"/>
  <c r="H99" i="51" s="1"/>
  <c r="H90" i="51" a="1"/>
  <c r="H90" i="51" s="1"/>
  <c r="H98" i="51" s="1"/>
  <c r="H89" i="51" a="1"/>
  <c r="H89" i="51" s="1"/>
  <c r="H97" i="51" s="1"/>
  <c r="H96" i="51" a="1"/>
  <c r="H96" i="51" s="1"/>
  <c r="H88" i="51" a="1"/>
  <c r="H88" i="51" s="1"/>
  <c r="C94" i="51" a="1"/>
  <c r="C94" i="51" s="1"/>
  <c r="C93" i="51" a="1"/>
  <c r="C93" i="51" s="1"/>
  <c r="C117" i="51" s="1"/>
  <c r="C91" i="51" a="1"/>
  <c r="C91" i="51" s="1"/>
  <c r="C115" i="51" s="1"/>
  <c r="C90" i="51" a="1"/>
  <c r="C90" i="51" s="1"/>
  <c r="C114" i="51" s="1"/>
  <c r="C89" i="51" a="1"/>
  <c r="C89" i="51" s="1"/>
  <c r="C113" i="51" s="1"/>
  <c r="C88" i="51" a="1"/>
  <c r="C88" i="51" s="1"/>
  <c r="C111" i="51" s="1"/>
  <c r="C87" i="51" a="1"/>
  <c r="C87" i="51" s="1"/>
  <c r="C110" i="51" s="1"/>
  <c r="C86" i="51" a="1"/>
  <c r="C86" i="51" s="1"/>
  <c r="C109" i="51" s="1"/>
  <c r="C81" i="51" a="1"/>
  <c r="C81" i="51" s="1"/>
  <c r="C83" i="51" a="1"/>
  <c r="C83" i="51" s="1"/>
  <c r="AK4" i="58" a="1"/>
  <c r="AK4" i="58" s="1"/>
  <c r="AF4" i="51" s="1"/>
  <c r="E8" i="51" s="1"/>
  <c r="AK5" i="58" a="1"/>
  <c r="AK5" i="58" s="1"/>
  <c r="AF5" i="51" s="1"/>
  <c r="AK2" i="58" a="1"/>
  <c r="AK2" i="58" s="1"/>
  <c r="AF2" i="51" s="1"/>
  <c r="E55" i="58" a="1"/>
  <c r="E55" i="58" s="1"/>
  <c r="E53" i="58" a="1"/>
  <c r="E53" i="58" s="1"/>
  <c r="E51" i="58" a="1"/>
  <c r="E51" i="58" s="1"/>
  <c r="E48" i="58" a="1"/>
  <c r="E48" i="58" s="1"/>
  <c r="E46" i="58" a="1"/>
  <c r="E46" i="58" s="1"/>
  <c r="E44" i="58" a="1"/>
  <c r="E44" i="58" s="1"/>
  <c r="E42" i="58" a="1"/>
  <c r="E42" i="58" s="1"/>
  <c r="E40" i="58" a="1"/>
  <c r="E40" i="58" s="1"/>
  <c r="E38" i="58" a="1"/>
  <c r="E38" i="58" s="1"/>
  <c r="E35" i="58" a="1"/>
  <c r="E35" i="58" s="1"/>
  <c r="E33" i="58" a="1"/>
  <c r="E33" i="58" s="1"/>
  <c r="E31" i="58" a="1"/>
  <c r="E31" i="58" s="1"/>
  <c r="E29" i="58" a="1"/>
  <c r="E29" i="58" s="1"/>
  <c r="E26" i="58" a="1"/>
  <c r="E26" i="58" s="1"/>
  <c r="E24" i="58" a="1"/>
  <c r="E24" i="58" s="1"/>
  <c r="E21" i="58" a="1"/>
  <c r="E21" i="58" s="1"/>
  <c r="E19" i="58" a="1"/>
  <c r="E19" i="58" s="1"/>
  <c r="E17" i="58" a="1"/>
  <c r="E17" i="58" s="1"/>
  <c r="E15" i="58" a="1"/>
  <c r="E15" i="58" s="1"/>
  <c r="X10" i="58" a="1"/>
  <c r="X10" i="58" s="1"/>
  <c r="R10" i="58" a="1"/>
  <c r="R10" i="58" s="1"/>
  <c r="N10" i="58" a="1"/>
  <c r="N10" i="58" s="1"/>
  <c r="L10" i="58" a="1"/>
  <c r="L10" i="58" s="1"/>
  <c r="H10" i="58" a="1"/>
  <c r="H10" i="58" s="1"/>
  <c r="E50" i="58" a="1"/>
  <c r="E50" i="58" s="1"/>
  <c r="E37" i="58" a="1"/>
  <c r="E37" i="58" s="1"/>
  <c r="E28" i="58" a="1"/>
  <c r="E28" i="58" s="1"/>
  <c r="E23" i="58" a="1"/>
  <c r="E23" i="58" s="1"/>
  <c r="E14" i="58" a="1"/>
  <c r="E14" i="58" s="1"/>
  <c r="E12" i="58" a="1"/>
  <c r="E12" i="58" s="1"/>
  <c r="E10" i="58" a="1"/>
  <c r="E10" i="58" s="1"/>
  <c r="E7" i="58" a="1"/>
  <c r="E7" i="58" s="1"/>
  <c r="E6" i="58" a="1"/>
  <c r="E6" i="58" s="1"/>
  <c r="E4" i="58" a="1"/>
  <c r="E4" i="58" s="1"/>
  <c r="E3" i="58" a="1"/>
  <c r="E3" i="58" s="1"/>
  <c r="W5" i="70"/>
  <c r="A30" i="54" s="1"/>
  <c r="W6" i="70"/>
  <c r="A31" i="54" s="1"/>
  <c r="Y6" i="70"/>
  <c r="C31" i="54" s="1"/>
  <c r="Z6" i="70"/>
  <c r="D31" i="54" s="1"/>
  <c r="AH6" i="70"/>
  <c r="L31" i="54" s="1"/>
  <c r="AI6" i="70"/>
  <c r="M31" i="54" s="1"/>
  <c r="AM6" i="70"/>
  <c r="Q31" i="54" s="1"/>
  <c r="W7" i="70"/>
  <c r="A32" i="54" s="1"/>
  <c r="X7" i="70"/>
  <c r="B32" i="54" s="1"/>
  <c r="Y7" i="70"/>
  <c r="C32" i="54" s="1"/>
  <c r="Z7" i="70"/>
  <c r="D32" i="54" s="1"/>
  <c r="AA7" i="70"/>
  <c r="E32" i="54" s="1"/>
  <c r="AB7" i="70"/>
  <c r="F32" i="54" s="1"/>
  <c r="AH7" i="70"/>
  <c r="L32" i="54" s="1"/>
  <c r="AI7" i="70"/>
  <c r="M32" i="54" s="1"/>
  <c r="AL7" i="70"/>
  <c r="P32" i="54" s="1"/>
  <c r="AM7" i="70"/>
  <c r="Q32" i="54" s="1"/>
  <c r="AO7" i="70"/>
  <c r="S32" i="54" s="1"/>
  <c r="W8" i="70"/>
  <c r="A33" i="54" s="1"/>
  <c r="X8" i="70"/>
  <c r="B33" i="54" s="1"/>
  <c r="Y8" i="70"/>
  <c r="C33" i="54" s="1"/>
  <c r="Z8" i="70"/>
  <c r="D33" i="54" s="1"/>
  <c r="AA8" i="70"/>
  <c r="E33" i="54" s="1"/>
  <c r="AB8" i="70"/>
  <c r="F33" i="54" s="1"/>
  <c r="AC8" i="70"/>
  <c r="G33" i="54" s="1"/>
  <c r="AE8" i="70"/>
  <c r="I33" i="54" s="1"/>
  <c r="AG8" i="70"/>
  <c r="K33" i="54" s="1"/>
  <c r="AH8" i="70"/>
  <c r="L33" i="54" s="1"/>
  <c r="AI8" i="70"/>
  <c r="M33" i="54" s="1"/>
  <c r="AL8" i="70"/>
  <c r="P33" i="54" s="1"/>
  <c r="AM8" i="70"/>
  <c r="Q33" i="54" s="1"/>
  <c r="AO8" i="70"/>
  <c r="S33" i="54" s="1"/>
  <c r="W9" i="70"/>
  <c r="A34" i="54" s="1"/>
  <c r="X9" i="70"/>
  <c r="B34" i="54" s="1"/>
  <c r="Y9" i="70"/>
  <c r="C34" i="54" s="1"/>
  <c r="Z9" i="70"/>
  <c r="D34" i="54" s="1"/>
  <c r="AA9" i="70"/>
  <c r="E34" i="54" s="1"/>
  <c r="AB9" i="70"/>
  <c r="F34" i="54" s="1"/>
  <c r="AC9" i="70"/>
  <c r="G34" i="54" s="1"/>
  <c r="AE9" i="70"/>
  <c r="I34" i="54" s="1"/>
  <c r="AF9" i="70"/>
  <c r="J34" i="54" s="1"/>
  <c r="AG9" i="70"/>
  <c r="K34" i="54" s="1"/>
  <c r="AH9" i="70"/>
  <c r="L34" i="54" s="1"/>
  <c r="AI9" i="70"/>
  <c r="M34" i="54" s="1"/>
  <c r="AK9" i="70"/>
  <c r="O34" i="54" s="1"/>
  <c r="AL9" i="70"/>
  <c r="P34" i="54" s="1"/>
  <c r="AM9" i="70"/>
  <c r="Q34" i="54" s="1"/>
  <c r="AN9" i="70"/>
  <c r="R34" i="54" s="1"/>
  <c r="AO9" i="70"/>
  <c r="S34" i="54" s="1"/>
  <c r="W10" i="70"/>
  <c r="A35" i="54" s="1"/>
  <c r="X10" i="70"/>
  <c r="B35" i="54" s="1"/>
  <c r="Y10" i="70"/>
  <c r="C35" i="54" s="1"/>
  <c r="Z10" i="70"/>
  <c r="D35" i="54" s="1"/>
  <c r="AA10" i="70"/>
  <c r="E35" i="54" s="1"/>
  <c r="AB10" i="70"/>
  <c r="F35" i="54" s="1"/>
  <c r="AC10" i="70"/>
  <c r="G35" i="54" s="1"/>
  <c r="AD10" i="70"/>
  <c r="H35" i="54" s="1"/>
  <c r="AE10" i="70"/>
  <c r="I35" i="54" s="1"/>
  <c r="AF10" i="70"/>
  <c r="J35" i="54" s="1"/>
  <c r="AG10" i="70"/>
  <c r="K35" i="54" s="1"/>
  <c r="AH10" i="70"/>
  <c r="L35" i="54" s="1"/>
  <c r="AI10" i="70"/>
  <c r="M35" i="54" s="1"/>
  <c r="AK10" i="70"/>
  <c r="O35" i="54" s="1"/>
  <c r="AL10" i="70"/>
  <c r="P35" i="54" s="1"/>
  <c r="AM10" i="70"/>
  <c r="Q35" i="54" s="1"/>
  <c r="AN10" i="70"/>
  <c r="R35" i="54" s="1"/>
  <c r="AO10" i="70"/>
  <c r="S35" i="54" s="1"/>
  <c r="W11" i="70"/>
  <c r="A36" i="54" s="1"/>
  <c r="X11" i="70"/>
  <c r="B36" i="54" s="1"/>
  <c r="Y11" i="70"/>
  <c r="C36" i="54" s="1"/>
  <c r="Z11" i="70"/>
  <c r="D36" i="54" s="1"/>
  <c r="AA11" i="70"/>
  <c r="E36" i="54" s="1"/>
  <c r="AB11" i="70"/>
  <c r="F36" i="54" s="1"/>
  <c r="AC11" i="70"/>
  <c r="G36" i="54" s="1"/>
  <c r="AD11" i="70"/>
  <c r="H36" i="54" s="1"/>
  <c r="AE11" i="70"/>
  <c r="I36" i="54" s="1"/>
  <c r="AF11" i="70"/>
  <c r="J36" i="54" s="1"/>
  <c r="AG11" i="70"/>
  <c r="K36" i="54" s="1"/>
  <c r="AH11" i="70"/>
  <c r="L36" i="54" s="1"/>
  <c r="AI11" i="70"/>
  <c r="M36" i="54" s="1"/>
  <c r="AK11" i="70"/>
  <c r="O36" i="54" s="1"/>
  <c r="AL11" i="70"/>
  <c r="P36" i="54" s="1"/>
  <c r="AM11" i="70"/>
  <c r="Q36" i="54" s="1"/>
  <c r="AN11" i="70"/>
  <c r="R36" i="54" s="1"/>
  <c r="AO11" i="70"/>
  <c r="S36" i="54" s="1"/>
  <c r="C1" i="70"/>
  <c r="AF5" i="70" s="1"/>
  <c r="J30" i="54" s="1"/>
  <c r="J52" i="54" s="1"/>
  <c r="E47" i="65"/>
  <c r="F47" i="65"/>
  <c r="G47" i="65"/>
  <c r="H47" i="65"/>
  <c r="I47" i="65"/>
  <c r="J47" i="65"/>
  <c r="K47" i="65"/>
  <c r="L47" i="65"/>
  <c r="M47" i="65"/>
  <c r="N47" i="65"/>
  <c r="D47" i="65"/>
  <c r="E47" i="64"/>
  <c r="F47" i="64"/>
  <c r="G47" i="64"/>
  <c r="H47" i="64"/>
  <c r="I47" i="64"/>
  <c r="J47" i="64"/>
  <c r="K47" i="64"/>
  <c r="L47" i="64"/>
  <c r="M47" i="64"/>
  <c r="N47" i="64"/>
  <c r="D47" i="64"/>
  <c r="BM89" i="46"/>
  <c r="BM90" i="46"/>
  <c r="BM91" i="46"/>
  <c r="BM92" i="46"/>
  <c r="BM93" i="46"/>
  <c r="BM94" i="46"/>
  <c r="BM95" i="46"/>
  <c r="BM88" i="46"/>
  <c r="BR89" i="46"/>
  <c r="BR90" i="46"/>
  <c r="BR91" i="46"/>
  <c r="BR92" i="46"/>
  <c r="BR93" i="46"/>
  <c r="BR94" i="46"/>
  <c r="BR95" i="46"/>
  <c r="BR88" i="46"/>
  <c r="BO89" i="46"/>
  <c r="BO90" i="46"/>
  <c r="BO91" i="46"/>
  <c r="BO92" i="46"/>
  <c r="BO93" i="46"/>
  <c r="BO94" i="46"/>
  <c r="BO95" i="46"/>
  <c r="BO88" i="46"/>
  <c r="BK89" i="46"/>
  <c r="BK90" i="46"/>
  <c r="BK91" i="46"/>
  <c r="BK92" i="46"/>
  <c r="BK93" i="46"/>
  <c r="BK94" i="46"/>
  <c r="BK95" i="46"/>
  <c r="BK88" i="46"/>
  <c r="BQ83" i="46"/>
  <c r="BP83" i="46"/>
  <c r="BN83" i="46"/>
  <c r="BM83" i="46"/>
  <c r="BJ89" i="46" s="1"/>
  <c r="BQ89" i="46" s="1"/>
  <c r="BI89" i="46"/>
  <c r="BI90" i="46"/>
  <c r="BI91" i="46"/>
  <c r="BI92" i="46"/>
  <c r="BI93" i="46"/>
  <c r="BI94" i="46"/>
  <c r="BI95" i="46"/>
  <c r="BI88" i="46"/>
  <c r="BH89" i="46"/>
  <c r="BH90" i="46"/>
  <c r="BH91" i="46"/>
  <c r="BH92" i="46"/>
  <c r="BH93" i="46"/>
  <c r="BH94" i="46"/>
  <c r="BH95" i="46"/>
  <c r="BH88" i="46"/>
  <c r="BK83" i="46"/>
  <c r="BJ83" i="46"/>
  <c r="BH83" i="46"/>
  <c r="BG83" i="46"/>
  <c r="AF74" i="67"/>
  <c r="AD74" i="67" a="1"/>
  <c r="AD74" i="67" s="1"/>
  <c r="AE74" i="67"/>
  <c r="AF74" i="66"/>
  <c r="AD74" i="66" a="1"/>
  <c r="AD74" i="66" s="1"/>
  <c r="S64" i="65"/>
  <c r="Q64" i="65" a="1"/>
  <c r="Q64" i="65" s="1"/>
  <c r="E22" i="69"/>
  <c r="X90" i="67" s="1"/>
  <c r="AI102" i="67" s="1"/>
  <c r="E21" i="69"/>
  <c r="X89" i="67" s="1"/>
  <c r="AI101" i="67" s="1"/>
  <c r="E16" i="69"/>
  <c r="X86" i="67" s="1"/>
  <c r="AC86" i="67" s="1"/>
  <c r="E15" i="69"/>
  <c r="Z85" i="67" s="1"/>
  <c r="E14" i="69"/>
  <c r="X85" i="67" s="1"/>
  <c r="AC85" i="67" s="1"/>
  <c r="J42" i="69"/>
  <c r="E42" i="69"/>
  <c r="E20" i="68"/>
  <c r="U26" i="68" s="1"/>
  <c r="E19" i="68"/>
  <c r="E15" i="68"/>
  <c r="I15" i="68" s="1"/>
  <c r="E14" i="68"/>
  <c r="S64" i="64"/>
  <c r="Q64" i="64" a="1"/>
  <c r="Q64" i="64" s="1"/>
  <c r="J35" i="68"/>
  <c r="E35" i="68"/>
  <c r="AI112" i="67"/>
  <c r="AC112" i="67"/>
  <c r="X112" i="67"/>
  <c r="O110" i="67"/>
  <c r="O116" i="67" s="1"/>
  <c r="E108" i="67"/>
  <c r="E107" i="67"/>
  <c r="E106" i="67"/>
  <c r="O104" i="67"/>
  <c r="H100" i="67"/>
  <c r="D100" i="67"/>
  <c r="H99" i="67"/>
  <c r="G99" i="67"/>
  <c r="D99" i="67"/>
  <c r="H98" i="67"/>
  <c r="G98" i="67"/>
  <c r="D98" i="67"/>
  <c r="H97" i="67"/>
  <c r="D97" i="67"/>
  <c r="O106" i="67" s="1"/>
  <c r="O112" i="67" s="1"/>
  <c r="O118" i="67" s="1"/>
  <c r="H93" i="67"/>
  <c r="E93" i="67"/>
  <c r="D93" i="67"/>
  <c r="H92" i="67"/>
  <c r="D92" i="67"/>
  <c r="H91" i="67"/>
  <c r="D91" i="67"/>
  <c r="H90" i="67"/>
  <c r="E90" i="67"/>
  <c r="D90" i="67"/>
  <c r="O105" i="67" s="1"/>
  <c r="O111" i="67" s="1"/>
  <c r="O117" i="67" s="1"/>
  <c r="H86" i="67"/>
  <c r="G86" i="67"/>
  <c r="E86" i="67"/>
  <c r="D86" i="67"/>
  <c r="H85" i="67"/>
  <c r="D85" i="67"/>
  <c r="H84" i="67"/>
  <c r="G84" i="67"/>
  <c r="D84" i="67"/>
  <c r="H83" i="67"/>
  <c r="E83" i="67"/>
  <c r="D83" i="67"/>
  <c r="O78" i="67"/>
  <c r="N78" i="67"/>
  <c r="M78" i="67"/>
  <c r="M72" i="67" s="1"/>
  <c r="AL22" i="67" s="1"/>
  <c r="AL23" i="67" s="1"/>
  <c r="L78" i="67"/>
  <c r="J78" i="67"/>
  <c r="J72" i="67" s="1"/>
  <c r="AI22" i="67" s="1"/>
  <c r="AI23" i="67" s="1"/>
  <c r="E78" i="67"/>
  <c r="M77" i="67"/>
  <c r="L77" i="67"/>
  <c r="K77" i="67"/>
  <c r="J77" i="67"/>
  <c r="H77" i="67"/>
  <c r="D77" i="67"/>
  <c r="Q76" i="67"/>
  <c r="Q77" i="67" s="1"/>
  <c r="P76" i="67"/>
  <c r="P77" i="67" s="1"/>
  <c r="O76" i="67"/>
  <c r="O77" i="67" s="1"/>
  <c r="O72" i="67" s="1"/>
  <c r="AN22" i="67" s="1"/>
  <c r="N76" i="67"/>
  <c r="N77" i="67" s="1"/>
  <c r="N72" i="67" s="1"/>
  <c r="AM22" i="67" s="1"/>
  <c r="AM23" i="67" s="1"/>
  <c r="M76" i="67"/>
  <c r="L76" i="67"/>
  <c r="K76" i="67"/>
  <c r="K78" i="67" s="1"/>
  <c r="K72" i="67" s="1"/>
  <c r="AJ22" i="67" s="1"/>
  <c r="J76" i="67"/>
  <c r="I76" i="67"/>
  <c r="I78" i="67" s="1"/>
  <c r="H76" i="67"/>
  <c r="H78" i="67" s="1"/>
  <c r="G76" i="67"/>
  <c r="G77" i="67" s="1"/>
  <c r="F76" i="67"/>
  <c r="E76" i="67"/>
  <c r="E77" i="67" s="1"/>
  <c r="E72" i="67" s="1"/>
  <c r="AD22" i="67" s="1"/>
  <c r="AD23" i="67" s="1"/>
  <c r="D76" i="67"/>
  <c r="D78" i="67" s="1"/>
  <c r="D72" i="67" s="1"/>
  <c r="AC22" i="67" s="1"/>
  <c r="AC23" i="67" s="1"/>
  <c r="AK74" i="67" a="1"/>
  <c r="AL74" i="67" s="1"/>
  <c r="AM74" i="67" s="1"/>
  <c r="L72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Q69" i="67"/>
  <c r="E85" i="67" s="1"/>
  <c r="P69" i="67"/>
  <c r="E92" i="67" s="1"/>
  <c r="O69" i="67"/>
  <c r="E99" i="67" s="1"/>
  <c r="N69" i="67"/>
  <c r="M69" i="67"/>
  <c r="L69" i="67"/>
  <c r="E100" i="67" s="1"/>
  <c r="K69" i="67"/>
  <c r="J69" i="67"/>
  <c r="I69" i="67"/>
  <c r="E97" i="67" s="1"/>
  <c r="H69" i="67"/>
  <c r="G69" i="67"/>
  <c r="E84" i="67" s="1"/>
  <c r="F69" i="67"/>
  <c r="E91" i="67" s="1"/>
  <c r="E69" i="67"/>
  <c r="D69" i="67"/>
  <c r="M68" i="67"/>
  <c r="F93" i="67" s="1"/>
  <c r="L68" i="67"/>
  <c r="F100" i="67" s="1"/>
  <c r="G68" i="67"/>
  <c r="F84" i="67" s="1"/>
  <c r="F68" i="67"/>
  <c r="F91" i="67" s="1"/>
  <c r="E68" i="67"/>
  <c r="D68" i="67"/>
  <c r="Q67" i="67"/>
  <c r="P67" i="67"/>
  <c r="O67" i="67"/>
  <c r="N67" i="67"/>
  <c r="M67" i="67"/>
  <c r="L67" i="67"/>
  <c r="K67" i="67"/>
  <c r="K68" i="67" s="1"/>
  <c r="F83" i="67" s="1"/>
  <c r="J67" i="67"/>
  <c r="I67" i="67"/>
  <c r="H67" i="67"/>
  <c r="G67" i="67"/>
  <c r="F67" i="67"/>
  <c r="E67" i="67"/>
  <c r="D67" i="67"/>
  <c r="Q66" i="67"/>
  <c r="Q68" i="67" s="1"/>
  <c r="F85" i="67" s="1"/>
  <c r="P66" i="67"/>
  <c r="P68" i="67" s="1"/>
  <c r="F92" i="67" s="1"/>
  <c r="O66" i="67"/>
  <c r="O68" i="67" s="1"/>
  <c r="N66" i="67"/>
  <c r="N68" i="67" s="1"/>
  <c r="F86" i="67" s="1"/>
  <c r="M66" i="67"/>
  <c r="L66" i="67"/>
  <c r="K66" i="67"/>
  <c r="J66" i="67"/>
  <c r="I66" i="67"/>
  <c r="I68" i="67" s="1"/>
  <c r="F97" i="67" s="1"/>
  <c r="H66" i="67"/>
  <c r="H68" i="67" s="1"/>
  <c r="G66" i="67"/>
  <c r="F66" i="67"/>
  <c r="E66" i="67"/>
  <c r="D66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Q63" i="67"/>
  <c r="G85" i="67" s="1"/>
  <c r="P63" i="67"/>
  <c r="G92" i="67" s="1"/>
  <c r="O63" i="67"/>
  <c r="N63" i="67"/>
  <c r="M63" i="67"/>
  <c r="G93" i="67" s="1"/>
  <c r="L63" i="67"/>
  <c r="G100" i="67" s="1"/>
  <c r="K63" i="67"/>
  <c r="G83" i="67" s="1"/>
  <c r="J63" i="67"/>
  <c r="G90" i="67" s="1"/>
  <c r="I63" i="67"/>
  <c r="G97" i="67" s="1"/>
  <c r="H63" i="67"/>
  <c r="G63" i="67"/>
  <c r="F63" i="67"/>
  <c r="G91" i="67" s="1"/>
  <c r="E63" i="67"/>
  <c r="D63" i="67"/>
  <c r="Q60" i="67"/>
  <c r="P60" i="67"/>
  <c r="AO26" i="67" s="1"/>
  <c r="O60" i="67"/>
  <c r="N60" i="67"/>
  <c r="M60" i="67"/>
  <c r="L60" i="67"/>
  <c r="K60" i="67"/>
  <c r="AJ26" i="67" s="1"/>
  <c r="J60" i="67"/>
  <c r="AI26" i="67" s="1"/>
  <c r="I60" i="67"/>
  <c r="AH26" i="67" s="1"/>
  <c r="H60" i="67"/>
  <c r="G60" i="67"/>
  <c r="F60" i="67"/>
  <c r="AE26" i="67" s="1"/>
  <c r="E60" i="67"/>
  <c r="D60" i="67"/>
  <c r="O58" i="67"/>
  <c r="N58" i="67"/>
  <c r="AM25" i="67" s="1"/>
  <c r="M58" i="67"/>
  <c r="G58" i="67"/>
  <c r="AF25" i="67" s="1"/>
  <c r="F58" i="67"/>
  <c r="D58" i="67"/>
  <c r="AC25" i="67" s="1"/>
  <c r="M57" i="67"/>
  <c r="L57" i="67"/>
  <c r="AK19" i="67" s="1"/>
  <c r="G57" i="67"/>
  <c r="F57" i="67"/>
  <c r="AE19" i="67" s="1"/>
  <c r="E57" i="67"/>
  <c r="D57" i="67"/>
  <c r="Q56" i="67"/>
  <c r="Q58" i="67" s="1"/>
  <c r="AP25" i="67" s="1"/>
  <c r="P56" i="67"/>
  <c r="O56" i="67"/>
  <c r="N56" i="67"/>
  <c r="AM18" i="67" s="1"/>
  <c r="M56" i="67"/>
  <c r="L56" i="67"/>
  <c r="L58" i="67" s="1"/>
  <c r="AK25" i="67" s="1"/>
  <c r="K56" i="67"/>
  <c r="K57" i="67" s="1"/>
  <c r="AJ19" i="67" s="1"/>
  <c r="J56" i="67"/>
  <c r="I56" i="67"/>
  <c r="H56" i="67"/>
  <c r="G56" i="67"/>
  <c r="F56" i="67"/>
  <c r="E56" i="67"/>
  <c r="E58" i="67" s="1"/>
  <c r="AD25" i="67" s="1"/>
  <c r="D56" i="67"/>
  <c r="AC18" i="67" s="1"/>
  <c r="AC20" i="67" s="1"/>
  <c r="Q55" i="67"/>
  <c r="Q57" i="67" s="1"/>
  <c r="AP19" i="67" s="1"/>
  <c r="P55" i="67"/>
  <c r="O55" i="67"/>
  <c r="O57" i="67" s="1"/>
  <c r="AN19" i="67" s="1"/>
  <c r="N55" i="67"/>
  <c r="M55" i="67"/>
  <c r="L55" i="67"/>
  <c r="AK17" i="67" s="1"/>
  <c r="K55" i="67"/>
  <c r="J55" i="67"/>
  <c r="I55" i="67"/>
  <c r="I57" i="67" s="1"/>
  <c r="AH19" i="67" s="1"/>
  <c r="H55" i="67"/>
  <c r="G55" i="67"/>
  <c r="F55" i="67"/>
  <c r="E55" i="67"/>
  <c r="D55" i="67"/>
  <c r="O50" i="67"/>
  <c r="O51" i="67" s="1"/>
  <c r="K50" i="67"/>
  <c r="K51" i="67" s="1"/>
  <c r="J50" i="67"/>
  <c r="J51" i="67" s="1"/>
  <c r="I50" i="67"/>
  <c r="I51" i="67" s="1"/>
  <c r="V49" i="67"/>
  <c r="U49" i="67"/>
  <c r="T49" i="67"/>
  <c r="T50" i="67" s="1"/>
  <c r="S49" i="67"/>
  <c r="R49" i="67"/>
  <c r="R50" i="67" s="1"/>
  <c r="Q49" i="67"/>
  <c r="P49" i="67"/>
  <c r="O49" i="67"/>
  <c r="N49" i="67"/>
  <c r="M49" i="67"/>
  <c r="M50" i="67" s="1"/>
  <c r="M51" i="67" s="1"/>
  <c r="L49" i="67"/>
  <c r="K49" i="67"/>
  <c r="J49" i="67"/>
  <c r="I49" i="67"/>
  <c r="H49" i="67"/>
  <c r="G49" i="67"/>
  <c r="F49" i="67"/>
  <c r="E49" i="67"/>
  <c r="D49" i="67"/>
  <c r="D50" i="67" s="1"/>
  <c r="D51" i="67" s="1"/>
  <c r="V48" i="67"/>
  <c r="V50" i="67" s="1"/>
  <c r="U48" i="67"/>
  <c r="U50" i="67" s="1"/>
  <c r="T48" i="67"/>
  <c r="S48" i="67"/>
  <c r="S50" i="67" s="1"/>
  <c r="R48" i="67"/>
  <c r="Q48" i="67"/>
  <c r="Q50" i="67" s="1"/>
  <c r="Q51" i="67" s="1"/>
  <c r="P48" i="67"/>
  <c r="P50" i="67" s="1"/>
  <c r="P51" i="67" s="1"/>
  <c r="O48" i="67"/>
  <c r="N48" i="67"/>
  <c r="N50" i="67" s="1"/>
  <c r="N51" i="67" s="1"/>
  <c r="M48" i="67"/>
  <c r="L48" i="67"/>
  <c r="K48" i="67"/>
  <c r="J48" i="67"/>
  <c r="I48" i="67"/>
  <c r="H48" i="67"/>
  <c r="H50" i="67" s="1"/>
  <c r="H51" i="67" s="1"/>
  <c r="G48" i="67"/>
  <c r="G50" i="67" s="1"/>
  <c r="G51" i="67" s="1"/>
  <c r="F48" i="67"/>
  <c r="F50" i="67" s="1"/>
  <c r="F51" i="67" s="1"/>
  <c r="E48" i="67"/>
  <c r="E50" i="67" s="1"/>
  <c r="E51" i="67" s="1"/>
  <c r="D48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AP26" i="67"/>
  <c r="AN26" i="67"/>
  <c r="AM26" i="67"/>
  <c r="AL26" i="67"/>
  <c r="AK26" i="67"/>
  <c r="AG26" i="67"/>
  <c r="AF26" i="67"/>
  <c r="AD26" i="67"/>
  <c r="AC26" i="67"/>
  <c r="AN25" i="67"/>
  <c r="AL25" i="67"/>
  <c r="AE25" i="67"/>
  <c r="AN23" i="67"/>
  <c r="AN29" i="67" s="1"/>
  <c r="AK22" i="67"/>
  <c r="AK23" i="67" s="1"/>
  <c r="AL20" i="67"/>
  <c r="AJ20" i="67"/>
  <c r="AE20" i="67"/>
  <c r="AL19" i="67"/>
  <c r="AF19" i="67"/>
  <c r="AD19" i="67"/>
  <c r="AC19" i="67"/>
  <c r="AP18" i="67"/>
  <c r="AP20" i="67" s="1"/>
  <c r="AN18" i="67"/>
  <c r="AL18" i="67"/>
  <c r="AK18" i="67"/>
  <c r="AJ18" i="67"/>
  <c r="AH18" i="67"/>
  <c r="AH20" i="67" s="1"/>
  <c r="AG18" i="67"/>
  <c r="AF18" i="67"/>
  <c r="AF20" i="67" s="1"/>
  <c r="AE18" i="67"/>
  <c r="AD18" i="67"/>
  <c r="AP17" i="67"/>
  <c r="AO17" i="67"/>
  <c r="AN17" i="67"/>
  <c r="AN20" i="67" s="1"/>
  <c r="AL17" i="67"/>
  <c r="AJ17" i="67"/>
  <c r="AI17" i="67"/>
  <c r="AH17" i="67"/>
  <c r="AF17" i="67"/>
  <c r="AE17" i="67"/>
  <c r="AD17" i="67"/>
  <c r="AD20" i="67" s="1"/>
  <c r="AD29" i="67" s="1"/>
  <c r="AC17" i="67"/>
  <c r="AM15" i="67"/>
  <c r="AL15" i="67"/>
  <c r="AG15" i="67"/>
  <c r="AF15" i="67"/>
  <c r="AE15" i="67"/>
  <c r="AD15" i="67"/>
  <c r="AP14" i="67"/>
  <c r="AO14" i="67"/>
  <c r="AN14" i="67"/>
  <c r="AM14" i="67"/>
  <c r="AL14" i="67"/>
  <c r="AK14" i="67"/>
  <c r="AK15" i="67" s="1"/>
  <c r="AJ14" i="67"/>
  <c r="AI14" i="67"/>
  <c r="AH14" i="67"/>
  <c r="AG14" i="67"/>
  <c r="AF14" i="67"/>
  <c r="AE14" i="67"/>
  <c r="AD14" i="67"/>
  <c r="AC14" i="67"/>
  <c r="AP13" i="67"/>
  <c r="AP15" i="67" s="1"/>
  <c r="AO13" i="67"/>
  <c r="AO15" i="67" s="1"/>
  <c r="AN13" i="67"/>
  <c r="AN15" i="67" s="1"/>
  <c r="AM13" i="67"/>
  <c r="AL13" i="67"/>
  <c r="AK13" i="67"/>
  <c r="AJ13" i="67"/>
  <c r="AI13" i="67"/>
  <c r="AI15" i="67" s="1"/>
  <c r="AH13" i="67"/>
  <c r="AH15" i="67" s="1"/>
  <c r="AG13" i="67"/>
  <c r="AF13" i="67"/>
  <c r="AE13" i="67"/>
  <c r="AD13" i="67"/>
  <c r="AC13" i="67"/>
  <c r="AC15" i="67" s="1"/>
  <c r="AM10" i="67"/>
  <c r="AM12" i="67" s="1"/>
  <c r="AL10" i="67"/>
  <c r="AK10" i="67"/>
  <c r="AK12" i="67" s="1"/>
  <c r="AJ10" i="67"/>
  <c r="AH10" i="67"/>
  <c r="AC10" i="67"/>
  <c r="AP9" i="67"/>
  <c r="AP10" i="67" s="1"/>
  <c r="AP12" i="67" s="1"/>
  <c r="AO9" i="67"/>
  <c r="AO10" i="67" s="1"/>
  <c r="AO12" i="67" s="1"/>
  <c r="AN9" i="67"/>
  <c r="AM9" i="67"/>
  <c r="AL9" i="67"/>
  <c r="AK9" i="67"/>
  <c r="AJ9" i="67"/>
  <c r="AI9" i="67"/>
  <c r="AI10" i="67" s="1"/>
  <c r="AH9" i="67"/>
  <c r="AG9" i="67"/>
  <c r="AG10" i="67" s="1"/>
  <c r="AG12" i="67" s="1"/>
  <c r="AF9" i="67"/>
  <c r="AF10" i="67" s="1"/>
  <c r="AF12" i="67" s="1"/>
  <c r="AE9" i="67"/>
  <c r="AE10" i="67" s="1"/>
  <c r="AE12" i="67" s="1"/>
  <c r="AD9" i="67"/>
  <c r="AC9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D10" i="67" s="1"/>
  <c r="AD12" i="67" s="1"/>
  <c r="AC8" i="67"/>
  <c r="AM7" i="67"/>
  <c r="AM11" i="67" s="1"/>
  <c r="AL7" i="67"/>
  <c r="AL12" i="67" s="1"/>
  <c r="AG7" i="67"/>
  <c r="AF7" i="67"/>
  <c r="AE7" i="67"/>
  <c r="AE11" i="67" s="1"/>
  <c r="AD7" i="67"/>
  <c r="AP6" i="67"/>
  <c r="AP7" i="67" s="1"/>
  <c r="AO6" i="67"/>
  <c r="AO7" i="67" s="1"/>
  <c r="AN6" i="67"/>
  <c r="AM6" i="67"/>
  <c r="AL6" i="67"/>
  <c r="AK6" i="67"/>
  <c r="AK7" i="67" s="1"/>
  <c r="AK11" i="67" s="1"/>
  <c r="AJ6" i="67"/>
  <c r="AJ7" i="67" s="1"/>
  <c r="AJ11" i="67" s="1"/>
  <c r="AI6" i="67"/>
  <c r="AI7" i="67" s="1"/>
  <c r="AH6" i="67"/>
  <c r="AG6" i="67"/>
  <c r="AF6" i="67"/>
  <c r="AE6" i="67"/>
  <c r="AD6" i="67"/>
  <c r="AC6" i="67"/>
  <c r="AC7" i="67" s="1"/>
  <c r="AC11" i="67" s="1"/>
  <c r="AP5" i="67"/>
  <c r="AO5" i="67"/>
  <c r="AN5" i="67"/>
  <c r="AN7" i="67" s="1"/>
  <c r="AM5" i="67"/>
  <c r="AL5" i="67"/>
  <c r="AK5" i="67"/>
  <c r="AJ5" i="67"/>
  <c r="AI5" i="67"/>
  <c r="AH5" i="67"/>
  <c r="AG5" i="67"/>
  <c r="AF5" i="67"/>
  <c r="AE5" i="67"/>
  <c r="AD5" i="67"/>
  <c r="AC5" i="67"/>
  <c r="AP4" i="67"/>
  <c r="AO4" i="67"/>
  <c r="AN4" i="67"/>
  <c r="AM4" i="67"/>
  <c r="AL4" i="67"/>
  <c r="AK4" i="67"/>
  <c r="AJ4" i="67"/>
  <c r="AI4" i="67"/>
  <c r="AI11" i="67" s="1"/>
  <c r="AH4" i="67"/>
  <c r="AG4" i="67"/>
  <c r="AF4" i="67"/>
  <c r="AF11" i="67" s="1"/>
  <c r="AE4" i="67"/>
  <c r="AD4" i="67"/>
  <c r="AC4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O117" i="66"/>
  <c r="N116" i="66"/>
  <c r="N117" i="66" s="1"/>
  <c r="N118" i="66" s="1"/>
  <c r="AI112" i="66"/>
  <c r="AC112" i="66"/>
  <c r="X112" i="66"/>
  <c r="N110" i="66"/>
  <c r="N111" i="66" s="1"/>
  <c r="N112" i="66" s="1"/>
  <c r="O105" i="66"/>
  <c r="O111" i="66" s="1"/>
  <c r="N105" i="66"/>
  <c r="N106" i="66" s="1"/>
  <c r="N104" i="66"/>
  <c r="H100" i="66"/>
  <c r="D100" i="66"/>
  <c r="H99" i="66"/>
  <c r="G99" i="66"/>
  <c r="D99" i="66"/>
  <c r="H98" i="66"/>
  <c r="D98" i="66"/>
  <c r="H97" i="66"/>
  <c r="E97" i="66"/>
  <c r="D97" i="66"/>
  <c r="O106" i="66" s="1"/>
  <c r="O112" i="66" s="1"/>
  <c r="O118" i="66" s="1"/>
  <c r="H93" i="66"/>
  <c r="D93" i="66"/>
  <c r="H92" i="66"/>
  <c r="G92" i="66"/>
  <c r="E92" i="66"/>
  <c r="D92" i="66"/>
  <c r="H91" i="66"/>
  <c r="G91" i="66"/>
  <c r="F91" i="66"/>
  <c r="D91" i="66"/>
  <c r="H90" i="66"/>
  <c r="D90" i="66"/>
  <c r="H86" i="66"/>
  <c r="G86" i="66"/>
  <c r="D86" i="66"/>
  <c r="H85" i="66"/>
  <c r="E85" i="66"/>
  <c r="D85" i="66"/>
  <c r="H84" i="66"/>
  <c r="D84" i="66"/>
  <c r="H83" i="66"/>
  <c r="E83" i="66"/>
  <c r="D83" i="66"/>
  <c r="O104" i="66" s="1"/>
  <c r="O110" i="66" s="1"/>
  <c r="O116" i="66" s="1"/>
  <c r="Q78" i="66"/>
  <c r="M78" i="66"/>
  <c r="L78" i="66"/>
  <c r="K78" i="66"/>
  <c r="K72" i="66" s="1"/>
  <c r="AJ22" i="66" s="1"/>
  <c r="J78" i="66"/>
  <c r="J72" i="66" s="1"/>
  <c r="AI22" i="66" s="1"/>
  <c r="AI23" i="66" s="1"/>
  <c r="H78" i="66"/>
  <c r="Q77" i="66"/>
  <c r="P77" i="66"/>
  <c r="K77" i="66"/>
  <c r="J77" i="66"/>
  <c r="I77" i="66"/>
  <c r="H77" i="66"/>
  <c r="H72" i="66" s="1"/>
  <c r="AG22" i="66" s="1"/>
  <c r="AG23" i="66" s="1"/>
  <c r="F77" i="66"/>
  <c r="F72" i="66" s="1"/>
  <c r="AE22" i="66" s="1"/>
  <c r="AE23" i="66" s="1"/>
  <c r="Q76" i="66"/>
  <c r="P76" i="66"/>
  <c r="P78" i="66" s="1"/>
  <c r="O76" i="66"/>
  <c r="O77" i="66" s="1"/>
  <c r="N76" i="66"/>
  <c r="M76" i="66"/>
  <c r="M77" i="66" s="1"/>
  <c r="M72" i="66" s="1"/>
  <c r="AO22" i="66" s="1"/>
  <c r="AO23" i="66" s="1"/>
  <c r="L76" i="66"/>
  <c r="L77" i="66" s="1"/>
  <c r="L72" i="66" s="1"/>
  <c r="L73" i="66" s="1"/>
  <c r="K76" i="66"/>
  <c r="J76" i="66"/>
  <c r="I76" i="66"/>
  <c r="I78" i="66" s="1"/>
  <c r="I72" i="66" s="1"/>
  <c r="H76" i="66"/>
  <c r="G76" i="66"/>
  <c r="G78" i="66" s="1"/>
  <c r="F76" i="66"/>
  <c r="F78" i="66" s="1"/>
  <c r="E76" i="66"/>
  <c r="E77" i="66" s="1"/>
  <c r="D76" i="66"/>
  <c r="AK74" i="66" a="1"/>
  <c r="AL74" i="66" s="1"/>
  <c r="AM74" i="66" s="1"/>
  <c r="Q72" i="66"/>
  <c r="AM22" i="66" s="1"/>
  <c r="AM23" i="66" s="1"/>
  <c r="Q71" i="66"/>
  <c r="P71" i="66"/>
  <c r="O71" i="66"/>
  <c r="N71" i="66"/>
  <c r="M71" i="66"/>
  <c r="L71" i="66"/>
  <c r="K71" i="66"/>
  <c r="J71" i="66"/>
  <c r="I71" i="66"/>
  <c r="H71" i="66"/>
  <c r="G71" i="66"/>
  <c r="F71" i="66"/>
  <c r="E71" i="66"/>
  <c r="D71" i="66"/>
  <c r="Q69" i="66"/>
  <c r="P69" i="66"/>
  <c r="O69" i="66"/>
  <c r="E99" i="66" s="1"/>
  <c r="N69" i="66"/>
  <c r="E86" i="66" s="1"/>
  <c r="M69" i="66"/>
  <c r="E93" i="66" s="1"/>
  <c r="L69" i="66"/>
  <c r="E100" i="66" s="1"/>
  <c r="K69" i="66"/>
  <c r="J69" i="66"/>
  <c r="E90" i="66" s="1"/>
  <c r="I69" i="66"/>
  <c r="H69" i="66"/>
  <c r="G69" i="66"/>
  <c r="E84" i="66" s="1"/>
  <c r="F69" i="66"/>
  <c r="E91" i="66" s="1"/>
  <c r="E69" i="66"/>
  <c r="E98" i="66" s="1"/>
  <c r="D69" i="66"/>
  <c r="Q68" i="66"/>
  <c r="F85" i="66" s="1"/>
  <c r="L68" i="66"/>
  <c r="F100" i="66" s="1"/>
  <c r="K68" i="66"/>
  <c r="F83" i="66" s="1"/>
  <c r="F68" i="66"/>
  <c r="E68" i="66"/>
  <c r="F98" i="66" s="1"/>
  <c r="D68" i="66"/>
  <c r="Q67" i="66"/>
  <c r="P67" i="66"/>
  <c r="O67" i="66"/>
  <c r="N67" i="66"/>
  <c r="M67" i="66"/>
  <c r="L67" i="66"/>
  <c r="K67" i="66"/>
  <c r="J67" i="66"/>
  <c r="J68" i="66" s="1"/>
  <c r="F90" i="66" s="1"/>
  <c r="I67" i="66"/>
  <c r="H67" i="66"/>
  <c r="G67" i="66"/>
  <c r="F67" i="66"/>
  <c r="E67" i="66"/>
  <c r="D67" i="66"/>
  <c r="Q66" i="66"/>
  <c r="P66" i="66"/>
  <c r="P68" i="66" s="1"/>
  <c r="F92" i="66" s="1"/>
  <c r="O66" i="66"/>
  <c r="N66" i="66"/>
  <c r="N68" i="66" s="1"/>
  <c r="F86" i="66" s="1"/>
  <c r="M66" i="66"/>
  <c r="M68" i="66" s="1"/>
  <c r="F93" i="66" s="1"/>
  <c r="L66" i="66"/>
  <c r="K66" i="66"/>
  <c r="J66" i="66"/>
  <c r="I66" i="66"/>
  <c r="I68" i="66" s="1"/>
  <c r="F97" i="66" s="1"/>
  <c r="H66" i="66"/>
  <c r="H68" i="66" s="1"/>
  <c r="G66" i="66"/>
  <c r="G68" i="66" s="1"/>
  <c r="F84" i="66" s="1"/>
  <c r="F66" i="66"/>
  <c r="E66" i="66"/>
  <c r="D66" i="66"/>
  <c r="Q65" i="66"/>
  <c r="P65" i="66"/>
  <c r="O65" i="66"/>
  <c r="N65" i="66"/>
  <c r="M65" i="66"/>
  <c r="L65" i="66"/>
  <c r="K65" i="66"/>
  <c r="J65" i="66"/>
  <c r="I65" i="66"/>
  <c r="H65" i="66"/>
  <c r="G65" i="66"/>
  <c r="F65" i="66"/>
  <c r="E65" i="66"/>
  <c r="D65" i="66"/>
  <c r="Q64" i="66"/>
  <c r="P64" i="66"/>
  <c r="O64" i="66"/>
  <c r="N64" i="66"/>
  <c r="M64" i="66"/>
  <c r="L64" i="66"/>
  <c r="K64" i="66"/>
  <c r="J64" i="66"/>
  <c r="I64" i="66"/>
  <c r="H64" i="66"/>
  <c r="G64" i="66"/>
  <c r="F64" i="66"/>
  <c r="E64" i="66"/>
  <c r="D64" i="66"/>
  <c r="Q63" i="66"/>
  <c r="G85" i="66" s="1"/>
  <c r="P63" i="66"/>
  <c r="O63" i="66"/>
  <c r="N63" i="66"/>
  <c r="M63" i="66"/>
  <c r="G93" i="66" s="1"/>
  <c r="L63" i="66"/>
  <c r="G100" i="66" s="1"/>
  <c r="K63" i="66"/>
  <c r="G83" i="66" s="1"/>
  <c r="J63" i="66"/>
  <c r="G90" i="66" s="1"/>
  <c r="I63" i="66"/>
  <c r="G97" i="66" s="1"/>
  <c r="J97" i="66" s="1" a="1"/>
  <c r="H63" i="66"/>
  <c r="G63" i="66"/>
  <c r="G84" i="66" s="1"/>
  <c r="F63" i="66"/>
  <c r="E63" i="66"/>
  <c r="G98" i="66" s="1"/>
  <c r="D63" i="66"/>
  <c r="Q60" i="66"/>
  <c r="P60" i="66"/>
  <c r="O60" i="66"/>
  <c r="N60" i="66"/>
  <c r="M60" i="66"/>
  <c r="L60" i="66"/>
  <c r="K60" i="66"/>
  <c r="AJ26" i="66" s="1"/>
  <c r="J60" i="66"/>
  <c r="I60" i="66"/>
  <c r="AH26" i="66" s="1"/>
  <c r="H60" i="66"/>
  <c r="G60" i="66"/>
  <c r="F60" i="66"/>
  <c r="E60" i="66"/>
  <c r="D60" i="66"/>
  <c r="AC26" i="66" s="1"/>
  <c r="P58" i="66"/>
  <c r="J58" i="66"/>
  <c r="AI25" i="66" s="1"/>
  <c r="I58" i="66"/>
  <c r="AH25" i="66" s="1"/>
  <c r="G58" i="66"/>
  <c r="AF25" i="66" s="1"/>
  <c r="P57" i="66"/>
  <c r="O57" i="66"/>
  <c r="AK19" i="66" s="1"/>
  <c r="J57" i="66"/>
  <c r="AI19" i="66" s="1"/>
  <c r="I57" i="66"/>
  <c r="H57" i="66"/>
  <c r="AG19" i="66" s="1"/>
  <c r="G57" i="66"/>
  <c r="E57" i="66"/>
  <c r="AD19" i="66" s="1"/>
  <c r="Q56" i="66"/>
  <c r="P56" i="66"/>
  <c r="O56" i="66"/>
  <c r="O58" i="66" s="1"/>
  <c r="AK25" i="66" s="1"/>
  <c r="N56" i="66"/>
  <c r="N57" i="66" s="1"/>
  <c r="AP19" i="66" s="1"/>
  <c r="M56" i="66"/>
  <c r="L56" i="66"/>
  <c r="K56" i="66"/>
  <c r="J56" i="66"/>
  <c r="I56" i="66"/>
  <c r="H56" i="66"/>
  <c r="AG18" i="66" s="1"/>
  <c r="AG20" i="66" s="1"/>
  <c r="G56" i="66"/>
  <c r="F56" i="66"/>
  <c r="F58" i="66" s="1"/>
  <c r="AE25" i="66" s="1"/>
  <c r="E56" i="66"/>
  <c r="E58" i="66" s="1"/>
  <c r="AD25" i="66" s="1"/>
  <c r="D56" i="66"/>
  <c r="D58" i="66" s="1"/>
  <c r="AC25" i="66" s="1"/>
  <c r="Q55" i="66"/>
  <c r="P55" i="66"/>
  <c r="O55" i="66"/>
  <c r="N55" i="66"/>
  <c r="M55" i="66"/>
  <c r="AO17" i="66" s="1"/>
  <c r="L55" i="66"/>
  <c r="AN17" i="66" s="1"/>
  <c r="AN20" i="66" s="1"/>
  <c r="K55" i="66"/>
  <c r="J55" i="66"/>
  <c r="I55" i="66"/>
  <c r="H55" i="66"/>
  <c r="G55" i="66"/>
  <c r="F55" i="66"/>
  <c r="AE17" i="66" s="1"/>
  <c r="E55" i="66"/>
  <c r="D55" i="66"/>
  <c r="D57" i="66" s="1"/>
  <c r="AC19" i="66" s="1"/>
  <c r="Q51" i="66"/>
  <c r="O51" i="66"/>
  <c r="I51" i="66"/>
  <c r="Q50" i="66"/>
  <c r="P50" i="66"/>
  <c r="P51" i="66" s="1"/>
  <c r="O50" i="66"/>
  <c r="M50" i="66"/>
  <c r="M51" i="66" s="1"/>
  <c r="H50" i="66"/>
  <c r="H51" i="66" s="1"/>
  <c r="G50" i="66"/>
  <c r="G51" i="66" s="1"/>
  <c r="Q49" i="66"/>
  <c r="P49" i="66"/>
  <c r="O49" i="66"/>
  <c r="N49" i="66"/>
  <c r="M49" i="66"/>
  <c r="L49" i="66"/>
  <c r="K49" i="66"/>
  <c r="J49" i="66"/>
  <c r="I49" i="66"/>
  <c r="H49" i="66"/>
  <c r="G49" i="66"/>
  <c r="F49" i="66"/>
  <c r="F50" i="66" s="1"/>
  <c r="F51" i="66" s="1"/>
  <c r="E49" i="66"/>
  <c r="D49" i="66"/>
  <c r="Q48" i="66"/>
  <c r="P48" i="66"/>
  <c r="O48" i="66"/>
  <c r="N48" i="66"/>
  <c r="N50" i="66" s="1"/>
  <c r="N51" i="66" s="1"/>
  <c r="M48" i="66"/>
  <c r="L48" i="66"/>
  <c r="L50" i="66" s="1"/>
  <c r="L51" i="66" s="1"/>
  <c r="K48" i="66"/>
  <c r="J48" i="66"/>
  <c r="J50" i="66" s="1"/>
  <c r="J51" i="66" s="1"/>
  <c r="I48" i="66"/>
  <c r="I50" i="66" s="1"/>
  <c r="H48" i="66"/>
  <c r="G48" i="66"/>
  <c r="F48" i="66"/>
  <c r="E48" i="66"/>
  <c r="D48" i="66"/>
  <c r="D50" i="66" s="1"/>
  <c r="D51" i="66" s="1"/>
  <c r="AP26" i="66"/>
  <c r="AO26" i="66"/>
  <c r="AN26" i="66"/>
  <c r="AM26" i="66"/>
  <c r="AL26" i="66"/>
  <c r="AK26" i="66"/>
  <c r="AI26" i="66"/>
  <c r="AG26" i="66"/>
  <c r="AF26" i="66"/>
  <c r="AE26" i="66"/>
  <c r="AD26" i="66"/>
  <c r="AL25" i="66"/>
  <c r="AJ23" i="66"/>
  <c r="AN22" i="66"/>
  <c r="AN23" i="66" s="1"/>
  <c r="AH22" i="66"/>
  <c r="AH23" i="66" s="1"/>
  <c r="AL20" i="66"/>
  <c r="AF20" i="66"/>
  <c r="AL19" i="66"/>
  <c r="AH19" i="66"/>
  <c r="AF19" i="66"/>
  <c r="AN18" i="66"/>
  <c r="AM18" i="66"/>
  <c r="AL18" i="66"/>
  <c r="AJ18" i="66"/>
  <c r="AI18" i="66"/>
  <c r="AI20" i="66" s="1"/>
  <c r="AI29" i="66" s="1"/>
  <c r="AH18" i="66"/>
  <c r="AH20" i="66" s="1"/>
  <c r="AH29" i="66" s="1"/>
  <c r="AF18" i="66"/>
  <c r="AD18" i="66"/>
  <c r="AD20" i="66" s="1"/>
  <c r="AC18" i="66"/>
  <c r="AP17" i="66"/>
  <c r="AL17" i="66"/>
  <c r="AK17" i="66"/>
  <c r="AI17" i="66"/>
  <c r="AH17" i="66"/>
  <c r="AG17" i="66"/>
  <c r="AF17" i="66"/>
  <c r="AD17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P11" i="66"/>
  <c r="AP10" i="66"/>
  <c r="AN10" i="66"/>
  <c r="AI10" i="66"/>
  <c r="AI12" i="66" s="1"/>
  <c r="AH10" i="66"/>
  <c r="AC10" i="66"/>
  <c r="AC12" i="66" s="1"/>
  <c r="AP9" i="66"/>
  <c r="AO9" i="66"/>
  <c r="AO10" i="66" s="1"/>
  <c r="AN9" i="66"/>
  <c r="AM9" i="66"/>
  <c r="AM10" i="66" s="1"/>
  <c r="AM12" i="66" s="1"/>
  <c r="AL9" i="66"/>
  <c r="AL10" i="66" s="1"/>
  <c r="AL12" i="66" s="1"/>
  <c r="AK9" i="66"/>
  <c r="AK10" i="66" s="1"/>
  <c r="AK12" i="66" s="1"/>
  <c r="AJ9" i="66"/>
  <c r="AI9" i="66"/>
  <c r="AH9" i="66"/>
  <c r="AG9" i="66"/>
  <c r="AG10" i="66" s="1"/>
  <c r="AG12" i="66" s="1"/>
  <c r="AF9" i="66"/>
  <c r="AF10" i="66" s="1"/>
  <c r="AE9" i="66"/>
  <c r="AE10" i="66" s="1"/>
  <c r="AD9" i="66"/>
  <c r="AC9" i="66"/>
  <c r="AP8" i="66"/>
  <c r="AO8" i="66"/>
  <c r="AN8" i="66"/>
  <c r="AM8" i="66"/>
  <c r="AL8" i="66"/>
  <c r="AK8" i="66"/>
  <c r="AJ8" i="66"/>
  <c r="AJ10" i="66" s="1"/>
  <c r="AJ12" i="66" s="1"/>
  <c r="AI8" i="66"/>
  <c r="AH8" i="66"/>
  <c r="AG8" i="66"/>
  <c r="AF8" i="66"/>
  <c r="AE8" i="66"/>
  <c r="AD8" i="66"/>
  <c r="AC8" i="66"/>
  <c r="AM7" i="66"/>
  <c r="AL7" i="66"/>
  <c r="AK7" i="66"/>
  <c r="AK11" i="66" s="1"/>
  <c r="AJ7" i="66"/>
  <c r="AH7" i="66"/>
  <c r="AC7" i="66"/>
  <c r="AC11" i="66" s="1"/>
  <c r="AP6" i="66"/>
  <c r="AP7" i="66" s="1"/>
  <c r="AO6" i="66"/>
  <c r="AO7" i="66" s="1"/>
  <c r="AO11" i="66" s="1"/>
  <c r="AN6" i="66"/>
  <c r="AN7" i="66" s="1"/>
  <c r="AM6" i="66"/>
  <c r="AL6" i="66"/>
  <c r="AK6" i="66"/>
  <c r="AJ6" i="66"/>
  <c r="AI6" i="66"/>
  <c r="AI7" i="66" s="1"/>
  <c r="AI11" i="66" s="1"/>
  <c r="AH6" i="66"/>
  <c r="AG6" i="66"/>
  <c r="AG7" i="66" s="1"/>
  <c r="AF6" i="66"/>
  <c r="AF7" i="66" s="1"/>
  <c r="AE6" i="66"/>
  <c r="AE7" i="66" s="1"/>
  <c r="AD6" i="66"/>
  <c r="AC6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D7" i="66" s="1"/>
  <c r="AC5" i="66"/>
  <c r="AP4" i="66"/>
  <c r="AO4" i="66"/>
  <c r="AN4" i="66"/>
  <c r="AN11" i="66" s="1"/>
  <c r="AM4" i="66"/>
  <c r="AL4" i="66"/>
  <c r="AK4" i="66"/>
  <c r="AJ4" i="66"/>
  <c r="AI4" i="66"/>
  <c r="AH4" i="66"/>
  <c r="AG4" i="66"/>
  <c r="AF4" i="66"/>
  <c r="AE4" i="66"/>
  <c r="AD4" i="66"/>
  <c r="AC4" i="66"/>
  <c r="AP3" i="66"/>
  <c r="AO3" i="66"/>
  <c r="AN3" i="66"/>
  <c r="AM3" i="66"/>
  <c r="AL3" i="66"/>
  <c r="AK3" i="66"/>
  <c r="AJ3" i="66"/>
  <c r="AI3" i="66"/>
  <c r="AH3" i="66"/>
  <c r="AG3" i="66"/>
  <c r="AF3" i="66"/>
  <c r="AE3" i="66"/>
  <c r="AD3" i="66"/>
  <c r="AC3" i="66"/>
  <c r="S81" i="65"/>
  <c r="S81" i="65" a="1"/>
  <c r="T81" i="65" s="1"/>
  <c r="U81" i="65" s="1"/>
  <c r="N63" i="65"/>
  <c r="M63" i="65"/>
  <c r="L63" i="65"/>
  <c r="S41" i="65" s="1"/>
  <c r="K63" i="65"/>
  <c r="J63" i="65"/>
  <c r="S35" i="65" s="1"/>
  <c r="I63" i="65"/>
  <c r="H63" i="65"/>
  <c r="G63" i="65"/>
  <c r="F63" i="65"/>
  <c r="E63" i="65"/>
  <c r="S39" i="65" s="1"/>
  <c r="D63" i="65"/>
  <c r="N62" i="65"/>
  <c r="M62" i="65"/>
  <c r="L62" i="65"/>
  <c r="K62" i="65"/>
  <c r="J62" i="65"/>
  <c r="I62" i="65"/>
  <c r="H62" i="65"/>
  <c r="G62" i="65"/>
  <c r="F62" i="65"/>
  <c r="E62" i="65"/>
  <c r="D62" i="65"/>
  <c r="N61" i="65"/>
  <c r="M61" i="65"/>
  <c r="L61" i="65"/>
  <c r="K61" i="65"/>
  <c r="J61" i="65"/>
  <c r="I61" i="65"/>
  <c r="H61" i="65"/>
  <c r="G61" i="65"/>
  <c r="F61" i="65"/>
  <c r="E61" i="65"/>
  <c r="D61" i="65"/>
  <c r="N60" i="65"/>
  <c r="M60" i="65"/>
  <c r="L60" i="65"/>
  <c r="K60" i="65"/>
  <c r="J60" i="65"/>
  <c r="I60" i="65"/>
  <c r="H60" i="65"/>
  <c r="G60" i="65"/>
  <c r="F60" i="65"/>
  <c r="E60" i="65"/>
  <c r="D60" i="65"/>
  <c r="S47" i="65"/>
  <c r="S46" i="65"/>
  <c r="M46" i="65"/>
  <c r="L46" i="65"/>
  <c r="I46" i="65"/>
  <c r="H46" i="65"/>
  <c r="G46" i="65"/>
  <c r="S45" i="65"/>
  <c r="N45" i="65"/>
  <c r="M45" i="65"/>
  <c r="L45" i="65"/>
  <c r="K45" i="65"/>
  <c r="K46" i="65" s="1"/>
  <c r="J45" i="65"/>
  <c r="I45" i="65"/>
  <c r="H45" i="65"/>
  <c r="G45" i="65"/>
  <c r="F45" i="65"/>
  <c r="E45" i="65"/>
  <c r="D45" i="65"/>
  <c r="N44" i="65"/>
  <c r="N46" i="65" s="1"/>
  <c r="M44" i="65"/>
  <c r="L44" i="65"/>
  <c r="K44" i="65"/>
  <c r="J44" i="65"/>
  <c r="J46" i="65" s="1"/>
  <c r="I44" i="65"/>
  <c r="H44" i="65"/>
  <c r="G44" i="65"/>
  <c r="F44" i="65"/>
  <c r="F46" i="65" s="1"/>
  <c r="E44" i="65"/>
  <c r="E46" i="65" s="1"/>
  <c r="D44" i="65"/>
  <c r="D46" i="65" s="1"/>
  <c r="AB41" i="65"/>
  <c r="U41" i="65"/>
  <c r="T41" i="65"/>
  <c r="AB40" i="65"/>
  <c r="U40" i="65"/>
  <c r="T40" i="65"/>
  <c r="S40" i="65"/>
  <c r="AB39" i="65"/>
  <c r="U39" i="65"/>
  <c r="T39" i="65"/>
  <c r="AB36" i="65"/>
  <c r="U36" i="65"/>
  <c r="T36" i="65"/>
  <c r="S36" i="65"/>
  <c r="AB35" i="65"/>
  <c r="U35" i="65"/>
  <c r="T35" i="65"/>
  <c r="AB34" i="65"/>
  <c r="U34" i="65"/>
  <c r="T34" i="65"/>
  <c r="S34" i="65"/>
  <c r="AB31" i="65"/>
  <c r="U31" i="65"/>
  <c r="T31" i="65"/>
  <c r="S31" i="65"/>
  <c r="P31" i="65"/>
  <c r="AB30" i="65"/>
  <c r="U30" i="65"/>
  <c r="T30" i="65"/>
  <c r="S30" i="65"/>
  <c r="AB29" i="65"/>
  <c r="U29" i="65"/>
  <c r="T29" i="65"/>
  <c r="S29" i="65"/>
  <c r="Y24" i="65"/>
  <c r="T24" i="65"/>
  <c r="S81" i="64" a="1"/>
  <c r="T81" i="64" s="1"/>
  <c r="U81" i="64" s="1"/>
  <c r="N63" i="64"/>
  <c r="M63" i="64"/>
  <c r="L63" i="64"/>
  <c r="K63" i="64"/>
  <c r="J63" i="64"/>
  <c r="I63" i="64"/>
  <c r="H63" i="64"/>
  <c r="G63" i="64"/>
  <c r="F63" i="64"/>
  <c r="E63" i="64"/>
  <c r="D63" i="64"/>
  <c r="N62" i="64"/>
  <c r="M62" i="64"/>
  <c r="L62" i="64"/>
  <c r="S40" i="64" s="1"/>
  <c r="AA40" i="64" s="1"/>
  <c r="K62" i="64"/>
  <c r="J62" i="64"/>
  <c r="S34" i="64" s="1"/>
  <c r="AA34" i="64" s="1"/>
  <c r="I62" i="64"/>
  <c r="H62" i="64"/>
  <c r="G62" i="64"/>
  <c r="S28" i="64" s="1"/>
  <c r="F62" i="64"/>
  <c r="S33" i="64" s="1"/>
  <c r="AA29" i="64" s="1"/>
  <c r="E62" i="64"/>
  <c r="S38" i="64" s="1"/>
  <c r="AA30" i="64" s="1"/>
  <c r="D62" i="64"/>
  <c r="N61" i="64"/>
  <c r="M61" i="64"/>
  <c r="L61" i="64"/>
  <c r="K61" i="64"/>
  <c r="J61" i="64"/>
  <c r="I61" i="64"/>
  <c r="H61" i="64"/>
  <c r="G61" i="64"/>
  <c r="F61" i="64"/>
  <c r="E61" i="64"/>
  <c r="D61" i="64"/>
  <c r="N60" i="64"/>
  <c r="M60" i="64"/>
  <c r="L60" i="64"/>
  <c r="K60" i="64"/>
  <c r="J60" i="64"/>
  <c r="I60" i="64"/>
  <c r="H60" i="64"/>
  <c r="G60" i="64"/>
  <c r="F60" i="64"/>
  <c r="E60" i="64"/>
  <c r="D60" i="64"/>
  <c r="S46" i="64"/>
  <c r="F46" i="64"/>
  <c r="E46" i="64"/>
  <c r="S45" i="64"/>
  <c r="N45" i="64"/>
  <c r="M45" i="64"/>
  <c r="L45" i="64"/>
  <c r="K45" i="64"/>
  <c r="J45" i="64"/>
  <c r="I45" i="64"/>
  <c r="H45" i="64"/>
  <c r="G45" i="64"/>
  <c r="F45" i="64"/>
  <c r="E45" i="64"/>
  <c r="D45" i="64"/>
  <c r="N44" i="64"/>
  <c r="M44" i="64"/>
  <c r="M46" i="64" s="1"/>
  <c r="L44" i="64"/>
  <c r="L46" i="64" s="1"/>
  <c r="K44" i="64"/>
  <c r="K46" i="64" s="1"/>
  <c r="J44" i="64"/>
  <c r="J46" i="64" s="1"/>
  <c r="I44" i="64"/>
  <c r="I46" i="64" s="1"/>
  <c r="H44" i="64"/>
  <c r="H46" i="64" s="1"/>
  <c r="G44" i="64"/>
  <c r="G46" i="64" s="1"/>
  <c r="F44" i="64"/>
  <c r="E44" i="64"/>
  <c r="D44" i="64"/>
  <c r="AB40" i="64"/>
  <c r="U40" i="64"/>
  <c r="T40" i="64"/>
  <c r="AC40" i="64" s="1"/>
  <c r="AB39" i="64"/>
  <c r="U39" i="64"/>
  <c r="T39" i="64"/>
  <c r="AC35" i="64" s="1"/>
  <c r="S39" i="64"/>
  <c r="AA35" i="64" s="1"/>
  <c r="AB38" i="64"/>
  <c r="AA38" i="64"/>
  <c r="U38" i="64"/>
  <c r="T38" i="64"/>
  <c r="AB35" i="64"/>
  <c r="U35" i="64"/>
  <c r="T35" i="64"/>
  <c r="AC39" i="64" s="1"/>
  <c r="S35" i="64"/>
  <c r="AA39" i="64" s="1"/>
  <c r="N35" i="64"/>
  <c r="M35" i="64"/>
  <c r="L35" i="64"/>
  <c r="K35" i="64"/>
  <c r="J35" i="64"/>
  <c r="I35" i="64"/>
  <c r="H35" i="64"/>
  <c r="G35" i="64"/>
  <c r="F35" i="64"/>
  <c r="E35" i="64"/>
  <c r="D35" i="64"/>
  <c r="AB34" i="64"/>
  <c r="U34" i="64"/>
  <c r="T34" i="64"/>
  <c r="AC34" i="64" s="1"/>
  <c r="AC33" i="64"/>
  <c r="AB33" i="64"/>
  <c r="W33" i="64" a="1"/>
  <c r="W33" i="64" s="1"/>
  <c r="U33" i="64"/>
  <c r="T33" i="64"/>
  <c r="P31" i="64"/>
  <c r="AC30" i="64"/>
  <c r="AB30" i="64"/>
  <c r="U30" i="64"/>
  <c r="T30" i="64"/>
  <c r="AC38" i="64" s="1"/>
  <c r="S30" i="64"/>
  <c r="AC29" i="64"/>
  <c r="AB29" i="64"/>
  <c r="U29" i="64"/>
  <c r="T29" i="64"/>
  <c r="S29" i="64"/>
  <c r="AA33" i="64" s="1"/>
  <c r="AC28" i="64"/>
  <c r="AB28" i="64"/>
  <c r="U28" i="64"/>
  <c r="T28" i="64"/>
  <c r="Y23" i="64"/>
  <c r="T23" i="64"/>
  <c r="C5" i="51" a="1"/>
  <c r="C5" i="51" s="1"/>
  <c r="R7" i="51" s="1"/>
  <c r="C4" i="51" a="1"/>
  <c r="C4" i="51" s="1"/>
  <c r="R6" i="51" s="1"/>
  <c r="AN6" i="46"/>
  <c r="AN7" i="21"/>
  <c r="AN14" i="21" s="1"/>
  <c r="C74" i="51" a="1"/>
  <c r="C74" i="51" s="1"/>
  <c r="C72" i="51" a="1"/>
  <c r="C72" i="51" s="1"/>
  <c r="C71" i="51" a="1"/>
  <c r="C71" i="51" s="1"/>
  <c r="Z22" i="61" a="1"/>
  <c r="Z22" i="61" s="1"/>
  <c r="Z20" i="61" a="1"/>
  <c r="Z20" i="61" s="1"/>
  <c r="Z19" i="61" a="1"/>
  <c r="Z19" i="61" s="1"/>
  <c r="Z18" i="61" a="1"/>
  <c r="Z18" i="61" s="1"/>
  <c r="AD17" i="61" a="1"/>
  <c r="AD17" i="61" s="1"/>
  <c r="Z17" i="61" a="1"/>
  <c r="Z17" i="61" s="1"/>
  <c r="Z16" i="61" a="1"/>
  <c r="Z16" i="61" s="1"/>
  <c r="AD15" i="61" a="1"/>
  <c r="AD15" i="61" s="1"/>
  <c r="Z15" i="61" a="1"/>
  <c r="Z15" i="61" s="1"/>
  <c r="Z14" i="61" a="1"/>
  <c r="Z14" i="61" s="1"/>
  <c r="AA13" i="61"/>
  <c r="Z13" i="61" a="1"/>
  <c r="Z13" i="61" s="1"/>
  <c r="Z12" i="61" a="1"/>
  <c r="Z12" i="61" s="1"/>
  <c r="Z11" i="61" a="1"/>
  <c r="Z11" i="61" s="1"/>
  <c r="AJ10" i="61" a="1"/>
  <c r="AJ10" i="61" s="1"/>
  <c r="AI10" i="61" a="1"/>
  <c r="AI10" i="61" s="1"/>
  <c r="Z10" i="61" a="1"/>
  <c r="Z10" i="61" s="1"/>
  <c r="BV53" i="46"/>
  <c r="BV54" i="46"/>
  <c r="BV55" i="46"/>
  <c r="BV56" i="46"/>
  <c r="BV52" i="46"/>
  <c r="BT53" i="46"/>
  <c r="BT54" i="46"/>
  <c r="BT55" i="46"/>
  <c r="BT56" i="46"/>
  <c r="BT52" i="46"/>
  <c r="BU53" i="46"/>
  <c r="BU54" i="46"/>
  <c r="BU55" i="46"/>
  <c r="BU56" i="46"/>
  <c r="BU52" i="46"/>
  <c r="BS53" i="46"/>
  <c r="BS54" i="46"/>
  <c r="BS55" i="46"/>
  <c r="BS56" i="46"/>
  <c r="BS52" i="46"/>
  <c r="BR56" i="46"/>
  <c r="BR53" i="46"/>
  <c r="BR54" i="46"/>
  <c r="BR55" i="46"/>
  <c r="BR52" i="46"/>
  <c r="BM36" i="47"/>
  <c r="BM37" i="47"/>
  <c r="BM38" i="47"/>
  <c r="BM39" i="47"/>
  <c r="BM40" i="47"/>
  <c r="BM41" i="47"/>
  <c r="BM42" i="47"/>
  <c r="BM35" i="47"/>
  <c r="BL36" i="47"/>
  <c r="BL37" i="47"/>
  <c r="BL38" i="47"/>
  <c r="BL39" i="47"/>
  <c r="BL40" i="47"/>
  <c r="BL41" i="47"/>
  <c r="BL42" i="47"/>
  <c r="BL35" i="47"/>
  <c r="BH66" i="47"/>
  <c r="BH65" i="47"/>
  <c r="BH64" i="47"/>
  <c r="BH63" i="47"/>
  <c r="BN20" i="47" a="1"/>
  <c r="BO20" i="47" s="1"/>
  <c r="BM20" i="47" s="1"/>
  <c r="BK20" i="47" a="1"/>
  <c r="BL20" i="47" s="1"/>
  <c r="BJ20" i="47" s="1"/>
  <c r="BH20" i="47" a="1"/>
  <c r="BH20" i="47" s="1"/>
  <c r="BQ6" i="47"/>
  <c r="BQ5" i="47"/>
  <c r="BQ4" i="47"/>
  <c r="BH64" i="46"/>
  <c r="BI64" i="46"/>
  <c r="BJ64" i="46"/>
  <c r="BH65" i="46"/>
  <c r="BI65" i="46"/>
  <c r="BJ65" i="46"/>
  <c r="BH66" i="46"/>
  <c r="BI66" i="46"/>
  <c r="BJ66" i="46"/>
  <c r="BI63" i="46"/>
  <c r="BJ63" i="46"/>
  <c r="BH63" i="46"/>
  <c r="BH57" i="46"/>
  <c r="BI57" i="46"/>
  <c r="BJ57" i="46"/>
  <c r="BH58" i="46"/>
  <c r="BI58" i="46"/>
  <c r="BJ58" i="46"/>
  <c r="BH59" i="46"/>
  <c r="BI59" i="46"/>
  <c r="BJ59" i="46"/>
  <c r="BI56" i="46"/>
  <c r="BJ56" i="46"/>
  <c r="BH56" i="46"/>
  <c r="BN45" i="46" a="1"/>
  <c r="BN45" i="46" s="1"/>
  <c r="BM44" i="46" a="1"/>
  <c r="BM44" i="46" s="1"/>
  <c r="BM36" i="46"/>
  <c r="BM37" i="46"/>
  <c r="BM38" i="46"/>
  <c r="BM39" i="46"/>
  <c r="BM40" i="46"/>
  <c r="BM41" i="46"/>
  <c r="BM42" i="46"/>
  <c r="BM35" i="46"/>
  <c r="BL36" i="46"/>
  <c r="BL37" i="46"/>
  <c r="BL38" i="46"/>
  <c r="BL39" i="46"/>
  <c r="BL40" i="46"/>
  <c r="BL41" i="46"/>
  <c r="BL42" i="46"/>
  <c r="BL35" i="46"/>
  <c r="BJ36" i="46"/>
  <c r="BJ37" i="46"/>
  <c r="BJ38" i="46"/>
  <c r="BJ39" i="46"/>
  <c r="BJ40" i="46"/>
  <c r="BJ41" i="46"/>
  <c r="BJ42" i="46"/>
  <c r="BJ35" i="46"/>
  <c r="BI36" i="46"/>
  <c r="BI37" i="46"/>
  <c r="BI38" i="46"/>
  <c r="BI39" i="46"/>
  <c r="BI40" i="46"/>
  <c r="BI41" i="46"/>
  <c r="BI42" i="46"/>
  <c r="BI35" i="46"/>
  <c r="BH36" i="46"/>
  <c r="BH37" i="46"/>
  <c r="BH38" i="46"/>
  <c r="BH39" i="46"/>
  <c r="BH40" i="46"/>
  <c r="BH41" i="46"/>
  <c r="BH42" i="46"/>
  <c r="BH35" i="46"/>
  <c r="BN20" i="46" a="1"/>
  <c r="BN20" i="46" s="1"/>
  <c r="BK20" i="46" a="1"/>
  <c r="BL20" i="46" s="1"/>
  <c r="BJ20" i="46" s="1"/>
  <c r="BG20" i="46"/>
  <c r="BH20" i="46" a="1"/>
  <c r="BH20" i="46" s="1"/>
  <c r="BQ6" i="46"/>
  <c r="BQ5" i="46"/>
  <c r="BQ4" i="46"/>
  <c r="B18" i="62" l="1" a="1"/>
  <c r="B18" i="62" s="1"/>
  <c r="B20" i="62" a="1"/>
  <c r="B20" i="62" s="1"/>
  <c r="B8" i="62" a="1"/>
  <c r="B8" i="62" s="1"/>
  <c r="B9" i="62" a="1"/>
  <c r="B9" i="62" s="1"/>
  <c r="B7" i="62" a="1"/>
  <c r="B7" i="62" s="1"/>
  <c r="B17" i="62" a="1"/>
  <c r="B17" i="62" s="1"/>
  <c r="B21" i="62" a="1"/>
  <c r="B21" i="62" s="1"/>
  <c r="B10" i="62" a="1"/>
  <c r="B10" i="62" s="1"/>
  <c r="B19" i="62" a="1"/>
  <c r="B19" i="62" s="1"/>
  <c r="B12" i="62" a="1"/>
  <c r="B12" i="62" s="1"/>
  <c r="B13" i="62" a="1"/>
  <c r="B13" i="62" s="1"/>
  <c r="B14" i="62" a="1"/>
  <c r="B14" i="62" s="1"/>
  <c r="B22" i="62" a="1"/>
  <c r="B22" i="62" s="1"/>
  <c r="B23" i="62" a="1"/>
  <c r="B23" i="62" s="1"/>
  <c r="B11" i="62" a="1"/>
  <c r="B11" i="62" s="1"/>
  <c r="B15" i="62" a="1"/>
  <c r="B15" i="62" s="1"/>
  <c r="N86" i="69"/>
  <c r="N81" i="69"/>
  <c r="N63" i="68"/>
  <c r="H112" i="51"/>
  <c r="H120" i="51" s="1"/>
  <c r="H114" i="51"/>
  <c r="H122" i="51" s="1"/>
  <c r="H113" i="51"/>
  <c r="H121" i="51" s="1"/>
  <c r="H116" i="51"/>
  <c r="H124" i="51" s="1"/>
  <c r="H117" i="51"/>
  <c r="H125" i="51" s="1"/>
  <c r="AA4" i="70"/>
  <c r="E29" i="54" s="1"/>
  <c r="E2" i="54" s="1"/>
  <c r="AE5" i="70"/>
  <c r="I30" i="54" s="1"/>
  <c r="I3" i="54" s="1"/>
  <c r="AB6" i="70"/>
  <c r="F31" i="54" s="1"/>
  <c r="F4" i="54" s="1"/>
  <c r="W4" i="70"/>
  <c r="A29" i="54" s="1"/>
  <c r="A2" i="54" s="1"/>
  <c r="Z4" i="70"/>
  <c r="D29" i="54" s="1"/>
  <c r="D2" i="54" s="1"/>
  <c r="AK8" i="70"/>
  <c r="O33" i="54" s="1"/>
  <c r="O44" i="54" s="1"/>
  <c r="AN7" i="70"/>
  <c r="R32" i="54" s="1"/>
  <c r="R43" i="54" s="1"/>
  <c r="AA6" i="70"/>
  <c r="E31" i="54" s="1"/>
  <c r="E4" i="54" s="1"/>
  <c r="AD5" i="70"/>
  <c r="H30" i="54" s="1"/>
  <c r="AO4" i="70"/>
  <c r="S29" i="54" s="1"/>
  <c r="S2" i="54" s="1"/>
  <c r="Y4" i="70"/>
  <c r="C29" i="54" s="1"/>
  <c r="C2" i="54" s="1"/>
  <c r="AJ8" i="70"/>
  <c r="N33" i="54" s="1"/>
  <c r="N6" i="54" s="1"/>
  <c r="AC5" i="70"/>
  <c r="G30" i="54" s="1"/>
  <c r="G3" i="54" s="1"/>
  <c r="AN4" i="70"/>
  <c r="R29" i="54" s="1"/>
  <c r="X4" i="70"/>
  <c r="B29" i="54" s="1"/>
  <c r="B2" i="54" s="1"/>
  <c r="AO6" i="70"/>
  <c r="S31" i="54" s="1"/>
  <c r="S4" i="54" s="1"/>
  <c r="AB5" i="70"/>
  <c r="F30" i="54" s="1"/>
  <c r="F3" i="54" s="1"/>
  <c r="AM4" i="70"/>
  <c r="Q29" i="54" s="1"/>
  <c r="Q51" i="54" s="1"/>
  <c r="AK7" i="70"/>
  <c r="O32" i="54" s="1"/>
  <c r="O43" i="54" s="1"/>
  <c r="AN6" i="70"/>
  <c r="R31" i="54" s="1"/>
  <c r="R42" i="54" s="1"/>
  <c r="X6" i="70"/>
  <c r="B31" i="54" s="1"/>
  <c r="B4" i="54" s="1"/>
  <c r="AA5" i="70"/>
  <c r="E30" i="54" s="1"/>
  <c r="E3" i="54" s="1"/>
  <c r="AL4" i="70"/>
  <c r="P29" i="54" s="1"/>
  <c r="P2" i="54" s="1"/>
  <c r="AD9" i="70"/>
  <c r="H34" i="54" s="1"/>
  <c r="H64" i="54" s="1"/>
  <c r="AJ7" i="70"/>
  <c r="N32" i="54" s="1"/>
  <c r="N5" i="54" s="1"/>
  <c r="Z5" i="70"/>
  <c r="D30" i="54" s="1"/>
  <c r="D3" i="54" s="1"/>
  <c r="AK4" i="70"/>
  <c r="O29" i="54" s="1"/>
  <c r="AF8" i="70"/>
  <c r="J33" i="54" s="1"/>
  <c r="J64" i="54" s="1"/>
  <c r="AL6" i="70"/>
  <c r="P31" i="54" s="1"/>
  <c r="P4" i="54" s="1"/>
  <c r="AO5" i="70"/>
  <c r="S30" i="54" s="1"/>
  <c r="S3" i="54" s="1"/>
  <c r="Y5" i="70"/>
  <c r="C30" i="54" s="1"/>
  <c r="C3" i="54" s="1"/>
  <c r="AJ4" i="70"/>
  <c r="N29" i="54" s="1"/>
  <c r="N2" i="54" s="1"/>
  <c r="AK6" i="70"/>
  <c r="O31" i="54" s="1"/>
  <c r="O42" i="54" s="1"/>
  <c r="AN5" i="70"/>
  <c r="R30" i="54" s="1"/>
  <c r="R41" i="54" s="1"/>
  <c r="X5" i="70"/>
  <c r="B30" i="54" s="1"/>
  <c r="B3" i="54" s="1"/>
  <c r="AI4" i="70"/>
  <c r="M29" i="54" s="1"/>
  <c r="M2" i="54" s="1"/>
  <c r="AD8" i="70"/>
  <c r="H33" i="54" s="1"/>
  <c r="H53" i="54" s="1"/>
  <c r="AG7" i="70"/>
  <c r="K32" i="54" s="1"/>
  <c r="K5" i="54" s="1"/>
  <c r="AJ6" i="70"/>
  <c r="N31" i="54" s="1"/>
  <c r="N4" i="54" s="1"/>
  <c r="AM5" i="70"/>
  <c r="Q30" i="54" s="1"/>
  <c r="Q40" i="54" s="1"/>
  <c r="AH4" i="70"/>
  <c r="L29" i="54" s="1"/>
  <c r="L2" i="54" s="1"/>
  <c r="AJ11" i="70"/>
  <c r="N36" i="54" s="1"/>
  <c r="N9" i="54" s="1"/>
  <c r="AF7" i="70"/>
  <c r="J32" i="54" s="1"/>
  <c r="J53" i="54" s="1"/>
  <c r="AL5" i="70"/>
  <c r="P30" i="54" s="1"/>
  <c r="P3" i="54" s="1"/>
  <c r="AG4" i="70"/>
  <c r="K29" i="54" s="1"/>
  <c r="K2" i="54" s="1"/>
  <c r="AE7" i="70"/>
  <c r="I32" i="54" s="1"/>
  <c r="I5" i="54" s="1"/>
  <c r="AK5" i="70"/>
  <c r="O30" i="54" s="1"/>
  <c r="O41" i="54" s="1"/>
  <c r="AF4" i="70"/>
  <c r="J29" i="54" s="1"/>
  <c r="AD7" i="70"/>
  <c r="H32" i="54" s="1"/>
  <c r="H63" i="54" s="1"/>
  <c r="AG6" i="70"/>
  <c r="K31" i="54" s="1"/>
  <c r="K4" i="54" s="1"/>
  <c r="AJ5" i="70"/>
  <c r="N30" i="54" s="1"/>
  <c r="N3" i="54" s="1"/>
  <c r="AE4" i="70"/>
  <c r="I29" i="54" s="1"/>
  <c r="I2" i="54" s="1"/>
  <c r="AJ10" i="70"/>
  <c r="N35" i="54" s="1"/>
  <c r="N8" i="54" s="1"/>
  <c r="AC7" i="70"/>
  <c r="G32" i="54" s="1"/>
  <c r="G5" i="54" s="1"/>
  <c r="AF6" i="70"/>
  <c r="J31" i="54" s="1"/>
  <c r="J63" i="54" s="1"/>
  <c r="AI5" i="70"/>
  <c r="M30" i="54" s="1"/>
  <c r="M3" i="54" s="1"/>
  <c r="AD4" i="70"/>
  <c r="H29" i="54" s="1"/>
  <c r="AE6" i="70"/>
  <c r="I31" i="54" s="1"/>
  <c r="I4" i="54" s="1"/>
  <c r="AH5" i="70"/>
  <c r="L30" i="54" s="1"/>
  <c r="L3" i="54" s="1"/>
  <c r="AC4" i="70"/>
  <c r="G29" i="54" s="1"/>
  <c r="G2" i="54" s="1"/>
  <c r="AN8" i="70"/>
  <c r="R33" i="54" s="1"/>
  <c r="R44" i="54" s="1"/>
  <c r="AD6" i="70"/>
  <c r="H31" i="54" s="1"/>
  <c r="H52" i="54" s="1"/>
  <c r="AG5" i="70"/>
  <c r="K30" i="54" s="1"/>
  <c r="K3" i="54" s="1"/>
  <c r="AB4" i="70"/>
  <c r="F29" i="54" s="1"/>
  <c r="F2" i="54" s="1"/>
  <c r="AJ9" i="70"/>
  <c r="N34" i="54" s="1"/>
  <c r="N7" i="54" s="1"/>
  <c r="AC6" i="70"/>
  <c r="G31" i="54" s="1"/>
  <c r="G4" i="54" s="1"/>
  <c r="BJ88" i="46"/>
  <c r="BQ88" i="46" s="1"/>
  <c r="BJ95" i="46"/>
  <c r="BQ95" i="46" s="1"/>
  <c r="BJ94" i="46"/>
  <c r="BQ94" i="46" s="1"/>
  <c r="BJ93" i="46"/>
  <c r="BQ93" i="46" s="1"/>
  <c r="BJ92" i="46"/>
  <c r="BQ92" i="46" s="1"/>
  <c r="BJ91" i="46"/>
  <c r="BQ91" i="46" s="1"/>
  <c r="BJ90" i="46"/>
  <c r="BQ90" i="46" s="1"/>
  <c r="I14" i="69"/>
  <c r="I16" i="69"/>
  <c r="AE74" i="66"/>
  <c r="R64" i="65"/>
  <c r="X85" i="66"/>
  <c r="AC85" i="66" s="1"/>
  <c r="Z85" i="66"/>
  <c r="U20" i="69"/>
  <c r="X90" i="66"/>
  <c r="AI102" i="66" s="1"/>
  <c r="X89" i="66"/>
  <c r="AI101" i="66" s="1"/>
  <c r="X86" i="66"/>
  <c r="AC86" i="66" s="1"/>
  <c r="T10" i="64"/>
  <c r="T10" i="65" s="1"/>
  <c r="AG85" i="67"/>
  <c r="AA85" i="67"/>
  <c r="AA86" i="67"/>
  <c r="AE85" i="67"/>
  <c r="X93" i="67" s="1"/>
  <c r="AD93" i="67" s="1"/>
  <c r="AE93" i="67" s="1"/>
  <c r="AG93" i="67" s="1"/>
  <c r="AB90" i="67"/>
  <c r="X101" i="67"/>
  <c r="X107" i="67" s="1"/>
  <c r="X91" i="67"/>
  <c r="AC102" i="67"/>
  <c r="X92" i="67"/>
  <c r="G14" i="69"/>
  <c r="I22" i="69"/>
  <c r="G16" i="69"/>
  <c r="U29" i="69"/>
  <c r="I21" i="69"/>
  <c r="U17" i="68"/>
  <c r="T9" i="64"/>
  <c r="T9" i="65" s="1"/>
  <c r="T6" i="64"/>
  <c r="X6" i="64" s="1"/>
  <c r="T6" i="65"/>
  <c r="V6" i="65" s="1"/>
  <c r="G15" i="68"/>
  <c r="I20" i="68"/>
  <c r="T5" i="64"/>
  <c r="G14" i="68"/>
  <c r="I14" i="68"/>
  <c r="T5" i="65"/>
  <c r="X5" i="65" s="1"/>
  <c r="I19" i="68"/>
  <c r="R64" i="64"/>
  <c r="W28" i="64" a="1"/>
  <c r="AA28" i="64"/>
  <c r="S44" i="64" s="1"/>
  <c r="J58" i="67"/>
  <c r="AI25" i="67" s="1"/>
  <c r="AI18" i="67"/>
  <c r="AI20" i="67" s="1"/>
  <c r="AI29" i="67" s="1"/>
  <c r="AH12" i="66"/>
  <c r="E50" i="66"/>
  <c r="E51" i="66" s="1"/>
  <c r="K97" i="66"/>
  <c r="L97" i="66" s="1"/>
  <c r="J97" i="66"/>
  <c r="O68" i="66"/>
  <c r="F99" i="66" s="1"/>
  <c r="N77" i="66"/>
  <c r="N78" i="66"/>
  <c r="AO11" i="67"/>
  <c r="AC12" i="67"/>
  <c r="J57" i="67"/>
  <c r="AI19" i="67" s="1"/>
  <c r="J68" i="67"/>
  <c r="F90" i="67" s="1"/>
  <c r="AP11" i="67"/>
  <c r="AJ15" i="67"/>
  <c r="X33" i="64"/>
  <c r="Y33" i="64" s="1"/>
  <c r="AD10" i="66"/>
  <c r="AD12" i="66" s="1"/>
  <c r="AN12" i="66"/>
  <c r="AJ12" i="67"/>
  <c r="D46" i="64"/>
  <c r="AE12" i="66"/>
  <c r="AP12" i="66"/>
  <c r="AN11" i="67"/>
  <c r="AF12" i="66"/>
  <c r="AJ11" i="66"/>
  <c r="N57" i="67"/>
  <c r="AM19" i="67" s="1"/>
  <c r="AM17" i="67"/>
  <c r="AM20" i="67" s="1"/>
  <c r="AM29" i="67" s="1"/>
  <c r="P58" i="67"/>
  <c r="AO25" i="67" s="1"/>
  <c r="AO18" i="67"/>
  <c r="AO20" i="67" s="1"/>
  <c r="AH7" i="67"/>
  <c r="AH11" i="67" s="1"/>
  <c r="F98" i="67"/>
  <c r="F99" i="67"/>
  <c r="H57" i="67"/>
  <c r="AG19" i="67" s="1"/>
  <c r="H58" i="67"/>
  <c r="AG25" i="67" s="1"/>
  <c r="AG17" i="67"/>
  <c r="Q57" i="66"/>
  <c r="AM19" i="66" s="1"/>
  <c r="AM17" i="66"/>
  <c r="AM20" i="66" s="1"/>
  <c r="AM29" i="66" s="1"/>
  <c r="O72" i="66"/>
  <c r="AK22" i="66" s="1"/>
  <c r="AK23" i="66" s="1"/>
  <c r="AF11" i="66"/>
  <c r="K50" i="66"/>
  <c r="K51" i="66" s="1"/>
  <c r="AG29" i="66"/>
  <c r="D77" i="66"/>
  <c r="D72" i="66" s="1"/>
  <c r="AC22" i="66" s="1"/>
  <c r="AC23" i="66" s="1"/>
  <c r="D78" i="66"/>
  <c r="AD11" i="67"/>
  <c r="L50" i="67"/>
  <c r="L51" i="67" s="1"/>
  <c r="P57" i="67"/>
  <c r="AO19" i="67" s="1"/>
  <c r="AG11" i="66"/>
  <c r="Q72" i="67"/>
  <c r="AP22" i="67" s="1"/>
  <c r="AP23" i="67" s="1"/>
  <c r="AP29" i="67" s="1"/>
  <c r="AH11" i="66"/>
  <c r="AG11" i="67"/>
  <c r="AI12" i="67"/>
  <c r="AC29" i="67"/>
  <c r="AE11" i="66"/>
  <c r="P72" i="66"/>
  <c r="AL22" i="66" s="1"/>
  <c r="AL23" i="66" s="1"/>
  <c r="AL29" i="66" s="1"/>
  <c r="AL29" i="67"/>
  <c r="H72" i="67"/>
  <c r="AG22" i="67" s="1"/>
  <c r="AG23" i="67" s="1"/>
  <c r="AJ23" i="67"/>
  <c r="AJ29" i="67" s="1"/>
  <c r="AG20" i="67"/>
  <c r="K57" i="66"/>
  <c r="AJ19" i="66" s="1"/>
  <c r="K58" i="66"/>
  <c r="AJ25" i="66" s="1"/>
  <c r="AJ17" i="66"/>
  <c r="AJ20" i="66" s="1"/>
  <c r="AJ29" i="66" s="1"/>
  <c r="AO18" i="66"/>
  <c r="AO20" i="66" s="1"/>
  <c r="AO29" i="66" s="1"/>
  <c r="M58" i="66"/>
  <c r="AO25" i="66" s="1"/>
  <c r="Q58" i="66"/>
  <c r="AM25" i="66" s="1"/>
  <c r="AL11" i="66"/>
  <c r="AN29" i="66"/>
  <c r="F77" i="67"/>
  <c r="F78" i="67"/>
  <c r="N46" i="64"/>
  <c r="AM11" i="66"/>
  <c r="AO12" i="66"/>
  <c r="AL11" i="67"/>
  <c r="AN10" i="67"/>
  <c r="AN12" i="67" s="1"/>
  <c r="AK20" i="67"/>
  <c r="AK29" i="67" s="1"/>
  <c r="F57" i="66"/>
  <c r="AE19" i="66" s="1"/>
  <c r="H58" i="66"/>
  <c r="AG25" i="66" s="1"/>
  <c r="G77" i="66"/>
  <c r="G72" i="66" s="1"/>
  <c r="AF22" i="66" s="1"/>
  <c r="AF23" i="66" s="1"/>
  <c r="AF29" i="66" s="1"/>
  <c r="I77" i="67"/>
  <c r="I72" i="67" s="1"/>
  <c r="AH22" i="67" s="1"/>
  <c r="AH23" i="67" s="1"/>
  <c r="AH29" i="67" s="1"/>
  <c r="AK18" i="66"/>
  <c r="AK20" i="66" s="1"/>
  <c r="S81" i="64"/>
  <c r="L58" i="66"/>
  <c r="AN25" i="66" s="1"/>
  <c r="I58" i="67"/>
  <c r="AH25" i="67" s="1"/>
  <c r="P78" i="67"/>
  <c r="P72" i="67" s="1"/>
  <c r="AO22" i="67" s="1"/>
  <c r="AO23" i="67" s="1"/>
  <c r="L57" i="66"/>
  <c r="AN19" i="66" s="1"/>
  <c r="N58" i="66"/>
  <c r="AP25" i="66" s="1"/>
  <c r="O78" i="66"/>
  <c r="K58" i="67"/>
  <c r="AJ25" i="67" s="1"/>
  <c r="Q78" i="67"/>
  <c r="AP18" i="66"/>
  <c r="AP20" i="66" s="1"/>
  <c r="M57" i="66"/>
  <c r="AO19" i="66" s="1"/>
  <c r="E98" i="67"/>
  <c r="AK74" i="67"/>
  <c r="AC17" i="66"/>
  <c r="AC20" i="66" s="1"/>
  <c r="AC29" i="66" s="1"/>
  <c r="AE18" i="66"/>
  <c r="AE20" i="66" s="1"/>
  <c r="AE29" i="66" s="1"/>
  <c r="AK74" i="66"/>
  <c r="E78" i="66"/>
  <c r="E72" i="66" s="1"/>
  <c r="AD22" i="66" s="1"/>
  <c r="AD23" i="66" s="1"/>
  <c r="AD29" i="66" s="1"/>
  <c r="G78" i="67"/>
  <c r="G72" i="67" s="1"/>
  <c r="AF22" i="67" s="1"/>
  <c r="AF23" i="67" s="1"/>
  <c r="AF29" i="67" s="1"/>
  <c r="BI42" i="47"/>
  <c r="BI37" i="47"/>
  <c r="BI39" i="47"/>
  <c r="BI40" i="47"/>
  <c r="BJ38" i="47"/>
  <c r="BJ35" i="47"/>
  <c r="BJ41" i="47"/>
  <c r="BJ42" i="47"/>
  <c r="BJ37" i="47"/>
  <c r="BJ36" i="47"/>
  <c r="BJ40" i="47"/>
  <c r="BJ39" i="47"/>
  <c r="BI20" i="47"/>
  <c r="BG20" i="47" s="1"/>
  <c r="BK20" i="47"/>
  <c r="BI35" i="47" s="1"/>
  <c r="BN20" i="47"/>
  <c r="BO45" i="46"/>
  <c r="BO44" i="46"/>
  <c r="BN44" i="46"/>
  <c r="BO20" i="46"/>
  <c r="BM20" i="46" s="1"/>
  <c r="BK20" i="46"/>
  <c r="BI20" i="46"/>
  <c r="AG85" i="66" l="1"/>
  <c r="G15" i="69" s="1"/>
  <c r="X5" i="64"/>
  <c r="V5" i="64"/>
  <c r="H40" i="54"/>
  <c r="H42" i="54"/>
  <c r="H41" i="54"/>
  <c r="J2" i="54"/>
  <c r="J62" i="54"/>
  <c r="J51" i="54"/>
  <c r="J41" i="54"/>
  <c r="J42" i="54"/>
  <c r="J40" i="54"/>
  <c r="R53" i="54"/>
  <c r="R52" i="54"/>
  <c r="R54" i="54"/>
  <c r="R55" i="54"/>
  <c r="R2" i="54"/>
  <c r="R51" i="54"/>
  <c r="R40" i="54"/>
  <c r="O54" i="54"/>
  <c r="O52" i="54"/>
  <c r="O53" i="54"/>
  <c r="O55" i="54"/>
  <c r="O51" i="54"/>
  <c r="O2" i="54"/>
  <c r="O40" i="54"/>
  <c r="H51" i="54"/>
  <c r="H62" i="54"/>
  <c r="AE85" i="66"/>
  <c r="X93" i="66" s="1"/>
  <c r="E24" i="69" s="1"/>
  <c r="AA85" i="66"/>
  <c r="AC102" i="66"/>
  <c r="X91" i="66"/>
  <c r="X101" i="66"/>
  <c r="X107" i="66" s="1"/>
  <c r="X92" i="66"/>
  <c r="AB90" i="66"/>
  <c r="AA86" i="66"/>
  <c r="X11" i="65"/>
  <c r="V6" i="64"/>
  <c r="X6" i="65"/>
  <c r="AB91" i="67"/>
  <c r="X12" i="64"/>
  <c r="X11" i="64"/>
  <c r="V5" i="65"/>
  <c r="N72" i="66"/>
  <c r="AP22" i="66" s="1"/>
  <c r="AP23" i="66" s="1"/>
  <c r="AP29" i="66" s="1"/>
  <c r="AO29" i="67"/>
  <c r="AK29" i="66"/>
  <c r="F72" i="67"/>
  <c r="AE22" i="67" s="1"/>
  <c r="AE23" i="67" s="1"/>
  <c r="AE29" i="67" s="1"/>
  <c r="AG29" i="67"/>
  <c r="P112" i="66"/>
  <c r="P106" i="66"/>
  <c r="P118" i="66"/>
  <c r="AH12" i="67"/>
  <c r="AD11" i="66"/>
  <c r="X28" i="64"/>
  <c r="Y28" i="64" s="1"/>
  <c r="W28" i="64"/>
  <c r="BI38" i="47"/>
  <c r="BH42" i="47"/>
  <c r="BH41" i="47"/>
  <c r="BH39" i="47"/>
  <c r="BH35" i="47"/>
  <c r="BH38" i="47"/>
  <c r="BH36" i="47"/>
  <c r="BH40" i="47"/>
  <c r="BH37" i="47"/>
  <c r="BI36" i="47"/>
  <c r="BI41" i="47"/>
  <c r="Z81" i="66" l="1"/>
  <c r="AD93" i="66"/>
  <c r="AE93" i="66" s="1"/>
  <c r="AG93" i="66" s="1"/>
  <c r="AB91" i="66"/>
  <c r="BM44" i="47" a="1"/>
  <c r="BN45" i="47" a="1"/>
  <c r="C79" i="54" a="1"/>
  <c r="C79" i="54" s="1"/>
  <c r="C81" i="54" a="1"/>
  <c r="C81" i="54" s="1"/>
  <c r="C83" i="54" a="1"/>
  <c r="C83" i="54" s="1"/>
  <c r="C85" i="54" a="1"/>
  <c r="C85" i="54" s="1"/>
  <c r="C87" i="54" a="1"/>
  <c r="C87" i="54" s="1"/>
  <c r="C89" i="54" a="1"/>
  <c r="C89" i="54" s="1"/>
  <c r="C91" i="54" a="1"/>
  <c r="C91" i="54" s="1"/>
  <c r="C95" i="54" a="1"/>
  <c r="C95" i="54" s="1"/>
  <c r="C99" i="54" a="1"/>
  <c r="C99" i="54" s="1"/>
  <c r="C101" i="54" a="1"/>
  <c r="C101" i="54" s="1"/>
  <c r="C103" i="54" a="1"/>
  <c r="C103" i="54" s="1"/>
  <c r="C105" i="54" a="1"/>
  <c r="C105" i="54" s="1"/>
  <c r="C107" i="54" a="1"/>
  <c r="C107" i="54" s="1"/>
  <c r="C109" i="54" a="1"/>
  <c r="C109" i="54" s="1"/>
  <c r="C115" i="54" a="1"/>
  <c r="C115" i="54" s="1"/>
  <c r="M23" i="52"/>
  <c r="G31" i="63"/>
  <c r="R31" i="63"/>
  <c r="Q31" i="63"/>
  <c r="P31" i="63"/>
  <c r="O31" i="63"/>
  <c r="N31" i="63"/>
  <c r="M31" i="63"/>
  <c r="L31" i="63"/>
  <c r="K31" i="63"/>
  <c r="J31" i="63"/>
  <c r="I31" i="63"/>
  <c r="H31" i="63"/>
  <c r="H23" i="63"/>
  <c r="H25" i="63" s="1"/>
  <c r="R25" i="63"/>
  <c r="Q25" i="63"/>
  <c r="P25" i="63"/>
  <c r="O25" i="63"/>
  <c r="N25" i="63"/>
  <c r="M25" i="63"/>
  <c r="L25" i="63"/>
  <c r="K25" i="63"/>
  <c r="J25" i="63"/>
  <c r="I25" i="63"/>
  <c r="G25" i="63"/>
  <c r="H18" i="63"/>
  <c r="H20" i="63" s="1"/>
  <c r="R20" i="63"/>
  <c r="Q20" i="63"/>
  <c r="P20" i="63"/>
  <c r="O20" i="63"/>
  <c r="N20" i="63"/>
  <c r="M20" i="63"/>
  <c r="L20" i="63"/>
  <c r="K20" i="63"/>
  <c r="J20" i="63"/>
  <c r="I20" i="63"/>
  <c r="G20" i="63"/>
  <c r="H4" i="63"/>
  <c r="H13" i="63"/>
  <c r="R15" i="63"/>
  <c r="Q15" i="63"/>
  <c r="P15" i="63"/>
  <c r="O15" i="63"/>
  <c r="N15" i="63"/>
  <c r="M15" i="63"/>
  <c r="L15" i="63"/>
  <c r="K15" i="63"/>
  <c r="J15" i="63"/>
  <c r="I15" i="63"/>
  <c r="G15" i="63"/>
  <c r="H15" i="63"/>
  <c r="J6" i="63"/>
  <c r="K6" i="63"/>
  <c r="L6" i="63"/>
  <c r="M6" i="63"/>
  <c r="N6" i="63"/>
  <c r="O6" i="63"/>
  <c r="P6" i="63"/>
  <c r="Q6" i="63"/>
  <c r="R6" i="63"/>
  <c r="I6" i="63"/>
  <c r="H6" i="63"/>
  <c r="G6" i="63"/>
  <c r="D91" i="54" l="1"/>
  <c r="N12" i="58" s="1"/>
  <c r="AL12" i="58"/>
  <c r="D101" i="54"/>
  <c r="S12" i="58" s="1"/>
  <c r="AL17" i="58"/>
  <c r="AG17" i="51" s="1"/>
  <c r="D85" i="54"/>
  <c r="K12" i="58" s="1"/>
  <c r="AL9" i="58"/>
  <c r="AG9" i="51" s="1"/>
  <c r="D83" i="54"/>
  <c r="J12" i="58" s="1"/>
  <c r="AL8" i="58"/>
  <c r="AG8" i="51" s="1"/>
  <c r="D107" i="54"/>
  <c r="V12" i="58" s="1"/>
  <c r="AL20" i="58"/>
  <c r="AG20" i="51" s="1"/>
  <c r="D109" i="54"/>
  <c r="W12" i="58" s="1"/>
  <c r="AL21" i="58"/>
  <c r="AG21" i="51" s="1"/>
  <c r="D105" i="54"/>
  <c r="U12" i="58" s="1"/>
  <c r="AL19" i="58"/>
  <c r="AG19" i="51" s="1"/>
  <c r="D79" i="54"/>
  <c r="H12" i="58" s="1"/>
  <c r="AL6" i="58"/>
  <c r="AG6" i="51" s="1"/>
  <c r="D115" i="54"/>
  <c r="Z12" i="58" s="1"/>
  <c r="AL24" i="58"/>
  <c r="AG24" i="51" s="1"/>
  <c r="D81" i="54"/>
  <c r="I12" i="58" s="1"/>
  <c r="AL7" i="58"/>
  <c r="AG7" i="51" s="1"/>
  <c r="D95" i="54"/>
  <c r="P12" i="58" s="1"/>
  <c r="AL14" i="58"/>
  <c r="D89" i="54"/>
  <c r="M12" i="58" s="1"/>
  <c r="AL11" i="58"/>
  <c r="AG11" i="51" s="1"/>
  <c r="BO45" i="47"/>
  <c r="BN45" i="47"/>
  <c r="BM44" i="47"/>
  <c r="BO44" i="47"/>
  <c r="BN44" i="47"/>
  <c r="D87" i="54"/>
  <c r="L12" i="58" s="1"/>
  <c r="AL10" i="58"/>
  <c r="AG10" i="51" s="1"/>
  <c r="D103" i="54"/>
  <c r="T12" i="58" s="1"/>
  <c r="AL18" i="58"/>
  <c r="AG18" i="51" s="1"/>
  <c r="D99" i="54"/>
  <c r="AL16" i="58"/>
  <c r="AG16" i="51" s="1"/>
  <c r="M99" i="46" a="1"/>
  <c r="M99" i="46" s="1"/>
  <c r="M98" i="46" a="1"/>
  <c r="M98" i="46" s="1"/>
  <c r="M113" i="47" a="1"/>
  <c r="M113" i="47" s="1"/>
  <c r="M112" i="47" a="1"/>
  <c r="M112" i="47" s="1"/>
  <c r="M111" i="47" a="1"/>
  <c r="M111" i="47" s="1"/>
  <c r="M110" i="47" a="1"/>
  <c r="M110" i="47" s="1"/>
  <c r="M109" i="47" a="1"/>
  <c r="M109" i="47" s="1"/>
  <c r="M102" i="47" a="1"/>
  <c r="M102" i="47" s="1"/>
  <c r="M101" i="47" a="1"/>
  <c r="M101" i="47" s="1"/>
  <c r="M100" i="47" a="1"/>
  <c r="M100" i="47" s="1"/>
  <c r="M99" i="47" a="1"/>
  <c r="M99" i="47" s="1"/>
  <c r="M98" i="47" a="1"/>
  <c r="M98" i="47" s="1"/>
  <c r="M113" i="46" a="1"/>
  <c r="M113" i="46" s="1"/>
  <c r="M111" i="46" a="1"/>
  <c r="M111" i="46" s="1"/>
  <c r="M110" i="46" a="1"/>
  <c r="M110" i="46" s="1"/>
  <c r="M109" i="46" a="1"/>
  <c r="M109" i="46" s="1"/>
  <c r="M100" i="46" a="1"/>
  <c r="M100" i="46" s="1"/>
  <c r="M102" i="46" a="1"/>
  <c r="M102" i="46" s="1"/>
  <c r="AG14" i="51" l="1"/>
  <c r="N77" i="69"/>
  <c r="AG12" i="51"/>
  <c r="N59" i="68"/>
  <c r="BJ56" i="47"/>
  <c r="BJ58" i="47"/>
  <c r="BJ57" i="47"/>
  <c r="BJ59" i="47"/>
  <c r="BH57" i="47"/>
  <c r="BH56" i="47"/>
  <c r="BH58" i="47"/>
  <c r="BH59" i="47"/>
  <c r="BI65" i="47"/>
  <c r="BI66" i="47"/>
  <c r="BI64" i="47"/>
  <c r="BI63" i="47"/>
  <c r="BI57" i="47"/>
  <c r="BI56" i="47"/>
  <c r="BI59" i="47"/>
  <c r="BI58" i="47"/>
  <c r="BJ65" i="47"/>
  <c r="BJ64" i="47"/>
  <c r="BJ63" i="47"/>
  <c r="BJ66" i="47"/>
  <c r="R12" i="58"/>
  <c r="K112" i="46"/>
  <c r="J112" i="46"/>
  <c r="I112" i="46"/>
  <c r="H112" i="46"/>
  <c r="G112" i="46"/>
  <c r="F112" i="46"/>
  <c r="E112" i="46"/>
  <c r="D112" i="46"/>
  <c r="M112" i="46" s="1" a="1"/>
  <c r="M112" i="46" s="1"/>
  <c r="K101" i="46"/>
  <c r="J101" i="46"/>
  <c r="I101" i="46"/>
  <c r="H101" i="46"/>
  <c r="G101" i="46"/>
  <c r="F101" i="46"/>
  <c r="E101" i="46"/>
  <c r="D101" i="46"/>
  <c r="K112" i="47"/>
  <c r="J112" i="47"/>
  <c r="I112" i="47"/>
  <c r="H112" i="47"/>
  <c r="G112" i="47"/>
  <c r="F112" i="47"/>
  <c r="E112" i="47"/>
  <c r="D112" i="47"/>
  <c r="E101" i="47"/>
  <c r="F101" i="47"/>
  <c r="G101" i="47"/>
  <c r="H101" i="47"/>
  <c r="I101" i="47"/>
  <c r="J101" i="47"/>
  <c r="K101" i="47"/>
  <c r="D101" i="47"/>
  <c r="M101" i="46" l="1" a="1"/>
  <c r="M101" i="46" s="1"/>
  <c r="K4" i="34" l="1"/>
  <c r="J4" i="34"/>
  <c r="I4" i="34"/>
  <c r="H4" i="34"/>
  <c r="G4" i="34"/>
  <c r="F4" i="34"/>
  <c r="E4" i="34"/>
  <c r="D4" i="34"/>
  <c r="K4" i="53"/>
  <c r="J4" i="53"/>
  <c r="I4" i="53"/>
  <c r="H4" i="53"/>
  <c r="G4" i="53"/>
  <c r="F4" i="53"/>
  <c r="E4" i="53"/>
  <c r="D4" i="53"/>
  <c r="F54" i="60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S42" i="48" a="1"/>
  <c r="S42" i="48" s="1"/>
  <c r="C25" i="61" a="1"/>
  <c r="C25" i="61" s="1"/>
  <c r="C24" i="61" a="1"/>
  <c r="C24" i="61" s="1"/>
  <c r="C23" i="61" a="1"/>
  <c r="C23" i="61" s="1"/>
  <c r="C20" i="61" a="1"/>
  <c r="C20" i="61" s="1"/>
  <c r="C19" i="61" a="1"/>
  <c r="C19" i="61" s="1"/>
  <c r="C18" i="61" a="1"/>
  <c r="C18" i="61" s="1"/>
  <c r="C17" i="61" a="1"/>
  <c r="C17" i="61" s="1"/>
  <c r="C14" i="61" a="1"/>
  <c r="C14" i="61" s="1"/>
  <c r="C13" i="61" a="1"/>
  <c r="C13" i="61" s="1"/>
  <c r="C12" i="61" a="1"/>
  <c r="C12" i="61" s="1"/>
  <c r="C11" i="61" a="1"/>
  <c r="C11" i="61" s="1"/>
  <c r="C8" i="61" a="1"/>
  <c r="C8" i="61" s="1"/>
  <c r="C7" i="61" a="1"/>
  <c r="C7" i="61" s="1"/>
  <c r="BY16" i="52" a="1"/>
  <c r="BY16" i="52" s="1"/>
  <c r="BW16" i="52" a="1"/>
  <c r="BW16" i="52" s="1"/>
  <c r="BY15" i="52" a="1"/>
  <c r="BY15" i="52" s="1"/>
  <c r="BW15" i="52" a="1"/>
  <c r="BW15" i="52" s="1"/>
  <c r="B45" i="60"/>
  <c r="C41" i="60"/>
  <c r="C40" i="60"/>
  <c r="AC5" i="52"/>
  <c r="B33" i="60" a="1"/>
  <c r="B33" i="60" s="1"/>
  <c r="B32" i="60" a="1"/>
  <c r="B32" i="60" s="1"/>
  <c r="M62" i="52" a="1"/>
  <c r="M62" i="52" s="1"/>
  <c r="AZ14" i="46"/>
  <c r="C7" i="51" a="1"/>
  <c r="C7" i="51" s="1"/>
  <c r="X54" i="47" a="1"/>
  <c r="X54" i="47" s="1"/>
  <c r="X53" i="47" a="1"/>
  <c r="X53" i="47" s="1"/>
  <c r="X52" i="47" a="1"/>
  <c r="X52" i="47" s="1"/>
  <c r="X54" i="46" a="1"/>
  <c r="X54" i="46" s="1"/>
  <c r="X53" i="46" a="1"/>
  <c r="X53" i="46" s="1"/>
  <c r="X51" i="46" a="1"/>
  <c r="X51" i="46" s="1"/>
  <c r="Z54" i="47" l="1"/>
  <c r="Y54" i="47"/>
  <c r="Z53" i="47"/>
  <c r="Y53" i="47"/>
  <c r="Z52" i="47"/>
  <c r="Y52" i="47"/>
  <c r="Y54" i="46"/>
  <c r="Z54" i="46"/>
  <c r="Z53" i="46"/>
  <c r="Y53" i="46"/>
  <c r="Z51" i="46"/>
  <c r="Y51" i="46"/>
  <c r="Q23" i="61" l="1"/>
  <c r="P23" i="61"/>
  <c r="O23" i="61"/>
  <c r="N23" i="61"/>
  <c r="M23" i="61"/>
  <c r="I17" i="61"/>
  <c r="T14" i="61"/>
  <c r="T13" i="61"/>
  <c r="T12" i="61"/>
  <c r="T11" i="61"/>
  <c r="I11" i="61"/>
  <c r="T10" i="61"/>
  <c r="T9" i="61"/>
  <c r="T8" i="61"/>
  <c r="T7" i="61"/>
  <c r="I7" i="61"/>
  <c r="H25" i="59"/>
  <c r="H26" i="59"/>
  <c r="H27" i="59"/>
  <c r="H28" i="59"/>
  <c r="H29" i="59"/>
  <c r="H30" i="59"/>
  <c r="H24" i="59"/>
  <c r="G25" i="59"/>
  <c r="G26" i="59"/>
  <c r="G27" i="59"/>
  <c r="G28" i="59"/>
  <c r="G29" i="59"/>
  <c r="G30" i="59"/>
  <c r="G24" i="59"/>
  <c r="E25" i="59"/>
  <c r="E26" i="59"/>
  <c r="E27" i="59"/>
  <c r="E28" i="59"/>
  <c r="E29" i="59"/>
  <c r="E30" i="59"/>
  <c r="E24" i="59"/>
  <c r="C16" i="60" l="1"/>
  <c r="C15" i="60"/>
  <c r="C11" i="60"/>
  <c r="C5" i="60"/>
  <c r="DI24" i="52"/>
  <c r="DI25" i="52"/>
  <c r="DI26" i="52"/>
  <c r="DI27" i="52"/>
  <c r="DI28" i="52"/>
  <c r="DI23" i="52"/>
  <c r="H34" i="59"/>
  <c r="G34" i="59"/>
  <c r="W27" i="59"/>
  <c r="W28" i="59"/>
  <c r="W29" i="59"/>
  <c r="W26" i="59"/>
  <c r="AR17" i="59" l="1"/>
  <c r="AS17" i="59"/>
  <c r="AT17" i="59"/>
  <c r="AU17" i="59"/>
  <c r="AR30" i="59"/>
  <c r="AS30" i="59"/>
  <c r="AT30" i="59"/>
  <c r="AU30" i="59"/>
  <c r="AR42" i="59"/>
  <c r="AS42" i="59"/>
  <c r="AT42" i="59"/>
  <c r="AU42" i="59"/>
  <c r="AR54" i="59"/>
  <c r="AS54" i="59"/>
  <c r="AT54" i="59"/>
  <c r="AU54" i="59"/>
  <c r="F52" i="59"/>
  <c r="AI12" i="48"/>
  <c r="AJ12" i="48"/>
  <c r="AK12" i="48"/>
  <c r="AL12" i="48"/>
  <c r="AM12" i="48"/>
  <c r="AN12" i="48"/>
  <c r="AO12" i="48"/>
  <c r="AP12" i="48"/>
  <c r="AI13" i="48"/>
  <c r="AJ13" i="48"/>
  <c r="AK13" i="48"/>
  <c r="AL13" i="48"/>
  <c r="AM13" i="48"/>
  <c r="AN13" i="48"/>
  <c r="AO13" i="48"/>
  <c r="AP13" i="48"/>
  <c r="AI14" i="48"/>
  <c r="AJ14" i="48"/>
  <c r="AK14" i="48"/>
  <c r="AL14" i="48"/>
  <c r="AM14" i="48"/>
  <c r="AN14" i="48"/>
  <c r="AO14" i="48"/>
  <c r="AP14" i="48"/>
  <c r="AI15" i="48"/>
  <c r="AJ15" i="48"/>
  <c r="AK15" i="48"/>
  <c r="AL15" i="48"/>
  <c r="AM15" i="48"/>
  <c r="AN15" i="48"/>
  <c r="AO15" i="48"/>
  <c r="AP15" i="48"/>
  <c r="AI16" i="48"/>
  <c r="AJ16" i="48"/>
  <c r="AK16" i="48"/>
  <c r="AL16" i="48"/>
  <c r="AM16" i="48"/>
  <c r="AN16" i="48"/>
  <c r="AO16" i="48"/>
  <c r="AP16" i="48"/>
  <c r="AI17" i="48"/>
  <c r="AJ17" i="48"/>
  <c r="AK17" i="48"/>
  <c r="AL17" i="48"/>
  <c r="AM17" i="48"/>
  <c r="AN17" i="48"/>
  <c r="AO17" i="48"/>
  <c r="AP17" i="48"/>
  <c r="AI18" i="48"/>
  <c r="AJ18" i="48"/>
  <c r="AK18" i="48"/>
  <c r="AL18" i="48"/>
  <c r="AM18" i="48"/>
  <c r="AN18" i="48"/>
  <c r="AO18" i="48"/>
  <c r="AP18" i="48"/>
  <c r="AI19" i="48"/>
  <c r="AJ19" i="48"/>
  <c r="AK19" i="48"/>
  <c r="AL19" i="48"/>
  <c r="AM19" i="48"/>
  <c r="AN19" i="48"/>
  <c r="AO19" i="48"/>
  <c r="AP19" i="48"/>
  <c r="AI20" i="48"/>
  <c r="AJ20" i="48"/>
  <c r="AK20" i="48"/>
  <c r="AL20" i="48"/>
  <c r="AM20" i="48"/>
  <c r="AN20" i="48"/>
  <c r="AO20" i="48"/>
  <c r="AP20" i="48"/>
  <c r="AI21" i="48"/>
  <c r="AJ21" i="48"/>
  <c r="AK21" i="48"/>
  <c r="AL21" i="48"/>
  <c r="AM21" i="48"/>
  <c r="AN21" i="48"/>
  <c r="AO21" i="48"/>
  <c r="AP21" i="48"/>
  <c r="L37" i="48"/>
  <c r="M37" i="48"/>
  <c r="N37" i="48"/>
  <c r="O37" i="48"/>
  <c r="L38" i="48"/>
  <c r="M38" i="48"/>
  <c r="N38" i="48"/>
  <c r="O38" i="48"/>
  <c r="L32" i="48"/>
  <c r="M32" i="48"/>
  <c r="N32" i="48"/>
  <c r="O32" i="48"/>
  <c r="L33" i="48"/>
  <c r="M33" i="48"/>
  <c r="N33" i="48"/>
  <c r="O33" i="48"/>
  <c r="L34" i="48"/>
  <c r="M34" i="48"/>
  <c r="N34" i="48"/>
  <c r="O34" i="48"/>
  <c r="L35" i="48"/>
  <c r="M35" i="48"/>
  <c r="N35" i="48"/>
  <c r="O35" i="48"/>
  <c r="L36" i="48"/>
  <c r="M36" i="48"/>
  <c r="N36" i="48"/>
  <c r="O36" i="48"/>
  <c r="P37" i="48" l="1"/>
  <c r="P32" i="48"/>
  <c r="P35" i="48"/>
  <c r="P38" i="48"/>
  <c r="P34" i="48"/>
  <c r="P36" i="48"/>
  <c r="P33" i="48"/>
  <c r="J57" i="60" l="1"/>
  <c r="B52" i="60"/>
  <c r="W64" i="51" s="1"/>
  <c r="C37" i="60"/>
  <c r="C38" i="60" s="1"/>
  <c r="C35" i="60" a="1"/>
  <c r="C35" i="60" s="1"/>
  <c r="C13" i="60"/>
  <c r="M26" i="60"/>
  <c r="E165" i="59" a="1"/>
  <c r="G165" i="59" s="1"/>
  <c r="F143" i="59"/>
  <c r="F169" i="59" s="1"/>
  <c r="F142" i="59"/>
  <c r="F168" i="59" s="1"/>
  <c r="F141" i="59"/>
  <c r="F167" i="59" s="1"/>
  <c r="E139" i="59" a="1"/>
  <c r="I139" i="59" s="1"/>
  <c r="AV136" i="59"/>
  <c r="AV135" i="59"/>
  <c r="AV134" i="59"/>
  <c r="AV133" i="59"/>
  <c r="AV132" i="59"/>
  <c r="AV131" i="59"/>
  <c r="AV130" i="59"/>
  <c r="AX114" i="59"/>
  <c r="E113" i="59" a="1"/>
  <c r="I113" i="59" s="1"/>
  <c r="AJ108" i="59"/>
  <c r="AJ107" i="59"/>
  <c r="AJ106" i="59"/>
  <c r="AJ105" i="59"/>
  <c r="AJ104" i="59"/>
  <c r="AJ103" i="59"/>
  <c r="AO102" i="59"/>
  <c r="AO103" i="59" s="1"/>
  <c r="AO104" i="59" s="1"/>
  <c r="AJ102" i="59"/>
  <c r="AJ101" i="59"/>
  <c r="S12" i="54"/>
  <c r="R12" i="54"/>
  <c r="Q12" i="54"/>
  <c r="P12" i="54"/>
  <c r="O12" i="54"/>
  <c r="N12" i="54"/>
  <c r="M12" i="54"/>
  <c r="L12" i="54"/>
  <c r="K12" i="54"/>
  <c r="J12" i="54"/>
  <c r="M78" i="69" s="1"/>
  <c r="I12" i="54"/>
  <c r="M77" i="69" s="1"/>
  <c r="H12" i="54"/>
  <c r="M60" i="68" s="1"/>
  <c r="G12" i="54"/>
  <c r="F12" i="54"/>
  <c r="F13" i="54" s="1"/>
  <c r="C120" i="54" s="1"/>
  <c r="E12" i="54"/>
  <c r="D12" i="54"/>
  <c r="C12" i="54"/>
  <c r="B12" i="54"/>
  <c r="B25" i="54" s="1"/>
  <c r="A12" i="54"/>
  <c r="M59" i="68" l="1"/>
  <c r="G25" i="54"/>
  <c r="C125" i="54" s="1"/>
  <c r="N92" i="69" a="1"/>
  <c r="N92" i="69" s="1"/>
  <c r="U35" i="69" s="1"/>
  <c r="M92" i="69" a="1"/>
  <c r="M92" i="69" s="1"/>
  <c r="D11" i="69" s="1"/>
  <c r="M74" i="68" a="1"/>
  <c r="M74" i="68" s="1"/>
  <c r="D11" i="68" s="1"/>
  <c r="N74" i="68" a="1"/>
  <c r="N74" i="68" s="1"/>
  <c r="U32" i="68" s="1"/>
  <c r="J4" i="54"/>
  <c r="N8" i="69"/>
  <c r="R8" i="69" s="1" a="1"/>
  <c r="R8" i="69" s="1"/>
  <c r="H5" i="54"/>
  <c r="N8" i="68"/>
  <c r="R8" i="68" s="1" a="1"/>
  <c r="R8" i="68" s="1"/>
  <c r="O4" i="54"/>
  <c r="O3" i="54"/>
  <c r="O17" i="54"/>
  <c r="O16" i="54"/>
  <c r="O18" i="54"/>
  <c r="O5" i="54"/>
  <c r="O19" i="54"/>
  <c r="O6" i="54"/>
  <c r="R4" i="54"/>
  <c r="R5" i="54"/>
  <c r="R6" i="54"/>
  <c r="R3" i="54"/>
  <c r="C113" i="54" s="1" a="1"/>
  <c r="C113" i="54" s="1"/>
  <c r="R16" i="54"/>
  <c r="R17" i="54" s="1"/>
  <c r="R18" i="54" s="1"/>
  <c r="R19" i="54" s="1"/>
  <c r="AN5" i="46"/>
  <c r="AN14" i="46" s="1"/>
  <c r="E13" i="54"/>
  <c r="C119" i="54" s="1"/>
  <c r="B122" i="54" s="1"/>
  <c r="BG31" i="47" a="1"/>
  <c r="BG31" i="47" s="1"/>
  <c r="BH68" i="47"/>
  <c r="BH68" i="46"/>
  <c r="BG31" i="46" a="1"/>
  <c r="BG31" i="46" s="1"/>
  <c r="Q2" i="54"/>
  <c r="C111" i="54" s="1" a="1"/>
  <c r="C111" i="54" s="1"/>
  <c r="Q15" i="54"/>
  <c r="M10" i="60"/>
  <c r="M14" i="60"/>
  <c r="M17" i="60"/>
  <c r="AW116" i="59" a="1"/>
  <c r="AW116" i="59" s="1"/>
  <c r="M30" i="60"/>
  <c r="M35" i="60"/>
  <c r="M7" i="60"/>
  <c r="M44" i="60"/>
  <c r="H165" i="59"/>
  <c r="I165" i="59"/>
  <c r="M49" i="60"/>
  <c r="K57" i="60" a="1"/>
  <c r="K57" i="60" s="1"/>
  <c r="M22" i="60"/>
  <c r="M27" i="60"/>
  <c r="M40" i="60"/>
  <c r="E139" i="59"/>
  <c r="M32" i="60"/>
  <c r="M36" i="60"/>
  <c r="C42" i="60"/>
  <c r="C12" i="60" s="1"/>
  <c r="M50" i="60"/>
  <c r="F139" i="59"/>
  <c r="M11" i="60"/>
  <c r="M18" i="60"/>
  <c r="M45" i="60"/>
  <c r="G139" i="59"/>
  <c r="M23" i="60"/>
  <c r="M28" i="60"/>
  <c r="H139" i="59"/>
  <c r="M8" i="60"/>
  <c r="M41" i="60"/>
  <c r="J56" i="60"/>
  <c r="E113" i="59"/>
  <c r="M15" i="60"/>
  <c r="M37" i="60"/>
  <c r="M46" i="60"/>
  <c r="F113" i="59"/>
  <c r="M19" i="60"/>
  <c r="M29" i="60"/>
  <c r="M33" i="60"/>
  <c r="G113" i="59"/>
  <c r="M12" i="60"/>
  <c r="M24" i="60"/>
  <c r="H113" i="59"/>
  <c r="M42" i="60"/>
  <c r="M47" i="60"/>
  <c r="M34" i="60"/>
  <c r="M38" i="60"/>
  <c r="M3" i="60"/>
  <c r="M6" i="60"/>
  <c r="M9" i="60"/>
  <c r="M16" i="60"/>
  <c r="M20" i="60"/>
  <c r="M25" i="60"/>
  <c r="E165" i="59"/>
  <c r="M43" i="60"/>
  <c r="M48" i="60"/>
  <c r="F165" i="59"/>
  <c r="M13" i="60"/>
  <c r="M31" i="60"/>
  <c r="M39" i="60"/>
  <c r="M21" i="60"/>
  <c r="J16" i="54"/>
  <c r="J17" i="54"/>
  <c r="J3" i="54"/>
  <c r="H17" i="54"/>
  <c r="H15" i="54"/>
  <c r="H16" i="54"/>
  <c r="H4" i="54"/>
  <c r="H3" i="54"/>
  <c r="H7" i="54"/>
  <c r="H2" i="54"/>
  <c r="H6" i="54"/>
  <c r="H8" i="58" l="1"/>
  <c r="AK3" i="58" s="1"/>
  <c r="AF3" i="51" s="1"/>
  <c r="C8" i="51"/>
  <c r="H86" i="51"/>
  <c r="E58" i="69"/>
  <c r="H109" i="51"/>
  <c r="BH100" i="46"/>
  <c r="BH99" i="46"/>
  <c r="BJ99" i="46" s="1"/>
  <c r="BS94" i="46" s="1"/>
  <c r="F9" i="69"/>
  <c r="U11" i="69" s="1" a="1"/>
  <c r="U11" i="69" s="1"/>
  <c r="E9" i="69"/>
  <c r="X6" i="69" s="1" a="1"/>
  <c r="X6" i="69" s="1"/>
  <c r="C97" i="54" a="1"/>
  <c r="C97" i="54" s="1"/>
  <c r="AL15" i="58" s="1"/>
  <c r="J51" i="68"/>
  <c r="E51" i="68"/>
  <c r="E9" i="68"/>
  <c r="X6" i="68" s="1" a="1"/>
  <c r="X6" i="68" s="1"/>
  <c r="F9" i="68"/>
  <c r="U11" i="68" s="1" a="1"/>
  <c r="U11" i="68" s="1"/>
  <c r="C93" i="54" a="1"/>
  <c r="C93" i="54" s="1"/>
  <c r="D93" i="54" s="1"/>
  <c r="O12" i="58" s="1"/>
  <c r="AL23" i="58"/>
  <c r="AG23" i="51" s="1"/>
  <c r="D113" i="54"/>
  <c r="Y12" i="58" s="1"/>
  <c r="D111" i="54"/>
  <c r="AL22" i="58"/>
  <c r="AG22" i="51" s="1"/>
  <c r="BI73" i="47"/>
  <c r="D19" i="47" s="1"/>
  <c r="BJ71" i="47"/>
  <c r="E9" i="47" s="1"/>
  <c r="BJ72" i="47"/>
  <c r="E14" i="47" s="1"/>
  <c r="BJ73" i="47"/>
  <c r="E19" i="47" s="1"/>
  <c r="BJ74" i="47"/>
  <c r="E24" i="47" s="1"/>
  <c r="BI74" i="47"/>
  <c r="D24" i="47" s="1"/>
  <c r="BH72" i="47"/>
  <c r="C14" i="47" s="1"/>
  <c r="BH73" i="47"/>
  <c r="C19" i="47" s="1"/>
  <c r="BH74" i="47"/>
  <c r="C24" i="47" s="1"/>
  <c r="BH71" i="47"/>
  <c r="C9" i="47" s="1"/>
  <c r="BI71" i="47"/>
  <c r="D9" i="47" s="1"/>
  <c r="BI72" i="47"/>
  <c r="D14" i="47" s="1"/>
  <c r="BJ73" i="46"/>
  <c r="BH74" i="46"/>
  <c r="BI74" i="46"/>
  <c r="BJ74" i="46"/>
  <c r="BI71" i="46"/>
  <c r="BJ71" i="46"/>
  <c r="BH71" i="46"/>
  <c r="BH72" i="46"/>
  <c r="BI72" i="46"/>
  <c r="BJ72" i="46"/>
  <c r="BH73" i="46"/>
  <c r="BI73" i="46"/>
  <c r="AY116" i="59"/>
  <c r="AX116" i="59"/>
  <c r="K56" i="60" a="1"/>
  <c r="K56" i="60" s="1"/>
  <c r="F170" i="59"/>
  <c r="H18" i="60"/>
  <c r="H11" i="60"/>
  <c r="H14" i="60"/>
  <c r="H7" i="60"/>
  <c r="H17" i="60"/>
  <c r="H10" i="60"/>
  <c r="H13" i="60"/>
  <c r="H16" i="60"/>
  <c r="H9" i="60"/>
  <c r="H6" i="60"/>
  <c r="H3" i="60"/>
  <c r="H12" i="60"/>
  <c r="H15" i="60"/>
  <c r="H8" i="60"/>
  <c r="F144" i="59"/>
  <c r="AG15" i="51" l="1"/>
  <c r="N78" i="69"/>
  <c r="V11" i="69"/>
  <c r="O11" i="69" s="1"/>
  <c r="C107" i="51" s="1"/>
  <c r="J58" i="69"/>
  <c r="D10" i="68"/>
  <c r="G25" i="69"/>
  <c r="E25" i="69"/>
  <c r="E26" i="69"/>
  <c r="U7" i="69"/>
  <c r="V7" i="69"/>
  <c r="V6" i="69"/>
  <c r="V11" i="68"/>
  <c r="O11" i="68" s="1"/>
  <c r="C84" i="51" s="1"/>
  <c r="BS92" i="46"/>
  <c r="BS93" i="46"/>
  <c r="BS91" i="46"/>
  <c r="BS90" i="46"/>
  <c r="BS89" i="46"/>
  <c r="BJ100" i="46"/>
  <c r="BT89" i="46" s="1"/>
  <c r="BK100" i="46"/>
  <c r="BS95" i="46"/>
  <c r="BS88" i="46"/>
  <c r="U6" i="69"/>
  <c r="E40" i="69"/>
  <c r="J40" i="69" s="1"/>
  <c r="C20" i="69"/>
  <c r="T7" i="69"/>
  <c r="T6" i="69"/>
  <c r="D10" i="69"/>
  <c r="V35" i="69" s="1"/>
  <c r="M35" i="69" s="1"/>
  <c r="C124" i="51" s="1"/>
  <c r="D97" i="54"/>
  <c r="Q12" i="58" s="1"/>
  <c r="V6" i="68"/>
  <c r="U6" i="68"/>
  <c r="U7" i="68"/>
  <c r="V7" i="68"/>
  <c r="T6" i="68"/>
  <c r="T7" i="68"/>
  <c r="C18" i="68"/>
  <c r="J33" i="68"/>
  <c r="E33" i="68"/>
  <c r="AL13" i="58"/>
  <c r="X12" i="58"/>
  <c r="CL22" i="52"/>
  <c r="H45" i="60"/>
  <c r="H50" i="60"/>
  <c r="H36" i="60"/>
  <c r="H32" i="60"/>
  <c r="H40" i="60"/>
  <c r="H27" i="60"/>
  <c r="H22" i="60"/>
  <c r="H49" i="60"/>
  <c r="H44" i="60"/>
  <c r="H35" i="60"/>
  <c r="H26" i="60"/>
  <c r="H21" i="60"/>
  <c r="H39" i="60"/>
  <c r="H31" i="60"/>
  <c r="H48" i="60"/>
  <c r="H43" i="60"/>
  <c r="H25" i="60"/>
  <c r="H20" i="60"/>
  <c r="H38" i="60"/>
  <c r="H34" i="60"/>
  <c r="H30" i="60"/>
  <c r="H47" i="60"/>
  <c r="H42" i="60"/>
  <c r="H24" i="60"/>
  <c r="H41" i="60"/>
  <c r="H33" i="60"/>
  <c r="H29" i="60"/>
  <c r="H19" i="60"/>
  <c r="H46" i="60"/>
  <c r="H37" i="60"/>
  <c r="H28" i="60"/>
  <c r="H23" i="60"/>
  <c r="AG13" i="51" l="1"/>
  <c r="N60" i="68"/>
  <c r="BT94" i="46"/>
  <c r="BU94" i="46" s="1"/>
  <c r="BT90" i="46"/>
  <c r="BU90" i="46" s="1"/>
  <c r="BT92" i="46"/>
  <c r="BU92" i="46" s="1"/>
  <c r="BT93" i="46"/>
  <c r="BU93" i="46" s="1"/>
  <c r="BT95" i="46"/>
  <c r="BU95" i="46" s="1"/>
  <c r="BT91" i="46"/>
  <c r="BU91" i="46" s="1"/>
  <c r="BT88" i="46"/>
  <c r="BU88" i="46" s="1"/>
  <c r="BU89" i="46"/>
  <c r="V32" i="68"/>
  <c r="E53" i="68"/>
  <c r="O13" i="68" s="1"/>
  <c r="D90" i="51" s="1"/>
  <c r="B75" i="54"/>
  <c r="B76" i="54"/>
  <c r="AL4" i="58" s="1"/>
  <c r="E60" i="69"/>
  <c r="O15" i="69" s="1"/>
  <c r="D114" i="51" s="1"/>
  <c r="J60" i="69"/>
  <c r="O16" i="69" s="1"/>
  <c r="D115" i="51" s="1"/>
  <c r="J53" i="68"/>
  <c r="O14" i="68" s="1"/>
  <c r="D91" i="51" s="1"/>
  <c r="R74" i="51" a="1"/>
  <c r="R74" i="51" s="1"/>
  <c r="R72" i="51" a="1"/>
  <c r="R72" i="51" s="1"/>
  <c r="R71" i="51" a="1"/>
  <c r="R71" i="51" s="1"/>
  <c r="C67" i="51" a="1"/>
  <c r="C67" i="51" s="1"/>
  <c r="C66" i="51" a="1"/>
  <c r="C66" i="51" s="1"/>
  <c r="W62" i="51" a="1"/>
  <c r="W62" i="51" s="1"/>
  <c r="D64" i="51" a="1"/>
  <c r="D64" i="51" s="1"/>
  <c r="W60" i="51" a="1"/>
  <c r="W60" i="51" s="1"/>
  <c r="C63" i="51" a="1"/>
  <c r="C63" i="51" s="1"/>
  <c r="W58" i="51" a="1"/>
  <c r="W58" i="51" s="1"/>
  <c r="C61" i="51" a="1"/>
  <c r="C61" i="51" s="1"/>
  <c r="Z56" i="51" a="1"/>
  <c r="Z56" i="51" s="1"/>
  <c r="C60" i="51" a="1"/>
  <c r="C60" i="51" s="1"/>
  <c r="C59" i="51" a="1"/>
  <c r="C59" i="51" s="1"/>
  <c r="C58" i="51" a="1"/>
  <c r="C58" i="51" s="1"/>
  <c r="D56" i="51" a="1"/>
  <c r="D56" i="51" s="1"/>
  <c r="C56" i="51" a="1"/>
  <c r="C56" i="51" s="1"/>
  <c r="C55" i="51" a="1"/>
  <c r="C55" i="51" s="1"/>
  <c r="C53" i="51" a="1"/>
  <c r="C53" i="51" s="1"/>
  <c r="J52" i="51" a="1"/>
  <c r="J52" i="51" s="1"/>
  <c r="J51" i="51" a="1"/>
  <c r="J51" i="51" s="1"/>
  <c r="C51" i="51" a="1"/>
  <c r="C51" i="51" s="1"/>
  <c r="C50" i="51" a="1"/>
  <c r="C50" i="51" s="1"/>
  <c r="J49" i="51" a="1"/>
  <c r="J49" i="51" s="1"/>
  <c r="C48" i="51" a="1"/>
  <c r="C48" i="51" s="1"/>
  <c r="J47" i="51" a="1"/>
  <c r="J47" i="51" s="1"/>
  <c r="C47" i="51" a="1"/>
  <c r="C47" i="51" s="1"/>
  <c r="G46" i="51" a="1"/>
  <c r="G46" i="51" s="1"/>
  <c r="E46" i="51" a="1"/>
  <c r="E46" i="51" s="1"/>
  <c r="J45" i="51" a="1"/>
  <c r="J45" i="51" s="1"/>
  <c r="J44" i="51" a="1"/>
  <c r="J44" i="51" s="1"/>
  <c r="C44" i="51" a="1"/>
  <c r="C44" i="51" s="1"/>
  <c r="C42" i="51" a="1"/>
  <c r="C42" i="51" s="1"/>
  <c r="J41" i="51" a="1"/>
  <c r="J41" i="51" s="1"/>
  <c r="R36" i="51" a="1"/>
  <c r="R36" i="51" s="1"/>
  <c r="J40" i="51" a="1"/>
  <c r="J40" i="51" s="1"/>
  <c r="C40" i="51" a="1"/>
  <c r="C40" i="51" s="1"/>
  <c r="R35" i="51" a="1"/>
  <c r="R35" i="51" s="1"/>
  <c r="R34" i="51" a="1"/>
  <c r="R34" i="51" s="1"/>
  <c r="R32" i="51" a="1"/>
  <c r="R32" i="51" s="1"/>
  <c r="R30" i="51" a="1"/>
  <c r="R30" i="51" s="1"/>
  <c r="R29" i="51" a="1"/>
  <c r="R29" i="51" s="1"/>
  <c r="R28" i="51" a="1"/>
  <c r="R28" i="51" s="1"/>
  <c r="R27" i="51" a="1"/>
  <c r="R27" i="51" s="1"/>
  <c r="R26" i="51" a="1"/>
  <c r="R26" i="51" s="1"/>
  <c r="R24" i="51" a="1"/>
  <c r="R24" i="51" s="1"/>
  <c r="R23" i="51" a="1"/>
  <c r="R23" i="51" s="1"/>
  <c r="R22" i="51" a="1"/>
  <c r="R22" i="51" s="1"/>
  <c r="R19" i="51" a="1"/>
  <c r="R19" i="51" s="1"/>
  <c r="R18" i="51" a="1"/>
  <c r="R18" i="51" s="1"/>
  <c r="R16" i="51" a="1"/>
  <c r="R16" i="51" s="1"/>
  <c r="R13" i="51" a="1"/>
  <c r="R13" i="51" s="1"/>
  <c r="R12" i="51" a="1"/>
  <c r="R12" i="51" s="1"/>
  <c r="R11" i="51" a="1"/>
  <c r="R11" i="51" s="1"/>
  <c r="Z9" i="51" a="1"/>
  <c r="Z9" i="51" s="1"/>
  <c r="Y9" i="51" a="1"/>
  <c r="Y9" i="51" s="1"/>
  <c r="X9" i="51" a="1"/>
  <c r="X9" i="51" s="1"/>
  <c r="W9" i="51" a="1"/>
  <c r="W9" i="51" s="1"/>
  <c r="R9" i="51" a="1"/>
  <c r="R9" i="51" s="1"/>
  <c r="X7" i="51" a="1"/>
  <c r="X7" i="51" s="1"/>
  <c r="R4" i="51" a="1"/>
  <c r="R4" i="51" s="1"/>
  <c r="R3" i="51" a="1"/>
  <c r="R3" i="51" s="1"/>
  <c r="C3" i="51" a="1"/>
  <c r="C3" i="51" s="1"/>
  <c r="O2" i="51" a="1"/>
  <c r="O2" i="51" s="1"/>
  <c r="M21" i="53" a="1"/>
  <c r="M21" i="53" s="1"/>
  <c r="M20" i="53" a="1"/>
  <c r="M20" i="53" s="1"/>
  <c r="M18" i="53" a="1"/>
  <c r="M18" i="53" s="1"/>
  <c r="G41" i="51" s="1"/>
  <c r="M17" i="53" a="1"/>
  <c r="M17" i="53" s="1"/>
  <c r="E41" i="51" s="1"/>
  <c r="M16" i="53" a="1"/>
  <c r="M16" i="53" s="1"/>
  <c r="M14" i="53" a="1"/>
  <c r="M14" i="53" s="1"/>
  <c r="M13" i="53" a="1"/>
  <c r="M13" i="53" s="1"/>
  <c r="M12" i="53" a="1"/>
  <c r="M12" i="53" s="1"/>
  <c r="M10" i="53" a="1"/>
  <c r="M10" i="53" s="1"/>
  <c r="M9" i="53" a="1"/>
  <c r="M9" i="53" s="1"/>
  <c r="M8" i="53" a="1"/>
  <c r="M8" i="53" s="1"/>
  <c r="M7" i="53" a="1"/>
  <c r="M7" i="53" s="1"/>
  <c r="M6" i="53" a="1"/>
  <c r="M6" i="53" s="1"/>
  <c r="V5" i="53"/>
  <c r="M5" i="53" a="1"/>
  <c r="M5" i="53" s="1"/>
  <c r="L3" i="47"/>
  <c r="H84" i="47" s="1"/>
  <c r="L3" i="46"/>
  <c r="H84" i="46" s="1"/>
  <c r="O127" i="51" l="1"/>
  <c r="AH57" i="58"/>
  <c r="BH105" i="46" a="1"/>
  <c r="BH105" i="46" s="1"/>
  <c r="BH110" i="46" s="1"/>
  <c r="C14" i="46" s="1"/>
  <c r="R32" i="68"/>
  <c r="M32" i="68"/>
  <c r="C101" i="51" s="1"/>
  <c r="AG4" i="51"/>
  <c r="F8" i="51" s="1"/>
  <c r="V6" i="53"/>
  <c r="F50" i="59" s="1"/>
  <c r="F49" i="59"/>
  <c r="L41" i="51"/>
  <c r="L48" i="51"/>
  <c r="M41" i="51"/>
  <c r="M48" i="51"/>
  <c r="C24" i="52"/>
  <c r="BB14" i="52" s="1"/>
  <c r="C25" i="52"/>
  <c r="BB15" i="52" s="1"/>
  <c r="C26" i="52"/>
  <c r="CR25" i="52" s="1"/>
  <c r="C27" i="52"/>
  <c r="CR26" i="52" s="1"/>
  <c r="C28" i="52"/>
  <c r="CR27" i="52" s="1"/>
  <c r="C23" i="52"/>
  <c r="BB13" i="52" s="1"/>
  <c r="CM34" i="52"/>
  <c r="BC18" i="52"/>
  <c r="BN17" i="52"/>
  <c r="BF17" i="52"/>
  <c r="BM16" i="52"/>
  <c r="BC16" i="52"/>
  <c r="BF14" i="52"/>
  <c r="CM19" i="52"/>
  <c r="DN18" i="52"/>
  <c r="BJ18" i="52"/>
  <c r="BI18" i="52"/>
  <c r="BH18" i="52"/>
  <c r="BG18" i="52"/>
  <c r="BF18" i="52"/>
  <c r="BE18" i="52"/>
  <c r="BD18" i="52"/>
  <c r="BM17" i="52"/>
  <c r="BL17" i="52"/>
  <c r="BK17" i="52"/>
  <c r="BJ17" i="52"/>
  <c r="BI17" i="52"/>
  <c r="BH17" i="52"/>
  <c r="BG17" i="52"/>
  <c r="BE17" i="52"/>
  <c r="BD17" i="52"/>
  <c r="BC17" i="52"/>
  <c r="BN16" i="52"/>
  <c r="BL16" i="52"/>
  <c r="BK16" i="52"/>
  <c r="BJ16" i="52"/>
  <c r="BI16" i="52"/>
  <c r="BH16" i="52"/>
  <c r="BG16" i="52"/>
  <c r="BF16" i="52"/>
  <c r="BE16" i="52"/>
  <c r="BD16" i="52"/>
  <c r="CY15" i="52"/>
  <c r="DC15" i="52" s="1"/>
  <c r="BJ15" i="52"/>
  <c r="BI15" i="52"/>
  <c r="BH15" i="52"/>
  <c r="BG15" i="52"/>
  <c r="BF15" i="52"/>
  <c r="BE15" i="52"/>
  <c r="BD15" i="52"/>
  <c r="BC15" i="52"/>
  <c r="BJ14" i="52"/>
  <c r="BI14" i="52"/>
  <c r="BH14" i="52"/>
  <c r="BG14" i="52"/>
  <c r="BE14" i="52"/>
  <c r="BD14" i="52"/>
  <c r="BC14" i="52"/>
  <c r="CY11" i="52"/>
  <c r="DC11" i="52" s="1"/>
  <c r="CR11" i="52"/>
  <c r="W7" i="52" a="1"/>
  <c r="W7" i="52" s="1"/>
  <c r="C6" i="52" s="1"/>
  <c r="M54" i="52" s="1" a="1"/>
  <c r="M54" i="52" s="1"/>
  <c r="M60" i="52" s="1" a="1"/>
  <c r="M60" i="52" s="1"/>
  <c r="DH5" i="52"/>
  <c r="AC8" i="52"/>
  <c r="DH4" i="52"/>
  <c r="T19" i="51"/>
  <c r="BB10" i="46"/>
  <c r="BC10" i="46"/>
  <c r="BA11" i="46"/>
  <c r="BB11" i="46"/>
  <c r="BB8" i="46"/>
  <c r="BA8" i="46"/>
  <c r="BA9" i="46"/>
  <c r="BB9" i="46"/>
  <c r="BC9" i="46"/>
  <c r="BA10" i="46"/>
  <c r="BC11" i="46"/>
  <c r="BC8" i="46"/>
  <c r="BH112" i="46" l="1"/>
  <c r="C24" i="46" s="1"/>
  <c r="BH109" i="46"/>
  <c r="C9" i="46" s="1"/>
  <c r="BH111" i="46"/>
  <c r="C19" i="46" s="1"/>
  <c r="BI105" i="46"/>
  <c r="BJ105" i="46"/>
  <c r="BJ112" i="46" s="1"/>
  <c r="E24" i="46" s="1"/>
  <c r="M47" i="52" a="1"/>
  <c r="M47" i="52" s="1"/>
  <c r="M59" i="52" s="1" a="1"/>
  <c r="M59" i="52" s="1"/>
  <c r="BW17" i="52"/>
  <c r="I14" i="52"/>
  <c r="AO14" i="52" s="1"/>
  <c r="F3" i="59"/>
  <c r="CR24" i="52"/>
  <c r="CR22" i="52"/>
  <c r="G12" i="52"/>
  <c r="AM12" i="52" s="1"/>
  <c r="C18" i="52"/>
  <c r="AI18" i="52" s="1"/>
  <c r="I15" i="52"/>
  <c r="AO15" i="52" s="1"/>
  <c r="C17" i="52"/>
  <c r="AI17" i="52" s="1"/>
  <c r="G15" i="52"/>
  <c r="AM15" i="52" s="1"/>
  <c r="C16" i="52"/>
  <c r="AI16" i="52" s="1"/>
  <c r="E15" i="52"/>
  <c r="AK15" i="52" s="1"/>
  <c r="C15" i="52"/>
  <c r="AI15" i="52" s="1"/>
  <c r="P10" i="52"/>
  <c r="AT10" i="52" s="1"/>
  <c r="P14" i="52"/>
  <c r="AT14" i="52" s="1"/>
  <c r="N15" i="52"/>
  <c r="AR15" i="52" s="1"/>
  <c r="R14" i="52"/>
  <c r="AV14" i="52" s="1"/>
  <c r="N16" i="52"/>
  <c r="AR16" i="52" s="1"/>
  <c r="T14" i="52"/>
  <c r="AX14" i="52" s="1"/>
  <c r="P15" i="52"/>
  <c r="AT15" i="52" s="1"/>
  <c r="R15" i="52"/>
  <c r="AV15" i="52" s="1"/>
  <c r="N10" i="52"/>
  <c r="AR10" i="52" s="1"/>
  <c r="R11" i="52"/>
  <c r="AV11" i="52" s="1"/>
  <c r="P16" i="52"/>
  <c r="AT16" i="52" s="1"/>
  <c r="R17" i="52"/>
  <c r="AV17" i="52" s="1"/>
  <c r="R10" i="52"/>
  <c r="AV10" i="52" s="1"/>
  <c r="P11" i="52"/>
  <c r="AT11" i="52" s="1"/>
  <c r="U11" i="52"/>
  <c r="R12" i="52"/>
  <c r="AV12" i="52" s="1"/>
  <c r="P18" i="52"/>
  <c r="AT18" i="52" s="1"/>
  <c r="N12" i="52"/>
  <c r="AR12" i="52" s="1"/>
  <c r="T10" i="52"/>
  <c r="AX10" i="52" s="1"/>
  <c r="N17" i="52"/>
  <c r="AR17" i="52" s="1"/>
  <c r="O11" i="52"/>
  <c r="N18" i="52"/>
  <c r="AR18" i="52" s="1"/>
  <c r="R16" i="52"/>
  <c r="AV16" i="52" s="1"/>
  <c r="P12" i="52"/>
  <c r="AT12" i="52" s="1"/>
  <c r="N13" i="52"/>
  <c r="AR13" i="52" s="1"/>
  <c r="Q11" i="52"/>
  <c r="T15" i="52"/>
  <c r="AX15" i="52" s="1"/>
  <c r="S11" i="52"/>
  <c r="T16" i="52"/>
  <c r="AX16" i="52" s="1"/>
  <c r="T12" i="52"/>
  <c r="AX12" i="52" s="1"/>
  <c r="P17" i="52"/>
  <c r="AT17" i="52" s="1"/>
  <c r="T13" i="52"/>
  <c r="AX13" i="52" s="1"/>
  <c r="T11" i="52"/>
  <c r="AX11" i="52" s="1"/>
  <c r="N11" i="52"/>
  <c r="AR11" i="52" s="1"/>
  <c r="R13" i="52"/>
  <c r="AV13" i="52" s="1"/>
  <c r="P13" i="52"/>
  <c r="AT13" i="52" s="1"/>
  <c r="N14" i="52"/>
  <c r="AR14" i="52" s="1"/>
  <c r="C14" i="52"/>
  <c r="AI14" i="52" s="1"/>
  <c r="G14" i="52"/>
  <c r="AM14" i="52" s="1"/>
  <c r="C13" i="52"/>
  <c r="AI13" i="52" s="1"/>
  <c r="E14" i="52"/>
  <c r="AK14" i="52" s="1"/>
  <c r="C10" i="52"/>
  <c r="AI10" i="52" s="1"/>
  <c r="I13" i="52"/>
  <c r="AO13" i="52" s="1"/>
  <c r="I10" i="52"/>
  <c r="AO10" i="52" s="1"/>
  <c r="G13" i="52"/>
  <c r="AM13" i="52" s="1"/>
  <c r="G10" i="52"/>
  <c r="AM10" i="52" s="1"/>
  <c r="E13" i="52"/>
  <c r="AK13" i="52" s="1"/>
  <c r="BL14" i="52" a="1"/>
  <c r="BL14" i="52" s="1"/>
  <c r="E10" i="52"/>
  <c r="AK10" i="52" s="1"/>
  <c r="I12" i="52"/>
  <c r="AO12" i="52" s="1"/>
  <c r="G17" i="52"/>
  <c r="AM17" i="52" s="1"/>
  <c r="E12" i="52"/>
  <c r="AK12" i="52" s="1"/>
  <c r="E17" i="52"/>
  <c r="AK17" i="52" s="1"/>
  <c r="E18" i="52"/>
  <c r="AK18" i="52" s="1"/>
  <c r="BK15" i="52" a="1"/>
  <c r="BK15" i="52" s="1"/>
  <c r="I16" i="52"/>
  <c r="AO16" i="52" s="1"/>
  <c r="G16" i="52"/>
  <c r="AM16" i="52" s="1"/>
  <c r="C12" i="52"/>
  <c r="AI12" i="52" s="1"/>
  <c r="E16" i="52"/>
  <c r="AK16" i="52" s="1"/>
  <c r="CR23" i="52"/>
  <c r="AC11" i="52"/>
  <c r="DG5" i="52"/>
  <c r="CT20" i="52"/>
  <c r="AD2" i="51"/>
  <c r="M64" i="52"/>
  <c r="M53" i="52" a="1"/>
  <c r="M53" i="52" s="1"/>
  <c r="N53" i="52" s="1"/>
  <c r="M63" i="52"/>
  <c r="M43" i="52" a="1"/>
  <c r="M43" i="52" s="1"/>
  <c r="J11" i="52"/>
  <c r="M46" i="52" a="1"/>
  <c r="M46" i="52" s="1"/>
  <c r="DN35" i="52"/>
  <c r="DN37" i="52" s="1"/>
  <c r="I11" i="52"/>
  <c r="AO11" i="52" s="1"/>
  <c r="BY17" i="52"/>
  <c r="H11" i="52"/>
  <c r="M49" i="52" a="1"/>
  <c r="M49" i="52" s="1"/>
  <c r="N49" i="52" s="1"/>
  <c r="G11" i="52"/>
  <c r="AM11" i="52" s="1"/>
  <c r="M52" i="52" a="1"/>
  <c r="M52" i="52" s="1"/>
  <c r="N52" i="52" s="1"/>
  <c r="DI35" i="52"/>
  <c r="O35" i="52"/>
  <c r="F11" i="52"/>
  <c r="M42" i="52" a="1"/>
  <c r="M42" i="52" s="1"/>
  <c r="N35" i="52"/>
  <c r="N37" i="52" s="1"/>
  <c r="F36" i="61" s="1"/>
  <c r="E11" i="52"/>
  <c r="AK11" i="52" s="1"/>
  <c r="BD3" i="52"/>
  <c r="M45" i="52" a="1"/>
  <c r="M45" i="52" s="1"/>
  <c r="M35" i="52"/>
  <c r="M37" i="52" s="1"/>
  <c r="D11" i="52"/>
  <c r="D57" i="52"/>
  <c r="CM35" i="52" a="1"/>
  <c r="CM35" i="52" s="1"/>
  <c r="C11" i="52"/>
  <c r="AI11" i="52" s="1"/>
  <c r="M50" i="52" a="1"/>
  <c r="M50" i="52" s="1"/>
  <c r="N50" i="52" s="1"/>
  <c r="M48" i="52" a="1"/>
  <c r="M48" i="52" s="1"/>
  <c r="N48" i="52" s="1"/>
  <c r="M51" i="52" a="1"/>
  <c r="M51" i="52" s="1"/>
  <c r="N51" i="52" s="1"/>
  <c r="CL35" i="52" a="1"/>
  <c r="CL35" i="52" s="1"/>
  <c r="CL37" i="52" s="1"/>
  <c r="J35" i="52"/>
  <c r="M44" i="52" a="1"/>
  <c r="M44" i="52" s="1"/>
  <c r="M41" i="52" a="1"/>
  <c r="M41" i="52" s="1"/>
  <c r="BL18" i="52" a="1"/>
  <c r="BL18" i="52" s="1"/>
  <c r="BK18" i="52" a="1"/>
  <c r="BK18" i="52" s="1"/>
  <c r="BL15" i="52" a="1"/>
  <c r="BL15" i="52" s="1"/>
  <c r="BK14" i="52" a="1"/>
  <c r="BK14" i="52" s="1"/>
  <c r="DC35" i="52"/>
  <c r="AC7" i="52"/>
  <c r="O62" i="49"/>
  <c r="P47" i="49" a="1"/>
  <c r="S47" i="49" s="1"/>
  <c r="P43" i="49" a="1"/>
  <c r="Q43" i="49" s="1"/>
  <c r="R43" i="49" s="1"/>
  <c r="P36" i="49" a="1"/>
  <c r="P36" i="49" s="1"/>
  <c r="P28" i="49" a="1"/>
  <c r="P28" i="49" s="1"/>
  <c r="T24" i="49"/>
  <c r="P20" i="49" a="1"/>
  <c r="P20" i="49" s="1"/>
  <c r="I11" i="49"/>
  <c r="I26" i="49" s="1"/>
  <c r="I10" i="49"/>
  <c r="I16" i="49" s="1"/>
  <c r="E18" i="49" s="1" a="1"/>
  <c r="E18" i="49" s="1"/>
  <c r="I9" i="49"/>
  <c r="I8" i="49"/>
  <c r="O31" i="48"/>
  <c r="N31" i="48"/>
  <c r="M31" i="48"/>
  <c r="L31" i="48"/>
  <c r="O30" i="48"/>
  <c r="N30" i="48"/>
  <c r="M30" i="48"/>
  <c r="L30" i="48"/>
  <c r="O29" i="48"/>
  <c r="N29" i="48"/>
  <c r="M29" i="48"/>
  <c r="L29" i="48"/>
  <c r="O28" i="48"/>
  <c r="N28" i="48"/>
  <c r="M28" i="48"/>
  <c r="L28" i="48"/>
  <c r="O27" i="48"/>
  <c r="N27" i="48"/>
  <c r="M27" i="48"/>
  <c r="L27" i="48"/>
  <c r="O26" i="48"/>
  <c r="N26" i="48"/>
  <c r="M26" i="48"/>
  <c r="L26" i="48"/>
  <c r="O25" i="48"/>
  <c r="N25" i="48"/>
  <c r="M25" i="48"/>
  <c r="L25" i="48"/>
  <c r="O24" i="48"/>
  <c r="N24" i="48"/>
  <c r="M24" i="48"/>
  <c r="L24" i="48"/>
  <c r="O23" i="48"/>
  <c r="N23" i="48"/>
  <c r="M23" i="48"/>
  <c r="L23" i="48"/>
  <c r="AP11" i="48"/>
  <c r="AO11" i="48"/>
  <c r="AN11" i="48"/>
  <c r="AM11" i="48"/>
  <c r="AL11" i="48"/>
  <c r="AK11" i="48"/>
  <c r="AJ11" i="48"/>
  <c r="AI11" i="48"/>
  <c r="AP10" i="48"/>
  <c r="AO10" i="48"/>
  <c r="AN10" i="48"/>
  <c r="AM10" i="48"/>
  <c r="AL10" i="48"/>
  <c r="AK10" i="48"/>
  <c r="AJ10" i="48"/>
  <c r="AI10" i="48"/>
  <c r="AP9" i="48"/>
  <c r="AO9" i="48"/>
  <c r="AN9" i="48"/>
  <c r="AM9" i="48"/>
  <c r="AL9" i="48"/>
  <c r="AK9" i="48"/>
  <c r="AJ9" i="48"/>
  <c r="AI9" i="48"/>
  <c r="AP8" i="48"/>
  <c r="AO8" i="48"/>
  <c r="AN8" i="48"/>
  <c r="AM8" i="48"/>
  <c r="AL8" i="48"/>
  <c r="AK8" i="48"/>
  <c r="AJ8" i="48"/>
  <c r="AI8" i="48"/>
  <c r="AP7" i="48"/>
  <c r="AO7" i="48"/>
  <c r="AN7" i="48"/>
  <c r="AM7" i="48"/>
  <c r="AL7" i="48"/>
  <c r="AK7" i="48"/>
  <c r="AJ7" i="48"/>
  <c r="AI7" i="48"/>
  <c r="AP6" i="48"/>
  <c r="AO6" i="48"/>
  <c r="AN6" i="48"/>
  <c r="AM6" i="48"/>
  <c r="AL6" i="48"/>
  <c r="AK6" i="48"/>
  <c r="AJ6" i="48"/>
  <c r="AI6" i="48"/>
  <c r="R77" i="47" a="1"/>
  <c r="S77" i="47" s="1"/>
  <c r="H77" i="47" a="1"/>
  <c r="H77" i="47" s="1"/>
  <c r="R76" i="47" a="1"/>
  <c r="S76" i="47" s="1"/>
  <c r="H76" i="47" a="1"/>
  <c r="H76" i="47" s="1"/>
  <c r="R75" i="47" a="1"/>
  <c r="T75" i="47" s="1"/>
  <c r="H75" i="47" a="1"/>
  <c r="J75" i="47" s="1"/>
  <c r="R72" i="47" a="1"/>
  <c r="S72" i="47" s="1"/>
  <c r="H72" i="47" a="1"/>
  <c r="I72" i="47" s="1"/>
  <c r="R71" i="47" a="1"/>
  <c r="S71" i="47" s="1"/>
  <c r="H71" i="47" a="1"/>
  <c r="I71" i="47" s="1"/>
  <c r="R70" i="47" a="1"/>
  <c r="S70" i="47" s="1"/>
  <c r="H70" i="47" a="1"/>
  <c r="J70" i="47" s="1"/>
  <c r="R67" i="47" a="1"/>
  <c r="S67" i="47" s="1"/>
  <c r="H67" i="47" a="1"/>
  <c r="I67" i="47" s="1"/>
  <c r="R66" i="47" a="1"/>
  <c r="R66" i="47" s="1"/>
  <c r="H66" i="47" a="1"/>
  <c r="I66" i="47" s="1"/>
  <c r="R65" i="47" a="1"/>
  <c r="S65" i="47" s="1"/>
  <c r="H65" i="47" a="1"/>
  <c r="J65" i="47" s="1"/>
  <c r="R62" i="47" a="1"/>
  <c r="S62" i="47" s="1"/>
  <c r="H62" i="47" a="1"/>
  <c r="I62" i="47" s="1"/>
  <c r="R61" i="47" a="1"/>
  <c r="S61" i="47" s="1"/>
  <c r="H61" i="47" a="1"/>
  <c r="I61" i="47" s="1"/>
  <c r="R60" i="47" a="1"/>
  <c r="T60" i="47" s="1"/>
  <c r="H60" i="47" a="1"/>
  <c r="J60" i="47" s="1"/>
  <c r="X51" i="47" a="1"/>
  <c r="Z51" i="47" s="1"/>
  <c r="X37" i="47"/>
  <c r="W37" i="47"/>
  <c r="V37" i="47"/>
  <c r="X36" i="47"/>
  <c r="W36" i="47"/>
  <c r="V36" i="47"/>
  <c r="X35" i="47"/>
  <c r="W35" i="47"/>
  <c r="V35" i="47"/>
  <c r="X34" i="47"/>
  <c r="W34" i="47"/>
  <c r="V34" i="47"/>
  <c r="AD12" i="47"/>
  <c r="AB12" i="47"/>
  <c r="AF11" i="47"/>
  <c r="AD11" i="47"/>
  <c r="AB11" i="47"/>
  <c r="AH10" i="47"/>
  <c r="AF10" i="47"/>
  <c r="AD10" i="47"/>
  <c r="AB10" i="47"/>
  <c r="AH9" i="47"/>
  <c r="AF9" i="47"/>
  <c r="AD9" i="47"/>
  <c r="AB9" i="47"/>
  <c r="AH8" i="47"/>
  <c r="AF8" i="47"/>
  <c r="AD8" i="47"/>
  <c r="AB8" i="47"/>
  <c r="AH7" i="47"/>
  <c r="AF7" i="47"/>
  <c r="AD7" i="47"/>
  <c r="AB7" i="47"/>
  <c r="AH6" i="47"/>
  <c r="AF6" i="47"/>
  <c r="AD6" i="47"/>
  <c r="AB6" i="47"/>
  <c r="R77" i="46" a="1"/>
  <c r="S77" i="46" s="1"/>
  <c r="H77" i="46" a="1"/>
  <c r="I77" i="46" s="1"/>
  <c r="R76" i="46" a="1"/>
  <c r="R76" i="46" s="1"/>
  <c r="H76" i="46" a="1"/>
  <c r="I76" i="46" s="1"/>
  <c r="R75" i="46" a="1"/>
  <c r="T75" i="46" s="1"/>
  <c r="H75" i="46" a="1"/>
  <c r="J75" i="46" s="1"/>
  <c r="R72" i="46" a="1"/>
  <c r="S72" i="46" s="1"/>
  <c r="H72" i="46" a="1"/>
  <c r="I72" i="46" s="1"/>
  <c r="R71" i="46" a="1"/>
  <c r="S71" i="46" s="1"/>
  <c r="H71" i="46" a="1"/>
  <c r="I71" i="46" s="1"/>
  <c r="R70" i="46" a="1"/>
  <c r="R70" i="46" s="1"/>
  <c r="H70" i="46" a="1"/>
  <c r="J70" i="46" s="1"/>
  <c r="R67" i="46" a="1"/>
  <c r="S67" i="46" s="1"/>
  <c r="H67" i="46" a="1"/>
  <c r="H67" i="46" s="1"/>
  <c r="R66" i="46" a="1"/>
  <c r="S66" i="46" s="1"/>
  <c r="H66" i="46" a="1"/>
  <c r="I66" i="46" s="1"/>
  <c r="R65" i="46" a="1"/>
  <c r="T65" i="46" s="1"/>
  <c r="H65" i="46" a="1"/>
  <c r="I65" i="46" s="1"/>
  <c r="R62" i="46" a="1"/>
  <c r="S62" i="46" s="1"/>
  <c r="H62" i="46" a="1"/>
  <c r="I62" i="46" s="1"/>
  <c r="R61" i="46" a="1"/>
  <c r="S61" i="46" s="1"/>
  <c r="H61" i="46" a="1"/>
  <c r="I61" i="46" s="1"/>
  <c r="R60" i="46" a="1"/>
  <c r="T60" i="46" s="1"/>
  <c r="H60" i="46" a="1"/>
  <c r="J60" i="46" s="1"/>
  <c r="X52" i="46" a="1"/>
  <c r="Z52" i="46" s="1"/>
  <c r="BC17" i="46"/>
  <c r="BJ109" i="46" l="1"/>
  <c r="E9" i="46" s="1"/>
  <c r="X34" i="46" s="1"/>
  <c r="BJ111" i="46"/>
  <c r="E19" i="46" s="1"/>
  <c r="BJ110" i="46"/>
  <c r="E14" i="46" s="1"/>
  <c r="BI110" i="46"/>
  <c r="D14" i="46" s="1"/>
  <c r="BI109" i="46"/>
  <c r="D9" i="46" s="1"/>
  <c r="BI111" i="46"/>
  <c r="D19" i="46" s="1"/>
  <c r="BI112" i="46"/>
  <c r="D24" i="46" s="1"/>
  <c r="AK6" i="52"/>
  <c r="AK5" i="52"/>
  <c r="N44" i="52"/>
  <c r="N43" i="52"/>
  <c r="N41" i="52"/>
  <c r="N46" i="52"/>
  <c r="N45" i="52"/>
  <c r="N42" i="52"/>
  <c r="O37" i="52"/>
  <c r="BD4" i="52"/>
  <c r="F63" i="51" s="1" a="1"/>
  <c r="F63" i="51" s="1"/>
  <c r="F6" i="51" a="1"/>
  <c r="F6" i="51" s="1"/>
  <c r="AP23" i="48"/>
  <c r="AP24" i="48" s="1"/>
  <c r="J50" i="48" s="1"/>
  <c r="AN23" i="48"/>
  <c r="AN24" i="48" s="1"/>
  <c r="H50" i="48" s="1"/>
  <c r="AO23" i="48"/>
  <c r="AO24" i="48" s="1"/>
  <c r="I50" i="48" s="1"/>
  <c r="AJ23" i="48"/>
  <c r="AJ24" i="48" s="1"/>
  <c r="D50" i="48" s="1"/>
  <c r="AK23" i="48"/>
  <c r="AK24" i="48" s="1"/>
  <c r="E50" i="48" s="1"/>
  <c r="AL23" i="48"/>
  <c r="AL24" i="48" s="1"/>
  <c r="F50" i="48" s="1"/>
  <c r="AM23" i="48"/>
  <c r="AM24" i="48" s="1"/>
  <c r="G50" i="48" s="1"/>
  <c r="AI23" i="48"/>
  <c r="AI24" i="48" s="1"/>
  <c r="C50" i="48" s="1"/>
  <c r="P24" i="48"/>
  <c r="P28" i="48"/>
  <c r="P31" i="48"/>
  <c r="P23" i="48"/>
  <c r="P27" i="48"/>
  <c r="P29" i="48"/>
  <c r="P26" i="48"/>
  <c r="BN14" i="52"/>
  <c r="BM14" i="52"/>
  <c r="CM37" i="52" a="1"/>
  <c r="CM37" i="52" s="1"/>
  <c r="P25" i="48"/>
  <c r="P30" i="48"/>
  <c r="Q47" i="49"/>
  <c r="BA18" i="46"/>
  <c r="V35" i="46" s="1"/>
  <c r="I77" i="47"/>
  <c r="R67" i="47"/>
  <c r="R70" i="47"/>
  <c r="T70" i="47"/>
  <c r="R77" i="47"/>
  <c r="AB35" i="47"/>
  <c r="T65" i="47"/>
  <c r="AB37" i="47"/>
  <c r="AB34" i="47"/>
  <c r="S66" i="47"/>
  <c r="AB36" i="47"/>
  <c r="S75" i="47"/>
  <c r="H67" i="47"/>
  <c r="I76" i="47"/>
  <c r="I60" i="47"/>
  <c r="R76" i="47"/>
  <c r="H70" i="47"/>
  <c r="S70" i="46"/>
  <c r="R77" i="46"/>
  <c r="R71" i="46"/>
  <c r="R72" i="46"/>
  <c r="S65" i="46"/>
  <c r="S75" i="46"/>
  <c r="S76" i="46"/>
  <c r="R66" i="46"/>
  <c r="R67" i="46"/>
  <c r="H77" i="46"/>
  <c r="H76" i="46"/>
  <c r="H70" i="46"/>
  <c r="I70" i="46"/>
  <c r="I67" i="46"/>
  <c r="H66" i="46"/>
  <c r="H65" i="46"/>
  <c r="J65" i="46"/>
  <c r="H60" i="46"/>
  <c r="H62" i="46"/>
  <c r="H61" i="46"/>
  <c r="BN15" i="52"/>
  <c r="BM15" i="52"/>
  <c r="H43" i="51"/>
  <c r="F43" i="51"/>
  <c r="N50" i="51"/>
  <c r="M11" i="52"/>
  <c r="DB14" i="52"/>
  <c r="AC13" i="52"/>
  <c r="AC10" i="52"/>
  <c r="B11" i="52"/>
  <c r="AD15" i="52"/>
  <c r="G43" i="51" s="1"/>
  <c r="G33" i="51" s="1"/>
  <c r="AC15" i="52"/>
  <c r="E43" i="51" s="1"/>
  <c r="CT19" i="52"/>
  <c r="DB10" i="52"/>
  <c r="DG4" i="52"/>
  <c r="B2" i="62" s="1"/>
  <c r="BN18" i="52"/>
  <c r="BM18" i="52"/>
  <c r="E25" i="49"/>
  <c r="BB18" i="46"/>
  <c r="T70" i="46"/>
  <c r="H61" i="47"/>
  <c r="H65" i="47"/>
  <c r="R72" i="47"/>
  <c r="BC18" i="46"/>
  <c r="I65" i="47"/>
  <c r="R61" i="46"/>
  <c r="H71" i="46"/>
  <c r="H75" i="46"/>
  <c r="R65" i="46"/>
  <c r="I75" i="46"/>
  <c r="R61" i="47"/>
  <c r="H71" i="47"/>
  <c r="H75" i="47"/>
  <c r="P43" i="49"/>
  <c r="R65" i="47"/>
  <c r="I75" i="47"/>
  <c r="BA19" i="46"/>
  <c r="I60" i="46"/>
  <c r="X51" i="47"/>
  <c r="H60" i="47"/>
  <c r="BB19" i="46"/>
  <c r="Y51" i="47"/>
  <c r="BC19" i="46"/>
  <c r="R75" i="46"/>
  <c r="H62" i="47"/>
  <c r="R71" i="47"/>
  <c r="BA20" i="46"/>
  <c r="X52" i="46"/>
  <c r="R75" i="47"/>
  <c r="P47" i="49"/>
  <c r="BA17" i="46"/>
  <c r="BB20" i="46"/>
  <c r="Y52" i="46"/>
  <c r="R60" i="46"/>
  <c r="H66" i="47"/>
  <c r="BB17" i="46"/>
  <c r="BC20" i="46"/>
  <c r="X37" i="46" s="1"/>
  <c r="S60" i="46"/>
  <c r="R62" i="46"/>
  <c r="H72" i="46"/>
  <c r="R60" i="47"/>
  <c r="I70" i="47"/>
  <c r="R47" i="49"/>
  <c r="S60" i="47"/>
  <c r="R62" i="47"/>
  <c r="H72" i="47"/>
  <c r="X36" i="46" l="1"/>
  <c r="X35" i="46"/>
  <c r="B3" i="62"/>
  <c r="E4" i="62"/>
  <c r="B28" i="62"/>
  <c r="B30" i="62" s="1"/>
  <c r="D4" i="62"/>
  <c r="J3" i="47"/>
  <c r="BG23" i="47" s="1"/>
  <c r="E5" i="48"/>
  <c r="E33" i="51"/>
  <c r="DJ11" i="52"/>
  <c r="DK11" i="52" s="1"/>
  <c r="DJ13" i="52"/>
  <c r="DK13" i="52" s="1"/>
  <c r="DJ14" i="52"/>
  <c r="DK14" i="52" s="1"/>
  <c r="DJ12" i="52"/>
  <c r="DK12" i="52" s="1"/>
  <c r="DJ10" i="52"/>
  <c r="DK10" i="52" s="1"/>
  <c r="DK4" i="52" s="1" a="1"/>
  <c r="DK4" i="52" s="1"/>
  <c r="AN11" i="52"/>
  <c r="H42" i="51"/>
  <c r="F42" i="51"/>
  <c r="G52" i="59" s="1"/>
  <c r="AL11" i="52"/>
  <c r="AJ11" i="52"/>
  <c r="AY11" i="52"/>
  <c r="AP11" i="52"/>
  <c r="AW11" i="52"/>
  <c r="AU11" i="52"/>
  <c r="N49" i="51"/>
  <c r="AS11" i="52"/>
  <c r="T12" i="51"/>
  <c r="C7" i="60" s="1"/>
  <c r="CX15" i="52"/>
  <c r="CS16" i="52"/>
  <c r="AO36" i="47" s="1"/>
  <c r="V36" i="46"/>
  <c r="AD8" i="46"/>
  <c r="F14" i="52" s="1"/>
  <c r="AL14" i="52" s="1"/>
  <c r="AD9" i="46"/>
  <c r="F15" i="52" s="1"/>
  <c r="AL15" i="52" s="1"/>
  <c r="AD7" i="46"/>
  <c r="F13" i="52" s="1"/>
  <c r="AL13" i="52" s="1"/>
  <c r="AD11" i="46"/>
  <c r="F17" i="52" s="1"/>
  <c r="AL17" i="52" s="1"/>
  <c r="W35" i="46"/>
  <c r="AD10" i="46"/>
  <c r="F16" i="52" s="1"/>
  <c r="AL16" i="52" s="1"/>
  <c r="AD6" i="46"/>
  <c r="AD12" i="46"/>
  <c r="F18" i="52" s="1"/>
  <c r="AL18" i="52" s="1"/>
  <c r="AB11" i="46"/>
  <c r="D17" i="52" s="1"/>
  <c r="AB8" i="46"/>
  <c r="D14" i="52" s="1"/>
  <c r="AB9" i="46"/>
  <c r="D15" i="52" s="1"/>
  <c r="AB7" i="46"/>
  <c r="D13" i="52" s="1"/>
  <c r="W34" i="46"/>
  <c r="AB10" i="46"/>
  <c r="D16" i="52" s="1"/>
  <c r="AB6" i="46"/>
  <c r="AB12" i="46"/>
  <c r="D18" i="52" s="1"/>
  <c r="AH9" i="46"/>
  <c r="J15" i="52" s="1"/>
  <c r="AP15" i="52" s="1"/>
  <c r="AH7" i="46"/>
  <c r="J13" i="52" s="1"/>
  <c r="AP13" i="52" s="1"/>
  <c r="W37" i="46"/>
  <c r="AH10" i="46"/>
  <c r="J16" i="52" s="1"/>
  <c r="AP16" i="52" s="1"/>
  <c r="AH6" i="46"/>
  <c r="AH8" i="46"/>
  <c r="J14" i="52" s="1"/>
  <c r="AP14" i="52" s="1"/>
  <c r="AF9" i="46"/>
  <c r="H15" i="52" s="1"/>
  <c r="AN15" i="52" s="1"/>
  <c r="W36" i="46"/>
  <c r="AF7" i="46"/>
  <c r="H13" i="52" s="1"/>
  <c r="AN13" i="52" s="1"/>
  <c r="AF10" i="46"/>
  <c r="H16" i="52" s="1"/>
  <c r="AN16" i="52" s="1"/>
  <c r="AF6" i="46"/>
  <c r="AF8" i="46"/>
  <c r="H14" i="52" s="1"/>
  <c r="AN14" i="52" s="1"/>
  <c r="AF11" i="46"/>
  <c r="H17" i="52" s="1"/>
  <c r="AN17" i="52" s="1"/>
  <c r="V34" i="46"/>
  <c r="V37" i="46"/>
  <c r="F52" i="19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H86" i="47" l="1"/>
  <c r="AR11" i="47"/>
  <c r="AR12" i="47"/>
  <c r="AR10" i="47"/>
  <c r="J3" i="46"/>
  <c r="BG23" i="46" s="1"/>
  <c r="AR119" i="59"/>
  <c r="U29" i="47"/>
  <c r="Y36" i="47" s="1"/>
  <c r="Z36" i="47" s="1"/>
  <c r="Z76" i="62" a="1"/>
  <c r="Z76" i="62" s="1"/>
  <c r="Z18" i="62" a="1"/>
  <c r="Z18" i="62" s="1"/>
  <c r="G12" i="60" s="1"/>
  <c r="X17" i="51" s="1"/>
  <c r="Z11" i="62" a="1"/>
  <c r="Z11" i="62" s="1"/>
  <c r="Z80" i="62" a="1"/>
  <c r="Z80" i="62" s="1"/>
  <c r="Z39" i="62" a="1"/>
  <c r="Z39" i="62" s="1"/>
  <c r="G33" i="60" s="1"/>
  <c r="X38" i="51" s="1"/>
  <c r="Z24" i="62" a="1"/>
  <c r="Z24" i="62" s="1"/>
  <c r="G18" i="60" s="1"/>
  <c r="X23" i="51" s="1"/>
  <c r="Z68" i="62" a="1"/>
  <c r="Z68" i="62" s="1"/>
  <c r="Z14" i="62" a="1"/>
  <c r="Z14" i="62" s="1"/>
  <c r="G8" i="60" s="1"/>
  <c r="X13" i="51" s="1"/>
  <c r="Z4" i="62" a="1"/>
  <c r="Z4" i="62" s="1"/>
  <c r="Z72" i="62" a="1"/>
  <c r="Z72" i="62" s="1"/>
  <c r="Z31" i="62" a="1"/>
  <c r="Z31" i="62" s="1"/>
  <c r="G25" i="60" s="1"/>
  <c r="X30" i="51" s="1"/>
  <c r="Z77" i="62" a="1"/>
  <c r="Z77" i="62" s="1"/>
  <c r="Z60" i="62" a="1"/>
  <c r="Z60" i="62" s="1"/>
  <c r="Z10" i="62" a="1"/>
  <c r="Z10" i="62" s="1"/>
  <c r="Z81" i="62" a="1"/>
  <c r="Z81" i="62" s="1"/>
  <c r="Z64" i="62" a="1"/>
  <c r="Z64" i="62" s="1"/>
  <c r="Z25" i="62" a="1"/>
  <c r="Z25" i="62" s="1"/>
  <c r="G19" i="60" s="1"/>
  <c r="X24" i="51" s="1"/>
  <c r="Z48" i="62" a="1"/>
  <c r="Z48" i="62" s="1"/>
  <c r="G42" i="60" s="1"/>
  <c r="X47" i="51" s="1"/>
  <c r="Z16" i="62" a="1"/>
  <c r="Z16" i="62" s="1"/>
  <c r="G10" i="60" s="1"/>
  <c r="X15" i="51" s="1"/>
  <c r="Z54" i="62" a="1"/>
  <c r="Z54" i="62" s="1"/>
  <c r="G48" i="60" s="1"/>
  <c r="X53" i="51" s="1"/>
  <c r="Z43" i="62" a="1"/>
  <c r="Z43" i="62" s="1"/>
  <c r="G37" i="60" s="1"/>
  <c r="X42" i="51" s="1"/>
  <c r="Z34" i="62" a="1"/>
  <c r="Z34" i="62" s="1"/>
  <c r="G28" i="60" s="1"/>
  <c r="X33" i="51" s="1"/>
  <c r="Z9" i="62" a="1"/>
  <c r="Z9" i="62" s="1"/>
  <c r="Z46" i="62" a="1"/>
  <c r="Z46" i="62" s="1"/>
  <c r="G40" i="60" s="1"/>
  <c r="X45" i="51" s="1"/>
  <c r="Z52" i="62" a="1"/>
  <c r="Z52" i="62" s="1"/>
  <c r="G46" i="60" s="1"/>
  <c r="X51" i="51" s="1"/>
  <c r="Z19" i="62" a="1"/>
  <c r="Z19" i="62" s="1"/>
  <c r="G13" i="60" s="1"/>
  <c r="X18" i="51" s="1"/>
  <c r="Z73" i="62" a="1"/>
  <c r="Z73" i="62" s="1"/>
  <c r="Z56" i="62" a="1"/>
  <c r="Z56" i="62" s="1"/>
  <c r="G50" i="60" s="1"/>
  <c r="X55" i="51" s="1"/>
  <c r="Z20" i="62" a="1"/>
  <c r="Z20" i="62" s="1"/>
  <c r="G14" i="60" s="1"/>
  <c r="X19" i="51" s="1"/>
  <c r="Z7" i="62" a="1"/>
  <c r="Z7" i="62" s="1"/>
  <c r="Z44" i="62" a="1"/>
  <c r="Z44" i="62" s="1"/>
  <c r="G38" i="60" s="1"/>
  <c r="X43" i="51" s="1"/>
  <c r="Z36" i="62" a="1"/>
  <c r="Z36" i="62" s="1"/>
  <c r="G30" i="60" s="1"/>
  <c r="X35" i="51" s="1"/>
  <c r="Z28" i="62" a="1"/>
  <c r="Z28" i="62" s="1"/>
  <c r="G22" i="60" s="1"/>
  <c r="X27" i="51" s="1"/>
  <c r="Z57" i="62" a="1"/>
  <c r="Z57" i="62" s="1"/>
  <c r="Z40" i="62" a="1"/>
  <c r="Z40" i="62" s="1"/>
  <c r="G34" i="60" s="1"/>
  <c r="X39" i="51" s="1"/>
  <c r="Z12" i="62" a="1"/>
  <c r="Z12" i="62" s="1"/>
  <c r="G6" i="60" s="1"/>
  <c r="X11" i="51" s="1"/>
  <c r="Z59" i="62" a="1"/>
  <c r="Z59" i="62" s="1"/>
  <c r="Z62" i="62" a="1"/>
  <c r="Z62" i="62" s="1"/>
  <c r="Z42" i="62" a="1"/>
  <c r="Z42" i="62" s="1"/>
  <c r="G36" i="60" s="1"/>
  <c r="X41" i="51" s="1"/>
  <c r="Z13" i="62" a="1"/>
  <c r="Z13" i="62" s="1"/>
  <c r="G7" i="60" s="1"/>
  <c r="X12" i="51" s="1"/>
  <c r="Z71" i="62" a="1"/>
  <c r="Z71" i="62" s="1"/>
  <c r="Z29" i="62" a="1"/>
  <c r="Z29" i="62" s="1"/>
  <c r="G23" i="60" s="1"/>
  <c r="X28" i="51" s="1"/>
  <c r="Z15" i="62" a="1"/>
  <c r="Z15" i="62" s="1"/>
  <c r="G9" i="60" s="1"/>
  <c r="X14" i="51" s="1"/>
  <c r="Z49" i="62" a="1"/>
  <c r="Z49" i="62" s="1"/>
  <c r="G43" i="60" s="1"/>
  <c r="X48" i="51" s="1"/>
  <c r="Z32" i="62" a="1"/>
  <c r="Z32" i="62" s="1"/>
  <c r="G26" i="60" s="1"/>
  <c r="X31" i="51" s="1"/>
  <c r="Z8" i="62" a="1"/>
  <c r="Z8" i="62" s="1"/>
  <c r="Z45" i="62" a="1"/>
  <c r="Z45" i="62" s="1"/>
  <c r="G39" i="60" s="1"/>
  <c r="X44" i="51" s="1"/>
  <c r="Z82" i="62" a="1"/>
  <c r="Z82" i="62" s="1"/>
  <c r="Z41" i="62" a="1"/>
  <c r="Z41" i="62" s="1"/>
  <c r="G35" i="60" s="1"/>
  <c r="X40" i="51" s="1"/>
  <c r="Z26" i="62" a="1"/>
  <c r="Z26" i="62" s="1"/>
  <c r="G20" i="60" s="1"/>
  <c r="X25" i="51" s="1"/>
  <c r="Z69" i="62" a="1"/>
  <c r="Z69" i="62" s="1"/>
  <c r="Z75" i="62" a="1"/>
  <c r="Z75" i="62" s="1"/>
  <c r="Z66" i="62" a="1"/>
  <c r="Z66" i="62" s="1"/>
  <c r="Z27" i="62" a="1"/>
  <c r="Z27" i="62" s="1"/>
  <c r="G21" i="60" s="1"/>
  <c r="X26" i="51" s="1"/>
  <c r="Z78" i="62" a="1"/>
  <c r="Z78" i="62" s="1"/>
  <c r="Z67" i="62" a="1"/>
  <c r="Z67" i="62" s="1"/>
  <c r="Z58" i="62" a="1"/>
  <c r="Z58" i="62" s="1"/>
  <c r="Z21" i="62" a="1"/>
  <c r="Z21" i="62" s="1"/>
  <c r="G15" i="60" s="1"/>
  <c r="X20" i="51" s="1"/>
  <c r="Z53" i="62" a="1"/>
  <c r="Z53" i="62" s="1"/>
  <c r="G47" i="60" s="1"/>
  <c r="X52" i="51" s="1"/>
  <c r="Z70" i="62" a="1"/>
  <c r="Z70" i="62" s="1"/>
  <c r="Z51" i="62" a="1"/>
  <c r="Z51" i="62" s="1"/>
  <c r="G45" i="60" s="1"/>
  <c r="X50" i="51" s="1"/>
  <c r="Z63" i="62" a="1"/>
  <c r="Z63" i="62" s="1"/>
  <c r="Z83" i="62" a="1"/>
  <c r="Z83" i="62" s="1"/>
  <c r="Z74" i="62" a="1"/>
  <c r="Z74" i="62" s="1"/>
  <c r="Z33" i="62" a="1"/>
  <c r="Z33" i="62" s="1"/>
  <c r="G27" i="60" s="1"/>
  <c r="X32" i="51" s="1"/>
  <c r="Z23" i="62" a="1"/>
  <c r="Z23" i="62" s="1"/>
  <c r="G17" i="60" s="1"/>
  <c r="X22" i="51" s="1"/>
  <c r="Z37" i="62" a="1"/>
  <c r="Z37" i="62" s="1"/>
  <c r="G31" i="60" s="1"/>
  <c r="X36" i="51" s="1"/>
  <c r="Z50" i="62" a="1"/>
  <c r="Z50" i="62" s="1"/>
  <c r="G44" i="60" s="1"/>
  <c r="X49" i="51" s="1"/>
  <c r="Z17" i="62" a="1"/>
  <c r="Z17" i="62" s="1"/>
  <c r="G11" i="60" s="1"/>
  <c r="X16" i="51" s="1"/>
  <c r="Z79" i="62" a="1"/>
  <c r="Z79" i="62" s="1"/>
  <c r="Z35" i="62" a="1"/>
  <c r="Z35" i="62" s="1"/>
  <c r="G29" i="60" s="1"/>
  <c r="X34" i="51" s="1"/>
  <c r="Z6" i="62" a="1"/>
  <c r="Z6" i="62" s="1"/>
  <c r="Z5" i="62" a="1"/>
  <c r="Z5" i="62" s="1"/>
  <c r="Z55" i="62" a="1"/>
  <c r="Z55" i="62" s="1"/>
  <c r="G49" i="60" s="1"/>
  <c r="X54" i="51" s="1"/>
  <c r="Z38" i="62" a="1"/>
  <c r="Z38" i="62" s="1"/>
  <c r="G32" i="60" s="1"/>
  <c r="X37" i="51" s="1"/>
  <c r="Z84" i="62" a="1"/>
  <c r="Z84" i="62" s="1"/>
  <c r="Z22" i="62" a="1"/>
  <c r="Z22" i="62" s="1"/>
  <c r="G16" i="60" s="1"/>
  <c r="X21" i="51" s="1"/>
  <c r="Z30" i="62" a="1"/>
  <c r="Z30" i="62" s="1"/>
  <c r="G24" i="60" s="1"/>
  <c r="X29" i="51" s="1"/>
  <c r="Z61" i="62" a="1"/>
  <c r="Z61" i="62" s="1"/>
  <c r="Z47" i="62" a="1"/>
  <c r="Z47" i="62" s="1"/>
  <c r="G41" i="60" s="1"/>
  <c r="X46" i="51" s="1"/>
  <c r="Z65" i="62" a="1"/>
  <c r="Z65" i="62" s="1"/>
  <c r="E4" i="48"/>
  <c r="CR16" i="52"/>
  <c r="CX12" i="52" s="1"/>
  <c r="DB12" i="52" s="1"/>
  <c r="T11" i="51"/>
  <c r="C6" i="60" s="1"/>
  <c r="CX11" i="52"/>
  <c r="CY10" i="52" s="1"/>
  <c r="DC10" i="52" s="1"/>
  <c r="F93" i="51"/>
  <c r="B16" i="52"/>
  <c r="AJ16" i="52"/>
  <c r="B15" i="52"/>
  <c r="AJ15" i="52"/>
  <c r="B14" i="52"/>
  <c r="AJ14" i="52"/>
  <c r="B17" i="52"/>
  <c r="AJ17" i="52"/>
  <c r="AB36" i="46"/>
  <c r="H12" i="52"/>
  <c r="AN12" i="52" s="1"/>
  <c r="AB35" i="46"/>
  <c r="F12" i="52"/>
  <c r="AL12" i="52" s="1"/>
  <c r="AJ13" i="52"/>
  <c r="B13" i="52"/>
  <c r="AB37" i="46"/>
  <c r="J12" i="52"/>
  <c r="AP12" i="52" s="1"/>
  <c r="B18" i="52"/>
  <c r="AJ18" i="52"/>
  <c r="AB34" i="46"/>
  <c r="D12" i="52"/>
  <c r="CX16" i="52"/>
  <c r="DB16" i="52" s="1"/>
  <c r="CS20" i="52"/>
  <c r="CS36" i="52" s="1"/>
  <c r="CS19" i="52"/>
  <c r="CS35" i="52" s="1"/>
  <c r="CY14" i="52"/>
  <c r="DC14" i="52" s="1"/>
  <c r="DB15" i="52"/>
  <c r="CS17" i="52"/>
  <c r="AO37" i="47" s="1"/>
  <c r="V5" i="34"/>
  <c r="DN18" i="9"/>
  <c r="DN27" i="9" s="1"/>
  <c r="B45" i="35"/>
  <c r="B52" i="35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E13" i="68" l="1"/>
  <c r="F117" i="51"/>
  <c r="E13" i="69" s="1"/>
  <c r="AR14" i="47"/>
  <c r="AN9" i="46" s="1"/>
  <c r="H86" i="46"/>
  <c r="AR10" i="46"/>
  <c r="AR12" i="46"/>
  <c r="AR11" i="46"/>
  <c r="W21" i="46"/>
  <c r="Y37" i="47"/>
  <c r="Z37" i="47" s="1"/>
  <c r="Y34" i="47"/>
  <c r="Z34" i="47" s="1"/>
  <c r="Y35" i="47"/>
  <c r="Z35" i="47" s="1"/>
  <c r="AA36" i="47"/>
  <c r="AC36" i="47" s="1"/>
  <c r="K70" i="47" s="1"/>
  <c r="F53" i="59"/>
  <c r="F36" i="59" s="1"/>
  <c r="U29" i="46"/>
  <c r="Y35" i="46" s="1"/>
  <c r="AA35" i="46" s="1"/>
  <c r="T20" i="51"/>
  <c r="C18" i="60" s="1"/>
  <c r="T14" i="51"/>
  <c r="DB11" i="52"/>
  <c r="CR19" i="52"/>
  <c r="CR35" i="52" s="1"/>
  <c r="CR20" i="52"/>
  <c r="CR36" i="52" s="1"/>
  <c r="AO36" i="46"/>
  <c r="CR17" i="52"/>
  <c r="AO37" i="46" s="1"/>
  <c r="B12" i="52"/>
  <c r="AJ12" i="52"/>
  <c r="W63" i="2"/>
  <c r="CU35" i="52"/>
  <c r="CY16" i="52"/>
  <c r="DC16" i="52" s="1"/>
  <c r="V6" i="34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W38" i="26"/>
  <c r="X38" i="26"/>
  <c r="V38" i="26"/>
  <c r="X84" i="67" l="1"/>
  <c r="AM85" i="67" s="1"/>
  <c r="X84" i="66"/>
  <c r="AM85" i="66" s="1"/>
  <c r="E28" i="69"/>
  <c r="U12" i="69" s="1"/>
  <c r="V12" i="69" s="1"/>
  <c r="T4" i="64"/>
  <c r="T4" i="65"/>
  <c r="AC4" i="65" s="1"/>
  <c r="AR14" i="46"/>
  <c r="AN8" i="46" s="1"/>
  <c r="C8" i="60"/>
  <c r="AA35" i="47"/>
  <c r="AC35" i="47" s="1"/>
  <c r="AL35" i="47" s="1"/>
  <c r="AA37" i="47"/>
  <c r="AC37" i="47" s="1"/>
  <c r="U76" i="47" s="1"/>
  <c r="U70" i="47"/>
  <c r="AA34" i="47"/>
  <c r="AC34" i="47" s="1"/>
  <c r="AD34" i="47" s="1"/>
  <c r="AL36" i="47"/>
  <c r="K71" i="47"/>
  <c r="U71" i="47"/>
  <c r="K72" i="47"/>
  <c r="AF36" i="47" s="1"/>
  <c r="AE36" i="47"/>
  <c r="Y34" i="46"/>
  <c r="AA34" i="46" s="1"/>
  <c r="U72" i="47"/>
  <c r="AJ37" i="47"/>
  <c r="AD36" i="47"/>
  <c r="Y37" i="46"/>
  <c r="Z37" i="46" s="1"/>
  <c r="Z35" i="46"/>
  <c r="AC35" i="46" s="1"/>
  <c r="AJ36" i="46" s="1"/>
  <c r="Y36" i="46"/>
  <c r="Z36" i="46" s="1"/>
  <c r="CT35" i="52"/>
  <c r="CY12" i="52"/>
  <c r="DC12" i="52" s="1"/>
  <c r="F50" i="19"/>
  <c r="AC11" i="9"/>
  <c r="N45" i="2" s="1"/>
  <c r="DG5" i="9"/>
  <c r="CT20" i="9"/>
  <c r="AC7" i="9"/>
  <c r="DG4" i="9" s="1"/>
  <c r="B2" i="42" s="1"/>
  <c r="CY15" i="9"/>
  <c r="DC15" i="9" s="1"/>
  <c r="CY11" i="9"/>
  <c r="DC11" i="9" s="1"/>
  <c r="Q38" i="69" l="1"/>
  <c r="Q39" i="69" s="1"/>
  <c r="D106" i="66"/>
  <c r="D107" i="66" s="1"/>
  <c r="D108" i="66" s="1"/>
  <c r="X95" i="66"/>
  <c r="D106" i="67"/>
  <c r="D107" i="67" s="1"/>
  <c r="D108" i="67" s="1"/>
  <c r="X95" i="67"/>
  <c r="R45" i="65"/>
  <c r="R46" i="65" s="1"/>
  <c r="R47" i="65" s="1"/>
  <c r="T13" i="65"/>
  <c r="T13" i="64"/>
  <c r="AC4" i="64"/>
  <c r="R44" i="64"/>
  <c r="AG36" i="47"/>
  <c r="AJ36" i="47"/>
  <c r="U65" i="47"/>
  <c r="AD35" i="47"/>
  <c r="AE35" i="47"/>
  <c r="U66" i="47"/>
  <c r="K66" i="47"/>
  <c r="K67" i="47"/>
  <c r="K65" i="47"/>
  <c r="U67" i="47"/>
  <c r="U75" i="47"/>
  <c r="K75" i="47"/>
  <c r="K77" i="47"/>
  <c r="U77" i="47"/>
  <c r="Q9" i="47" a="1"/>
  <c r="Q9" i="47" s="1"/>
  <c r="AW33" i="47" s="1"/>
  <c r="AJ38" i="47"/>
  <c r="K76" i="47"/>
  <c r="AL37" i="47"/>
  <c r="AE37" i="47"/>
  <c r="AD37" i="47"/>
  <c r="Z34" i="46"/>
  <c r="AC34" i="46" s="1"/>
  <c r="H85" i="46" s="1"/>
  <c r="K60" i="47"/>
  <c r="U60" i="47"/>
  <c r="K62" i="47"/>
  <c r="K61" i="47"/>
  <c r="U61" i="47"/>
  <c r="AJ34" i="47"/>
  <c r="U62" i="47"/>
  <c r="AO34" i="47"/>
  <c r="CW22" i="52" s="1"/>
  <c r="H85" i="47"/>
  <c r="AL34" i="47"/>
  <c r="AE34" i="47"/>
  <c r="AL35" i="46"/>
  <c r="AD35" i="46"/>
  <c r="K65" i="46"/>
  <c r="K67" i="46"/>
  <c r="U67" i="46"/>
  <c r="U65" i="46"/>
  <c r="K66" i="46"/>
  <c r="AE35" i="46"/>
  <c r="U66" i="46"/>
  <c r="AA36" i="46"/>
  <c r="AC36" i="46" s="1"/>
  <c r="AJ37" i="46" s="1"/>
  <c r="AA37" i="46"/>
  <c r="AC37" i="46" s="1"/>
  <c r="U76" i="46" s="1"/>
  <c r="F38" i="2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R27" i="9"/>
  <c r="CR26" i="9"/>
  <c r="CR25" i="9"/>
  <c r="CR24" i="9"/>
  <c r="CR23" i="9"/>
  <c r="CR22" i="9"/>
  <c r="CR11" i="9"/>
  <c r="P15" i="47" l="1" a="1"/>
  <c r="R15" i="47" s="1"/>
  <c r="E23" i="68"/>
  <c r="U12" i="68" s="1"/>
  <c r="V12" i="68" s="1"/>
  <c r="Q35" i="68"/>
  <c r="Q36" i="68" s="1"/>
  <c r="R45" i="64"/>
  <c r="T44" i="64"/>
  <c r="AF35" i="47"/>
  <c r="P14" i="47" a="1"/>
  <c r="R14" i="47" s="1"/>
  <c r="AG35" i="47"/>
  <c r="AG37" i="47"/>
  <c r="AF37" i="47"/>
  <c r="R9" i="47"/>
  <c r="T9" i="47" s="1"/>
  <c r="AG34" i="47"/>
  <c r="AF34" i="47"/>
  <c r="AG35" i="46"/>
  <c r="AF35" i="46"/>
  <c r="U77" i="46"/>
  <c r="K76" i="46"/>
  <c r="AJ38" i="46"/>
  <c r="AL37" i="46"/>
  <c r="K70" i="46"/>
  <c r="AE36" i="46"/>
  <c r="K77" i="46"/>
  <c r="U75" i="46"/>
  <c r="K75" i="46"/>
  <c r="AD37" i="46"/>
  <c r="U70" i="46"/>
  <c r="K72" i="46"/>
  <c r="K71" i="46"/>
  <c r="AD36" i="46"/>
  <c r="Q9" i="46" a="1"/>
  <c r="Q9" i="46" s="1"/>
  <c r="AW33" i="46" s="1"/>
  <c r="U71" i="46"/>
  <c r="U72" i="46"/>
  <c r="AL36" i="46"/>
  <c r="AE37" i="46"/>
  <c r="U62" i="46"/>
  <c r="K62" i="46"/>
  <c r="AO34" i="46"/>
  <c r="CV22" i="52" s="1"/>
  <c r="AJ34" i="46"/>
  <c r="K61" i="46"/>
  <c r="AL34" i="46"/>
  <c r="AE34" i="46"/>
  <c r="AD34" i="46"/>
  <c r="U61" i="46"/>
  <c r="K60" i="46"/>
  <c r="U60" i="46"/>
  <c r="CX15" i="9"/>
  <c r="CY14" i="9" s="1"/>
  <c r="DC14" i="9" s="1"/>
  <c r="E33" i="2"/>
  <c r="AW119" i="59" s="1"/>
  <c r="AW121" i="59" s="1"/>
  <c r="AW122" i="59" s="1"/>
  <c r="F53" i="19"/>
  <c r="F36" i="19" s="1"/>
  <c r="Z5" i="42" a="1"/>
  <c r="Z5" i="42" s="1"/>
  <c r="Z21" i="42" a="1"/>
  <c r="Z21" i="42" s="1"/>
  <c r="Z37" i="42" a="1"/>
  <c r="Z37" i="42" s="1"/>
  <c r="Z53" i="42" a="1"/>
  <c r="Z53" i="42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Z38" i="42" a="1"/>
  <c r="Z38" i="42" s="1"/>
  <c r="Z54" i="42" a="1"/>
  <c r="Z54" i="42" s="1"/>
  <c r="Z70" i="42" a="1"/>
  <c r="Z70" i="42" s="1"/>
  <c r="Z67" i="42" a="1"/>
  <c r="Z67" i="42" s="1"/>
  <c r="Z7" i="42" a="1"/>
  <c r="Z7" i="42" s="1"/>
  <c r="Z23" i="42" a="1"/>
  <c r="Z23" i="42" s="1"/>
  <c r="Z39" i="42" a="1"/>
  <c r="Z39" i="42" s="1"/>
  <c r="Z55" i="42" a="1"/>
  <c r="Z55" i="42" s="1"/>
  <c r="Z71" i="42" a="1"/>
  <c r="Z71" i="42" s="1"/>
  <c r="Z20" i="42" a="1"/>
  <c r="Z20" i="42" s="1"/>
  <c r="Z8" i="42" a="1"/>
  <c r="Z8" i="42" s="1"/>
  <c r="Z24" i="42" a="1"/>
  <c r="Z24" i="42" s="1"/>
  <c r="Z40" i="42" a="1"/>
  <c r="Z40" i="42" s="1"/>
  <c r="Z56" i="42" a="1"/>
  <c r="Z56" i="42" s="1"/>
  <c r="Z72" i="42" a="1"/>
  <c r="Z72" i="42" s="1"/>
  <c r="Z35" i="42" a="1"/>
  <c r="Z35" i="42" s="1"/>
  <c r="Z9" i="42" a="1"/>
  <c r="Z9" i="42" s="1"/>
  <c r="Z25" i="42" a="1"/>
  <c r="Z25" i="42" s="1"/>
  <c r="Z41" i="42" a="1"/>
  <c r="Z41" i="42" s="1"/>
  <c r="Z57" i="42" a="1"/>
  <c r="Z57" i="42" s="1"/>
  <c r="Z73" i="42" a="1"/>
  <c r="Z73" i="42" s="1"/>
  <c r="Z51" i="42" a="1"/>
  <c r="Z51" i="42" s="1"/>
  <c r="Z10" i="42" a="1"/>
  <c r="Z10" i="42" s="1"/>
  <c r="Z26" i="42" a="1"/>
  <c r="Z26" i="42" s="1"/>
  <c r="Z42" i="42" a="1"/>
  <c r="Z42" i="42" s="1"/>
  <c r="Z58" i="42" a="1"/>
  <c r="Z58" i="42" s="1"/>
  <c r="Z74" i="42" a="1"/>
  <c r="Z74" i="42" s="1"/>
  <c r="Z19" i="42" a="1"/>
  <c r="Z19" i="42" s="1"/>
  <c r="Z11" i="42" a="1"/>
  <c r="Z11" i="42" s="1"/>
  <c r="Z27" i="42" a="1"/>
  <c r="Z27" i="42" s="1"/>
  <c r="Z43" i="42" a="1"/>
  <c r="Z43" i="42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Z28" i="42" a="1"/>
  <c r="Z28" i="42" s="1"/>
  <c r="Z44" i="42" a="1"/>
  <c r="Z44" i="42" s="1"/>
  <c r="Z60" i="42" a="1"/>
  <c r="Z60" i="42" s="1"/>
  <c r="Z76" i="42" a="1"/>
  <c r="Z76" i="42" s="1"/>
  <c r="Z36" i="42" a="1"/>
  <c r="Z36" i="42" s="1"/>
  <c r="Z13" i="42" a="1"/>
  <c r="Z13" i="42" s="1"/>
  <c r="Z29" i="42" a="1"/>
  <c r="Z29" i="42" s="1"/>
  <c r="Z45" i="42" a="1"/>
  <c r="Z45" i="42" s="1"/>
  <c r="Z61" i="42" a="1"/>
  <c r="Z61" i="42" s="1"/>
  <c r="Z77" i="42" a="1"/>
  <c r="Z77" i="42" s="1"/>
  <c r="Z84" i="42" a="1"/>
  <c r="Z84" i="42" s="1"/>
  <c r="Z14" i="42" a="1"/>
  <c r="Z14" i="42" s="1"/>
  <c r="Z30" i="42" a="1"/>
  <c r="Z30" i="42" s="1"/>
  <c r="Z46" i="42" a="1"/>
  <c r="Z46" i="42" s="1"/>
  <c r="Z62" i="42" a="1"/>
  <c r="Z62" i="42" s="1"/>
  <c r="Z78" i="42" a="1"/>
  <c r="Z78" i="42" s="1"/>
  <c r="Z50" i="42" a="1"/>
  <c r="Z50" i="42" s="1"/>
  <c r="Z52" i="42" a="1"/>
  <c r="Z52" i="42" s="1"/>
  <c r="Z15" i="42" a="1"/>
  <c r="Z15" i="42" s="1"/>
  <c r="Z31" i="42" a="1"/>
  <c r="Z31" i="42" s="1"/>
  <c r="Z47" i="42" a="1"/>
  <c r="Z47" i="42" s="1"/>
  <c r="Z63" i="42" a="1"/>
  <c r="Z63" i="42" s="1"/>
  <c r="Z79" i="42" a="1"/>
  <c r="Z79" i="42" s="1"/>
  <c r="Z34" i="42" a="1"/>
  <c r="Z34" i="42" s="1"/>
  <c r="Z16" i="42" a="1"/>
  <c r="Z16" i="42" s="1"/>
  <c r="Z32" i="42" a="1"/>
  <c r="Z32" i="42" s="1"/>
  <c r="Z48" i="42" a="1"/>
  <c r="Z48" i="42" s="1"/>
  <c r="Z64" i="42" a="1"/>
  <c r="Z64" i="42" s="1"/>
  <c r="Z80" i="42" a="1"/>
  <c r="Z80" i="42" s="1"/>
  <c r="Z18" i="42" a="1"/>
  <c r="Z18" i="42" s="1"/>
  <c r="Z17" i="42" a="1"/>
  <c r="Z17" i="42" s="1"/>
  <c r="Z33" i="42" a="1"/>
  <c r="Z33" i="42" s="1"/>
  <c r="Z49" i="42" a="1"/>
  <c r="Z49" i="42" s="1"/>
  <c r="Z65" i="42" a="1"/>
  <c r="Z65" i="42" s="1"/>
  <c r="Z81" i="42" a="1"/>
  <c r="Z81" i="42" s="1"/>
  <c r="Z66" i="42" a="1"/>
  <c r="Z66" i="42" s="1"/>
  <c r="DK4" i="9" a="1"/>
  <c r="DK4" i="9" s="1"/>
  <c r="AN11" i="9"/>
  <c r="AL11" i="9"/>
  <c r="AJ11" i="9"/>
  <c r="AY11" i="9"/>
  <c r="AW11" i="9"/>
  <c r="AU11" i="9"/>
  <c r="AS11" i="9"/>
  <c r="AP11" i="9"/>
  <c r="H37" i="2"/>
  <c r="F37" i="2"/>
  <c r="CS16" i="9"/>
  <c r="DC35" i="9"/>
  <c r="S15" i="47" l="1"/>
  <c r="Q15" i="47"/>
  <c r="P15" i="47"/>
  <c r="T45" i="64"/>
  <c r="R46" i="64"/>
  <c r="T46" i="64" s="1"/>
  <c r="P6" i="47" a="1"/>
  <c r="Q6" i="47" s="1"/>
  <c r="P5" i="47" a="1"/>
  <c r="Q5" i="47" s="1"/>
  <c r="P14" i="47"/>
  <c r="Q14" i="47"/>
  <c r="AJ35" i="47"/>
  <c r="Q10" i="47" s="1" a="1"/>
  <c r="R10" i="47" s="1"/>
  <c r="AX34" i="47" s="1"/>
  <c r="AX33" i="47"/>
  <c r="AZ33" i="47" s="1"/>
  <c r="AG37" i="46"/>
  <c r="AG34" i="46"/>
  <c r="AF37" i="46"/>
  <c r="AF36" i="46"/>
  <c r="AF34" i="46"/>
  <c r="P14" i="46" a="1"/>
  <c r="R14" i="46" s="1"/>
  <c r="R9" i="46"/>
  <c r="AJ35" i="46" s="1"/>
  <c r="Q10" i="46" s="1" a="1"/>
  <c r="AG36" i="46"/>
  <c r="G16" i="35"/>
  <c r="G26" i="35"/>
  <c r="G21" i="35"/>
  <c r="G50" i="35"/>
  <c r="G19" i="35"/>
  <c r="G29" i="35"/>
  <c r="G14" i="35"/>
  <c r="G12" i="35"/>
  <c r="G10" i="35"/>
  <c r="G28" i="35"/>
  <c r="G41" i="35"/>
  <c r="G36" i="35"/>
  <c r="G15" i="35"/>
  <c r="G30" i="35"/>
  <c r="G25" i="35"/>
  <c r="G20" i="35"/>
  <c r="G49" i="35"/>
  <c r="G35" i="35"/>
  <c r="G48" i="35"/>
  <c r="G32" i="35"/>
  <c r="G18" i="35"/>
  <c r="G47" i="35"/>
  <c r="DB15" i="9"/>
  <c r="G7" i="35"/>
  <c r="G31" i="35"/>
  <c r="G9" i="35"/>
  <c r="G33" i="35"/>
  <c r="G42" i="35"/>
  <c r="G38" i="35"/>
  <c r="G45" i="35"/>
  <c r="G17" i="35"/>
  <c r="G39" i="35"/>
  <c r="G43" i="35"/>
  <c r="G44" i="35"/>
  <c r="G22" i="35"/>
  <c r="G11" i="35"/>
  <c r="G40" i="35"/>
  <c r="G24" i="35"/>
  <c r="G8" i="35"/>
  <c r="G37" i="35"/>
  <c r="G34" i="35"/>
  <c r="G13" i="35"/>
  <c r="G23" i="35"/>
  <c r="G46" i="35"/>
  <c r="G52" i="19"/>
  <c r="G27" i="35"/>
  <c r="G6" i="35"/>
  <c r="CX11" i="9"/>
  <c r="CY10" i="9" s="1"/>
  <c r="DC10" i="9" s="1"/>
  <c r="F4" i="48"/>
  <c r="E12" i="48" s="1"/>
  <c r="F12" i="48" s="1"/>
  <c r="I6" i="49"/>
  <c r="AR34" i="47"/>
  <c r="CY22" i="52" s="1"/>
  <c r="CR16" i="9"/>
  <c r="CX16" i="9"/>
  <c r="DB16" i="9" s="1"/>
  <c r="CS19" i="9"/>
  <c r="CS35" i="9" s="1"/>
  <c r="CS20" i="9"/>
  <c r="CS36" i="9" s="1"/>
  <c r="AO36" i="22"/>
  <c r="AL36" i="14"/>
  <c r="AS36" i="30"/>
  <c r="AI36" i="1"/>
  <c r="AP36" i="26"/>
  <c r="CS17" i="9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B903" i="36" s="1" a="1"/>
  <c r="B903" i="36" s="1"/>
  <c r="K1" i="41"/>
  <c r="B813" i="36" s="1" a="1"/>
  <c r="B813" i="36" s="1"/>
  <c r="J1" i="41"/>
  <c r="B723" i="36" s="1" a="1"/>
  <c r="B723" i="36" s="1"/>
  <c r="I1" i="41"/>
  <c r="B633" i="36" s="1" a="1"/>
  <c r="B633" i="36" s="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P18" i="47" l="1"/>
  <c r="P5" i="47"/>
  <c r="W5" i="47" s="1"/>
  <c r="P6" i="47"/>
  <c r="W6" i="47" s="1"/>
  <c r="P17" i="47"/>
  <c r="Q10" i="47"/>
  <c r="AW34" i="47" s="1"/>
  <c r="AZ34" i="47" s="1"/>
  <c r="X3" i="62"/>
  <c r="W3" i="62"/>
  <c r="V3" i="62"/>
  <c r="U3" i="62"/>
  <c r="M3" i="62"/>
  <c r="T3" i="62"/>
  <c r="N3" i="62"/>
  <c r="S3" i="62"/>
  <c r="R3" i="62"/>
  <c r="Q3" i="62"/>
  <c r="P3" i="62"/>
  <c r="O3" i="62"/>
  <c r="T9" i="46"/>
  <c r="AX33" i="46"/>
  <c r="P6" i="46" a="1"/>
  <c r="P6" i="46" s="1"/>
  <c r="Q14" i="46"/>
  <c r="P14" i="46"/>
  <c r="P5" i="46" a="1"/>
  <c r="Q5" i="46" s="1"/>
  <c r="U40" i="60"/>
  <c r="AA45" i="51" s="1"/>
  <c r="U18" i="60"/>
  <c r="AA23" i="51" s="1"/>
  <c r="U29" i="60"/>
  <c r="AA34" i="51" s="1"/>
  <c r="U46" i="60"/>
  <c r="AA51" i="51" s="1"/>
  <c r="U11" i="60"/>
  <c r="AA16" i="51" s="1"/>
  <c r="U42" i="60"/>
  <c r="AA47" i="51" s="1"/>
  <c r="U32" i="60"/>
  <c r="AA37" i="51" s="1"/>
  <c r="U38" i="60"/>
  <c r="AA43" i="51" s="1"/>
  <c r="DB11" i="9"/>
  <c r="U15" i="60"/>
  <c r="AA20" i="51" s="1"/>
  <c r="U19" i="60"/>
  <c r="AA24" i="51" s="1"/>
  <c r="U33" i="60"/>
  <c r="AA38" i="51" s="1"/>
  <c r="U36" i="60"/>
  <c r="AA41" i="51" s="1"/>
  <c r="U48" i="60"/>
  <c r="AA53" i="51" s="1"/>
  <c r="U13" i="60"/>
  <c r="AA18" i="51" s="1"/>
  <c r="U44" i="60"/>
  <c r="AA49" i="51" s="1"/>
  <c r="U35" i="60"/>
  <c r="AA40" i="51" s="1"/>
  <c r="U41" i="60"/>
  <c r="AA46" i="51" s="1"/>
  <c r="U34" i="60"/>
  <c r="AA39" i="51" s="1"/>
  <c r="U43" i="60"/>
  <c r="AA48" i="51" s="1"/>
  <c r="U50" i="60"/>
  <c r="AA55" i="51" s="1"/>
  <c r="U22" i="60"/>
  <c r="AA27" i="51" s="1"/>
  <c r="U9" i="60"/>
  <c r="AA14" i="51" s="1"/>
  <c r="U31" i="60"/>
  <c r="AA36" i="51" s="1"/>
  <c r="U49" i="60"/>
  <c r="AA54" i="51" s="1"/>
  <c r="U28" i="60"/>
  <c r="AA33" i="51" s="1"/>
  <c r="U37" i="60"/>
  <c r="AA42" i="51" s="1"/>
  <c r="U39" i="60"/>
  <c r="AA44" i="51" s="1"/>
  <c r="U21" i="60"/>
  <c r="AA26" i="51" s="1"/>
  <c r="U23" i="60"/>
  <c r="AA28" i="51" s="1"/>
  <c r="U7" i="60"/>
  <c r="AA12" i="51" s="1"/>
  <c r="U20" i="60"/>
  <c r="AA25" i="51" s="1"/>
  <c r="U10" i="60"/>
  <c r="AA15" i="51" s="1"/>
  <c r="U6" i="60"/>
  <c r="AA11" i="51" s="1"/>
  <c r="U8" i="60"/>
  <c r="AA13" i="51" s="1"/>
  <c r="U17" i="60"/>
  <c r="AA22" i="51" s="1"/>
  <c r="U26" i="60"/>
  <c r="AA31" i="51" s="1"/>
  <c r="U25" i="60"/>
  <c r="AA30" i="51" s="1"/>
  <c r="U12" i="60"/>
  <c r="AA17" i="51" s="1"/>
  <c r="U27" i="60"/>
  <c r="AA32" i="51" s="1"/>
  <c r="U24" i="60"/>
  <c r="AA29" i="51" s="1"/>
  <c r="U45" i="60"/>
  <c r="AA50" i="51" s="1"/>
  <c r="U47" i="60"/>
  <c r="AA52" i="51" s="1"/>
  <c r="U16" i="60"/>
  <c r="AA21" i="51" s="1"/>
  <c r="U30" i="60"/>
  <c r="AA35" i="51" s="1"/>
  <c r="U14" i="60"/>
  <c r="AA19" i="51" s="1"/>
  <c r="CR19" i="9"/>
  <c r="CR35" i="9" s="1"/>
  <c r="AI36" i="3"/>
  <c r="I7" i="49"/>
  <c r="P48" i="49"/>
  <c r="P44" i="49"/>
  <c r="AO37" i="22"/>
  <c r="R10" i="46"/>
  <c r="Q10" i="46"/>
  <c r="AW34" i="46" s="1"/>
  <c r="AO36" i="21"/>
  <c r="CX12" i="9"/>
  <c r="DB12" i="9" s="1"/>
  <c r="AP36" i="25"/>
  <c r="AL36" i="6"/>
  <c r="AL36" i="10"/>
  <c r="CR17" i="9"/>
  <c r="AS36" i="29"/>
  <c r="CR20" i="9"/>
  <c r="CR36" i="9" s="1"/>
  <c r="H1" i="41"/>
  <c r="B2" i="40"/>
  <c r="H2" i="4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5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P19" i="47" l="1"/>
  <c r="P20" i="47" s="1"/>
  <c r="W13" i="47" s="1"/>
  <c r="W16" i="46" s="1"/>
  <c r="T10" i="47"/>
  <c r="L3" i="62"/>
  <c r="D7" i="62" a="1"/>
  <c r="D7" i="62" s="1"/>
  <c r="Q6" i="46"/>
  <c r="W6" i="46" s="1"/>
  <c r="P17" i="46"/>
  <c r="P5" i="46"/>
  <c r="W5" i="46" s="1"/>
  <c r="B543" i="36" a="1"/>
  <c r="B543" i="36" s="1"/>
  <c r="U4" i="60"/>
  <c r="T10" i="46"/>
  <c r="AO37" i="21"/>
  <c r="I12" i="49"/>
  <c r="AR34" i="46"/>
  <c r="CX22" i="52" s="1"/>
  <c r="AZ33" i="46"/>
  <c r="AX34" i="46"/>
  <c r="AZ34" i="46" s="1"/>
  <c r="AL37" i="6"/>
  <c r="AS37" i="29"/>
  <c r="AI37" i="3"/>
  <c r="CY12" i="9"/>
  <c r="DC12" i="9" s="1"/>
  <c r="AL37" i="10"/>
  <c r="AP37" i="25"/>
  <c r="CT35" i="9"/>
  <c r="B31" i="42" a="1"/>
  <c r="B31" i="42" s="1"/>
  <c r="Z3" i="42" a="1"/>
  <c r="Z3" i="42" s="1"/>
  <c r="D7" i="42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35"/>
  <c r="C14" i="60"/>
  <c r="W14" i="47" l="1"/>
  <c r="I23" i="52" s="1"/>
  <c r="I35" i="52" s="1"/>
  <c r="B31" i="62" a="1"/>
  <c r="B31" i="62" s="1"/>
  <c r="Z3" i="62" a="1"/>
  <c r="Z3" i="62" s="1"/>
  <c r="Y23" i="52"/>
  <c r="AI23" i="52"/>
  <c r="C19" i="60"/>
  <c r="F3" i="60" s="1"/>
  <c r="Q26" i="49"/>
  <c r="T26" i="49" s="1"/>
  <c r="Q34" i="49"/>
  <c r="T27" i="49" s="1"/>
  <c r="Q18" i="49"/>
  <c r="T25" i="49" s="1"/>
  <c r="B3" i="36" a="1"/>
  <c r="B3" i="36" s="1"/>
  <c r="C19" i="35"/>
  <c r="F3" i="35" s="1"/>
  <c r="AN12" i="46" l="1"/>
  <c r="AN17" i="46" s="1"/>
  <c r="AN44" i="46" a="1"/>
  <c r="AN43" i="46" a="1"/>
  <c r="L3" i="60"/>
  <c r="S31" i="49" a="1"/>
  <c r="S29" i="49" a="1"/>
  <c r="S29" i="49" s="1"/>
  <c r="X34" i="2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U21" i="35"/>
  <c r="U14" i="35"/>
  <c r="U23" i="35"/>
  <c r="U7" i="35"/>
  <c r="U46" i="35"/>
  <c r="U38" i="35"/>
  <c r="U20" i="35"/>
  <c r="U28" i="35"/>
  <c r="U10" i="35"/>
  <c r="U45" i="35"/>
  <c r="U33" i="35"/>
  <c r="U9" i="35"/>
  <c r="U37" i="35"/>
  <c r="U40" i="35"/>
  <c r="U13" i="35"/>
  <c r="U34" i="35"/>
  <c r="U17" i="35"/>
  <c r="U50" i="35"/>
  <c r="U35" i="35"/>
  <c r="U16" i="35"/>
  <c r="U27" i="35"/>
  <c r="U25" i="35"/>
  <c r="U11" i="35"/>
  <c r="U47" i="35"/>
  <c r="U19" i="35"/>
  <c r="U31" i="35"/>
  <c r="U22" i="35"/>
  <c r="U39" i="35"/>
  <c r="U30" i="35"/>
  <c r="U24" i="35"/>
  <c r="U43" i="35"/>
  <c r="U26" i="35"/>
  <c r="U42" i="35"/>
  <c r="U29" i="35"/>
  <c r="U6" i="35"/>
  <c r="U36" i="35"/>
  <c r="U49" i="35"/>
  <c r="U41" i="35"/>
  <c r="U12" i="35"/>
  <c r="U48" i="35"/>
  <c r="U32" i="35"/>
  <c r="U15" i="35"/>
  <c r="U18" i="35"/>
  <c r="U44" i="35"/>
  <c r="L3" i="35"/>
  <c r="AA12" i="2" l="1"/>
  <c r="AA43" i="2"/>
  <c r="AA48" i="2"/>
  <c r="AA22" i="2"/>
  <c r="AA26" i="2"/>
  <c r="AA37" i="2"/>
  <c r="AA49" i="2"/>
  <c r="AA14" i="2"/>
  <c r="AA17" i="2"/>
  <c r="AA41" i="2"/>
  <c r="AA13" i="2"/>
  <c r="AA35" i="2"/>
  <c r="AA23" i="2"/>
  <c r="AA32" i="2"/>
  <c r="AA19" i="2"/>
  <c r="AA36" i="2"/>
  <c r="AA52" i="2"/>
  <c r="AA16" i="2"/>
  <c r="AA42" i="2"/>
  <c r="AA44" i="2"/>
  <c r="AA29" i="2"/>
  <c r="AA53" i="2"/>
  <c r="AA31" i="2"/>
  <c r="AA50" i="2"/>
  <c r="AA34" i="2"/>
  <c r="AA51" i="2"/>
  <c r="AA15" i="2"/>
  <c r="AA24" i="2"/>
  <c r="AA11" i="2"/>
  <c r="AA20" i="2"/>
  <c r="AA10" i="2"/>
  <c r="AA39" i="2"/>
  <c r="AA27" i="2"/>
  <c r="AA45" i="2"/>
  <c r="AA40" i="2"/>
  <c r="AA33" i="2"/>
  <c r="AA54" i="2"/>
  <c r="AA18" i="2"/>
  <c r="AA30" i="2"/>
  <c r="AA38" i="2"/>
  <c r="AA47" i="2"/>
  <c r="AA28" i="2"/>
  <c r="AA46" i="2"/>
  <c r="AA21" i="2"/>
  <c r="AA25" i="2"/>
  <c r="T31" i="49"/>
  <c r="U31" i="49"/>
  <c r="S31" i="49"/>
  <c r="U4" i="35"/>
  <c r="S22" i="49" l="1"/>
  <c r="I13" i="49" s="1"/>
  <c r="I25" i="49" s="1"/>
  <c r="AA56" i="51"/>
  <c r="M43" i="2"/>
  <c r="L43" i="2"/>
  <c r="O102" i="2"/>
  <c r="Q25" i="30"/>
  <c r="Q24" i="30"/>
  <c r="Q23" i="30"/>
  <c r="Q25" i="29"/>
  <c r="Q26" i="29"/>
  <c r="Q24" i="29"/>
  <c r="I17" i="49" l="1"/>
  <c r="F17" i="49" s="1"/>
  <c r="F25" i="49"/>
  <c r="E26" i="49" a="1"/>
  <c r="E26" i="49" s="1"/>
  <c r="I27" i="49"/>
  <c r="AK5" i="9"/>
  <c r="AK6" i="9"/>
  <c r="L36" i="2"/>
  <c r="E36" i="2"/>
  <c r="M36" i="2"/>
  <c r="G36" i="2"/>
  <c r="BW17" i="9"/>
  <c r="W7" i="9" a="1"/>
  <c r="W7" i="9" s="1"/>
  <c r="C6" i="9" s="1"/>
  <c r="I18" i="49" l="1"/>
  <c r="I19" i="49" s="1"/>
  <c r="E19" i="49" s="1"/>
  <c r="E17" i="49"/>
  <c r="F4" i="59"/>
  <c r="O7" i="59"/>
  <c r="N7" i="59"/>
  <c r="F7" i="59"/>
  <c r="O6" i="59"/>
  <c r="F6" i="59"/>
  <c r="F5" i="59"/>
  <c r="N6" i="59"/>
  <c r="F20" i="59"/>
  <c r="I30" i="49"/>
  <c r="I31" i="49" s="1"/>
  <c r="E30" i="49" s="1"/>
  <c r="I29" i="49"/>
  <c r="E29" i="49" s="1"/>
  <c r="I28" i="49"/>
  <c r="E28" i="49" s="1"/>
  <c r="DI35" i="9"/>
  <c r="DN35" i="9"/>
  <c r="DN37" i="9" s="1"/>
  <c r="BY17" i="9"/>
  <c r="X55" i="29" a="1"/>
  <c r="X55" i="29" s="1"/>
  <c r="I21" i="49" l="1"/>
  <c r="I22" i="49" s="1"/>
  <c r="E21" i="49" s="1"/>
  <c r="I20" i="49"/>
  <c r="E20" i="49" s="1"/>
  <c r="S10" i="51" a="1"/>
  <c r="S10" i="51" s="1"/>
  <c r="E31" i="49"/>
  <c r="G33" i="59"/>
  <c r="G20" i="59" a="1"/>
  <c r="G20" i="59" s="1"/>
  <c r="H33" i="59"/>
  <c r="Z55" i="29"/>
  <c r="Y55" i="29"/>
  <c r="E22" i="49" l="1"/>
  <c r="F33" i="59"/>
  <c r="F34" i="59"/>
  <c r="F37" i="59" s="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M30" i="31" l="1"/>
  <c r="M31" i="31" s="1"/>
  <c r="E39" i="31" s="1"/>
  <c r="R30" i="31"/>
  <c r="R31" i="31" s="1"/>
  <c r="J39" i="31" s="1"/>
  <c r="N30" i="31"/>
  <c r="N31" i="31" s="1"/>
  <c r="F39" i="31" s="1"/>
  <c r="Q30" i="31"/>
  <c r="Q31" i="31" s="1"/>
  <c r="I39" i="31" s="1"/>
  <c r="L30" i="31"/>
  <c r="L31" i="31" s="1"/>
  <c r="D39" i="31" s="1"/>
  <c r="P30" i="31"/>
  <c r="P31" i="31" s="1"/>
  <c r="H39" i="31" s="1"/>
  <c r="O30" i="31"/>
  <c r="O31" i="31" s="1"/>
  <c r="G39" i="31" s="1"/>
  <c r="K30" i="31"/>
  <c r="K31" i="31" s="1"/>
  <c r="F44" i="59" a="1"/>
  <c r="F44" i="59" s="1"/>
  <c r="G43" i="59"/>
  <c r="F43" i="59"/>
  <c r="E43" i="59"/>
  <c r="G44" i="59" a="1"/>
  <c r="G44" i="59" s="1"/>
  <c r="E44" i="59" a="1"/>
  <c r="E44" i="59" s="1"/>
  <c r="D12" i="31"/>
  <c r="T31" i="31" l="1" a="1"/>
  <c r="T31" i="31" s="1"/>
  <c r="F39" i="59"/>
  <c r="G39" i="59" s="1"/>
  <c r="F38" i="59"/>
  <c r="G38" i="59" s="1"/>
  <c r="C39" i="31"/>
  <c r="R60" i="29" a="1"/>
  <c r="R60" i="29" s="1"/>
  <c r="R65" i="29" a="1"/>
  <c r="S65" i="29" s="1"/>
  <c r="R70" i="29" a="1"/>
  <c r="R70" i="29" s="1"/>
  <c r="R75" i="29" a="1"/>
  <c r="R75" i="29" s="1"/>
  <c r="N5" i="59" l="1"/>
  <c r="N4" i="59"/>
  <c r="DK23" i="52" s="1"/>
  <c r="O5" i="59"/>
  <c r="O4" i="59"/>
  <c r="DL23" i="52" s="1"/>
  <c r="T60" i="29"/>
  <c r="S60" i="29"/>
  <c r="R65" i="29"/>
  <c r="T65" i="29"/>
  <c r="S70" i="29"/>
  <c r="T70" i="29"/>
  <c r="S75" i="29"/>
  <c r="T75" i="29"/>
  <c r="X51" i="30" l="1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W38" i="29"/>
  <c r="X38" i="29"/>
  <c r="V38" i="29"/>
  <c r="Z51" i="30" l="1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T10" i="9" l="1"/>
  <c r="AX10" i="9" s="1"/>
  <c r="R10" i="9"/>
  <c r="AV10" i="9" s="1"/>
  <c r="P10" i="9"/>
  <c r="AT10" i="9" s="1"/>
  <c r="N10" i="9"/>
  <c r="AR10" i="9" s="1"/>
  <c r="P12" i="9"/>
  <c r="AT12" i="9" s="1"/>
  <c r="R12" i="9"/>
  <c r="AV12" i="9" s="1"/>
  <c r="T12" i="9"/>
  <c r="AX12" i="9" s="1"/>
  <c r="P13" i="9"/>
  <c r="AT13" i="9" s="1"/>
  <c r="R13" i="9"/>
  <c r="AV13" i="9" s="1"/>
  <c r="T13" i="9"/>
  <c r="AX13" i="9" s="1"/>
  <c r="P14" i="9"/>
  <c r="AT14" i="9" s="1"/>
  <c r="R14" i="9"/>
  <c r="AV14" i="9" s="1"/>
  <c r="T14" i="9"/>
  <c r="AX14" i="9" s="1"/>
  <c r="P15" i="9"/>
  <c r="AT15" i="9" s="1"/>
  <c r="R15" i="9"/>
  <c r="AV15" i="9" s="1"/>
  <c r="T15" i="9"/>
  <c r="AX15" i="9" s="1"/>
  <c r="P16" i="9"/>
  <c r="AT16" i="9" s="1"/>
  <c r="R16" i="9"/>
  <c r="AV16" i="9" s="1"/>
  <c r="T16" i="9"/>
  <c r="AX16" i="9" s="1"/>
  <c r="P17" i="9"/>
  <c r="AT17" i="9" s="1"/>
  <c r="R17" i="9"/>
  <c r="AV17" i="9" s="1"/>
  <c r="P18" i="9"/>
  <c r="AT18" i="9" s="1"/>
  <c r="N13" i="9"/>
  <c r="AR13" i="9" s="1"/>
  <c r="N14" i="9"/>
  <c r="AR14" i="9" s="1"/>
  <c r="N15" i="9"/>
  <c r="AR15" i="9" s="1"/>
  <c r="N16" i="9"/>
  <c r="AR16" i="9" s="1"/>
  <c r="N17" i="9"/>
  <c r="AR17" i="9" s="1"/>
  <c r="N18" i="9"/>
  <c r="AR18" i="9" s="1"/>
  <c r="N12" i="9"/>
  <c r="AR12" i="9" s="1"/>
  <c r="I10" i="9"/>
  <c r="AO10" i="9" s="1"/>
  <c r="G10" i="9"/>
  <c r="AM10" i="9" s="1"/>
  <c r="E10" i="9"/>
  <c r="AK10" i="9" s="1"/>
  <c r="C10" i="9"/>
  <c r="AI10" i="9" s="1"/>
  <c r="E12" i="9"/>
  <c r="AK12" i="9" s="1"/>
  <c r="G12" i="9"/>
  <c r="AM12" i="9" s="1"/>
  <c r="I12" i="9"/>
  <c r="AO12" i="9" s="1"/>
  <c r="E13" i="9"/>
  <c r="AK13" i="9" s="1"/>
  <c r="G13" i="9"/>
  <c r="AM13" i="9" s="1"/>
  <c r="I13" i="9"/>
  <c r="AO13" i="9" s="1"/>
  <c r="E14" i="9"/>
  <c r="AK14" i="9" s="1"/>
  <c r="G14" i="9"/>
  <c r="AM14" i="9" s="1"/>
  <c r="I14" i="9"/>
  <c r="AO14" i="9" s="1"/>
  <c r="E15" i="9"/>
  <c r="AK15" i="9" s="1"/>
  <c r="G15" i="9"/>
  <c r="AM15" i="9" s="1"/>
  <c r="I15" i="9"/>
  <c r="AO15" i="9" s="1"/>
  <c r="E16" i="9"/>
  <c r="AK16" i="9" s="1"/>
  <c r="G16" i="9"/>
  <c r="AM16" i="9" s="1"/>
  <c r="I16" i="9"/>
  <c r="AO16" i="9" s="1"/>
  <c r="E17" i="9"/>
  <c r="AK17" i="9" s="1"/>
  <c r="G17" i="9"/>
  <c r="AM17" i="9" s="1"/>
  <c r="E18" i="9"/>
  <c r="AK18" i="9" s="1"/>
  <c r="C13" i="9"/>
  <c r="AI13" i="9" s="1"/>
  <c r="C14" i="9"/>
  <c r="AI14" i="9" s="1"/>
  <c r="C15" i="9"/>
  <c r="AI15" i="9" s="1"/>
  <c r="C16" i="9"/>
  <c r="AI16" i="9" s="1"/>
  <c r="C17" i="9"/>
  <c r="AI17" i="9" s="1"/>
  <c r="C18" i="9"/>
  <c r="AI18" i="9" s="1"/>
  <c r="C12" i="9"/>
  <c r="AI12" i="9" s="1"/>
  <c r="M28" i="9"/>
  <c r="BD3" i="9"/>
  <c r="F6" i="2" s="1" a="1"/>
  <c r="F6" i="2" s="1"/>
  <c r="N35" i="9"/>
  <c r="J35" i="9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AB12" i="30"/>
  <c r="AF11" i="30"/>
  <c r="AD11" i="30"/>
  <c r="AB11" i="30"/>
  <c r="AH10" i="30"/>
  <c r="AF10" i="30"/>
  <c r="AD10" i="30"/>
  <c r="AB10" i="30"/>
  <c r="AH9" i="30"/>
  <c r="AF9" i="30"/>
  <c r="AD9" i="30"/>
  <c r="AB9" i="30"/>
  <c r="AH8" i="30"/>
  <c r="AF8" i="30"/>
  <c r="AD8" i="30"/>
  <c r="AB8" i="30"/>
  <c r="AH7" i="30"/>
  <c r="AF7" i="30"/>
  <c r="AD7" i="30"/>
  <c r="AB7" i="30"/>
  <c r="AH6" i="30"/>
  <c r="AB37" i="30" s="1"/>
  <c r="AF6" i="30"/>
  <c r="AB36" i="30" s="1"/>
  <c r="AD6" i="30"/>
  <c r="AB6" i="30"/>
  <c r="AB34" i="30" s="1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AB12" i="29"/>
  <c r="AF11" i="29"/>
  <c r="AD11" i="29"/>
  <c r="AB11" i="29"/>
  <c r="AH10" i="29"/>
  <c r="AF10" i="29"/>
  <c r="AD10" i="29"/>
  <c r="AB10" i="29"/>
  <c r="AH9" i="29"/>
  <c r="AF9" i="29"/>
  <c r="AD9" i="29"/>
  <c r="AB9" i="29"/>
  <c r="AH8" i="29"/>
  <c r="AF8" i="29"/>
  <c r="AD8" i="29"/>
  <c r="AB8" i="29"/>
  <c r="AH7" i="29"/>
  <c r="AF7" i="29"/>
  <c r="AD7" i="29"/>
  <c r="AB7" i="29"/>
  <c r="AH6" i="29"/>
  <c r="AB37" i="29" s="1"/>
  <c r="AF6" i="29"/>
  <c r="AB36" i="29" s="1"/>
  <c r="AD6" i="29"/>
  <c r="AB35" i="29" s="1"/>
  <c r="AB6" i="29"/>
  <c r="AB34" i="29" s="1"/>
  <c r="L3" i="29"/>
  <c r="J3" i="29"/>
  <c r="S60" i="30" l="1"/>
  <c r="I75" i="29"/>
  <c r="I60" i="29"/>
  <c r="U29" i="29"/>
  <c r="U29" i="30"/>
  <c r="W21" i="29"/>
  <c r="AB35" i="30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Y35" i="29" l="1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K41" i="52" s="1"/>
  <c r="Z37" i="30" l="1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4" i="9"/>
  <c r="CM19" i="9"/>
  <c r="AU14" i="25"/>
  <c r="AU14" i="21"/>
  <c r="P47" i="28" a="1"/>
  <c r="Q47" i="28" s="1"/>
  <c r="P32" i="28" a="1"/>
  <c r="P24" i="28" a="1"/>
  <c r="P16" i="28" a="1"/>
  <c r="P9" i="28" a="1"/>
  <c r="J8" i="2" l="1" a="1"/>
  <c r="J8" i="2" s="1"/>
  <c r="M62" i="9" a="1"/>
  <c r="M62" i="9" s="1"/>
  <c r="CM26" i="9" a="1"/>
  <c r="CM26" i="9" s="1"/>
  <c r="CM25" i="9" a="1"/>
  <c r="CM25" i="9" s="1"/>
  <c r="AF34" i="30"/>
  <c r="AS34" i="30"/>
  <c r="AV34" i="30"/>
  <c r="AS34" i="29"/>
  <c r="AV34" i="29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CL26" i="9"/>
  <c r="CL25" i="9"/>
  <c r="R47" i="28"/>
  <c r="S47" i="28"/>
  <c r="P47" i="28"/>
  <c r="Q9" i="28"/>
  <c r="P9" i="28"/>
  <c r="Q24" i="28"/>
  <c r="P24" i="28"/>
  <c r="Q32" i="28"/>
  <c r="P32" i="28"/>
  <c r="P16" i="28"/>
  <c r="Q16" i="28"/>
  <c r="CL35" i="9" l="1" a="1"/>
  <c r="CL35" i="9" s="1"/>
  <c r="CL37" i="9" s="1"/>
  <c r="C9" i="2" s="1"/>
  <c r="CX27" i="9"/>
  <c r="CV27" i="9"/>
  <c r="CY27" i="9"/>
  <c r="CW27" i="9"/>
  <c r="Q9" i="29" a="1"/>
  <c r="Q9" i="29" s="1"/>
  <c r="CM35" i="9" a="1"/>
  <c r="CM35" i="9" s="1"/>
  <c r="P6" i="29" a="1"/>
  <c r="Q6" i="29" s="1"/>
  <c r="AD38" i="30"/>
  <c r="AE38" i="30"/>
  <c r="R10" i="29"/>
  <c r="AE35" i="30"/>
  <c r="AG35" i="30"/>
  <c r="AF35" i="30"/>
  <c r="AJ35" i="30"/>
  <c r="Q10" i="30" a="1"/>
  <c r="AC7" i="26"/>
  <c r="AC8" i="26"/>
  <c r="AC9" i="26"/>
  <c r="AC10" i="26"/>
  <c r="AC11" i="26"/>
  <c r="AC12" i="26"/>
  <c r="AC6" i="26"/>
  <c r="AB7" i="26"/>
  <c r="AD7" i="26" s="1"/>
  <c r="AB8" i="26"/>
  <c r="AD8" i="26" s="1"/>
  <c r="AB9" i="26"/>
  <c r="AD9" i="26" s="1"/>
  <c r="AB10" i="26"/>
  <c r="AD10" i="26" s="1"/>
  <c r="AB11" i="26"/>
  <c r="AD11" i="26" s="1"/>
  <c r="AB12" i="26"/>
  <c r="AD12" i="26" s="1"/>
  <c r="AB6" i="26"/>
  <c r="AD6" i="26" s="1"/>
  <c r="AB38" i="26" s="1"/>
  <c r="CM37" i="9" l="1" a="1"/>
  <c r="CM37" i="9" s="1"/>
  <c r="C10" i="2" s="1"/>
  <c r="R9" i="29"/>
  <c r="AV36" i="29" s="1"/>
  <c r="S10" i="29"/>
  <c r="P6" i="29"/>
  <c r="W6" i="29" s="1"/>
  <c r="Y28" i="9" s="1"/>
  <c r="R10" i="30"/>
  <c r="Q10" i="30"/>
  <c r="AA7" i="25"/>
  <c r="AA8" i="25"/>
  <c r="AA9" i="25"/>
  <c r="AA10" i="25"/>
  <c r="AA11" i="25"/>
  <c r="AA12" i="25"/>
  <c r="AW27" i="25"/>
  <c r="CZ27" i="9" l="1"/>
  <c r="AP35" i="29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AJ44" i="29"/>
  <c r="T28" i="9" s="1"/>
  <c r="AH44" i="29"/>
  <c r="R28" i="9" s="1"/>
  <c r="AK44" i="29"/>
  <c r="U28" i="9" s="1"/>
  <c r="AL44" i="29"/>
  <c r="V28" i="9" s="1"/>
  <c r="S10" i="30"/>
  <c r="AV27" i="25"/>
  <c r="AX27" i="25"/>
  <c r="L8" i="19"/>
  <c r="M26" i="9"/>
  <c r="I10" i="28"/>
  <c r="I16" i="28" s="1"/>
  <c r="J41" i="52" s="1"/>
  <c r="I9" i="28"/>
  <c r="I8" i="28"/>
  <c r="I6" i="28"/>
  <c r="P48" i="28" s="1"/>
  <c r="O26" i="27"/>
  <c r="N26" i="27"/>
  <c r="M26" i="27"/>
  <c r="L26" i="27"/>
  <c r="O25" i="27"/>
  <c r="N25" i="27"/>
  <c r="M25" i="27"/>
  <c r="L25" i="27"/>
  <c r="O24" i="27"/>
  <c r="N24" i="27"/>
  <c r="M24" i="27"/>
  <c r="L24" i="27"/>
  <c r="O23" i="27"/>
  <c r="N23" i="27"/>
  <c r="M23" i="27"/>
  <c r="L23" i="27"/>
  <c r="O22" i="27"/>
  <c r="N22" i="27"/>
  <c r="M22" i="27"/>
  <c r="L22" i="27"/>
  <c r="O21" i="27"/>
  <c r="N21" i="27"/>
  <c r="M21" i="27"/>
  <c r="L21" i="27"/>
  <c r="O20" i="27"/>
  <c r="N20" i="27"/>
  <c r="M20" i="27"/>
  <c r="L20" i="27"/>
  <c r="O19" i="27"/>
  <c r="N19" i="27"/>
  <c r="M19" i="27"/>
  <c r="L19" i="27"/>
  <c r="O18" i="27"/>
  <c r="N18" i="27"/>
  <c r="M18" i="27"/>
  <c r="L18" i="27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I11" i="27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M6" i="27"/>
  <c r="AL6" i="27"/>
  <c r="AK6" i="27"/>
  <c r="AJ6" i="27"/>
  <c r="AI6" i="27"/>
  <c r="E5" i="27"/>
  <c r="E4" i="27"/>
  <c r="R77" i="26" a="1"/>
  <c r="S77" i="26" s="1"/>
  <c r="H77" i="26" a="1"/>
  <c r="R76" i="26" a="1"/>
  <c r="S76" i="26" s="1"/>
  <c r="H76" i="26" a="1"/>
  <c r="R75" i="26" a="1"/>
  <c r="T75" i="26" s="1"/>
  <c r="H75" i="26" a="1"/>
  <c r="J75" i="26" s="1"/>
  <c r="R72" i="26" a="1"/>
  <c r="R72" i="26" s="1"/>
  <c r="H72" i="26" a="1"/>
  <c r="I72" i="26" s="1"/>
  <c r="R71" i="26" a="1"/>
  <c r="S71" i="26" s="1"/>
  <c r="H71" i="26" a="1"/>
  <c r="I71" i="26" s="1"/>
  <c r="R70" i="26" a="1"/>
  <c r="R70" i="26" s="1"/>
  <c r="H70" i="26" a="1"/>
  <c r="J70" i="26" s="1"/>
  <c r="R67" i="26" a="1"/>
  <c r="H67" i="26" a="1"/>
  <c r="R66" i="26" a="1"/>
  <c r="H66" i="26" a="1"/>
  <c r="R65" i="26" a="1"/>
  <c r="T65" i="26" s="1"/>
  <c r="H65" i="26" a="1"/>
  <c r="J65" i="26" s="1"/>
  <c r="R62" i="26" a="1"/>
  <c r="S62" i="26" s="1"/>
  <c r="H62" i="26" a="1"/>
  <c r="H62" i="26" s="1"/>
  <c r="R61" i="26" a="1"/>
  <c r="S61" i="26" s="1"/>
  <c r="H61" i="26" a="1"/>
  <c r="H61" i="26" s="1"/>
  <c r="R60" i="26" a="1"/>
  <c r="T60" i="26" s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X36" i="26"/>
  <c r="W36" i="26"/>
  <c r="V36" i="26"/>
  <c r="X35" i="26"/>
  <c r="W35" i="26"/>
  <c r="V35" i="26"/>
  <c r="AB34" i="26"/>
  <c r="X34" i="26"/>
  <c r="W34" i="26"/>
  <c r="V34" i="26"/>
  <c r="AF11" i="26"/>
  <c r="AH10" i="26"/>
  <c r="AF10" i="26"/>
  <c r="AH9" i="26"/>
  <c r="AF9" i="26"/>
  <c r="AH8" i="26"/>
  <c r="AF8" i="26"/>
  <c r="AH7" i="26"/>
  <c r="AF7" i="26"/>
  <c r="AH6" i="26"/>
  <c r="AB37" i="26" s="1"/>
  <c r="AF6" i="26"/>
  <c r="AB36" i="26" s="1"/>
  <c r="AB35" i="26"/>
  <c r="L3" i="26"/>
  <c r="J3" i="26"/>
  <c r="R77" i="25" a="1"/>
  <c r="R77" i="25" s="1"/>
  <c r="H77" i="25" a="1"/>
  <c r="I77" i="25" s="1"/>
  <c r="R76" i="25" a="1"/>
  <c r="R76" i="25" s="1"/>
  <c r="H76" i="25" a="1"/>
  <c r="I76" i="25" s="1"/>
  <c r="R75" i="25" a="1"/>
  <c r="S75" i="25" s="1"/>
  <c r="H75" i="25" a="1"/>
  <c r="H75" i="25" s="1"/>
  <c r="R72" i="25" a="1"/>
  <c r="R72" i="25" s="1"/>
  <c r="H72" i="25" a="1"/>
  <c r="H72" i="25" s="1"/>
  <c r="R71" i="25" a="1"/>
  <c r="S71" i="25" s="1"/>
  <c r="H71" i="25" a="1"/>
  <c r="H71" i="25" s="1"/>
  <c r="R70" i="25" a="1"/>
  <c r="T70" i="25" s="1"/>
  <c r="H70" i="25" a="1"/>
  <c r="R67" i="25" a="1"/>
  <c r="S67" i="25" s="1"/>
  <c r="H67" i="25" a="1"/>
  <c r="H67" i="25" s="1"/>
  <c r="R66" i="25" a="1"/>
  <c r="S66" i="25" s="1"/>
  <c r="H66" i="25" a="1"/>
  <c r="H66" i="25" s="1"/>
  <c r="R65" i="25" a="1"/>
  <c r="T65" i="25" s="1"/>
  <c r="H65" i="25" a="1"/>
  <c r="J65" i="25" s="1"/>
  <c r="R62" i="25" a="1"/>
  <c r="R62" i="25" s="1"/>
  <c r="H62" i="25" a="1"/>
  <c r="H62" i="25" s="1"/>
  <c r="R61" i="25" a="1"/>
  <c r="R61" i="25" s="1"/>
  <c r="H61" i="25" a="1"/>
  <c r="I61" i="25" s="1"/>
  <c r="R60" i="25" a="1"/>
  <c r="S60" i="25" s="1"/>
  <c r="H60" i="25" a="1"/>
  <c r="J60" i="25" s="1"/>
  <c r="AN55" i="25" a="1"/>
  <c r="AP55" i="25" s="1"/>
  <c r="AN54" i="25" a="1"/>
  <c r="AO54" i="25" s="1"/>
  <c r="X54" i="25" a="1"/>
  <c r="Z54" i="25" s="1"/>
  <c r="AN53" i="25" a="1"/>
  <c r="AN53" i="25" s="1"/>
  <c r="X53" i="25" a="1"/>
  <c r="Z53" i="25" s="1"/>
  <c r="AN52" i="25" a="1"/>
  <c r="AP52" i="25" s="1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P16" i="27" l="1"/>
  <c r="AP17" i="27" s="1"/>
  <c r="J39" i="27" s="1"/>
  <c r="AM16" i="27"/>
  <c r="AM17" i="27" s="1"/>
  <c r="G39" i="27" s="1"/>
  <c r="AL16" i="27"/>
  <c r="AL17" i="27" s="1"/>
  <c r="F39" i="27" s="1"/>
  <c r="P21" i="27"/>
  <c r="P25" i="27"/>
  <c r="P26" i="27"/>
  <c r="AK16" i="27"/>
  <c r="AK17" i="27" s="1"/>
  <c r="E39" i="27" s="1"/>
  <c r="P20" i="27"/>
  <c r="P24" i="27"/>
  <c r="AN16" i="27"/>
  <c r="AN17" i="27" s="1"/>
  <c r="H39" i="27" s="1"/>
  <c r="S70" i="25"/>
  <c r="R62" i="26"/>
  <c r="P22" i="27"/>
  <c r="I65" i="26"/>
  <c r="AO16" i="27"/>
  <c r="AO17" i="27" s="1"/>
  <c r="I39" i="27" s="1"/>
  <c r="P19" i="27"/>
  <c r="R66" i="25"/>
  <c r="AO53" i="25"/>
  <c r="H65" i="25"/>
  <c r="H72" i="26"/>
  <c r="R65" i="25"/>
  <c r="AN55" i="25"/>
  <c r="S65" i="25"/>
  <c r="S72" i="25"/>
  <c r="S72" i="26"/>
  <c r="R65" i="26"/>
  <c r="P23" i="27"/>
  <c r="H60" i="25"/>
  <c r="I75" i="25"/>
  <c r="R60" i="26"/>
  <c r="H75" i="26"/>
  <c r="I60" i="25"/>
  <c r="J75" i="25"/>
  <c r="S60" i="26"/>
  <c r="I75" i="26"/>
  <c r="P28" i="9"/>
  <c r="AO44" i="29" a="1"/>
  <c r="AO44" i="29" s="1"/>
  <c r="AP44" i="29" s="1"/>
  <c r="AN44" i="29" a="1"/>
  <c r="AN44" i="29" s="1"/>
  <c r="X28" i="9" s="1"/>
  <c r="X52" i="25"/>
  <c r="AI16" i="27"/>
  <c r="AI17" i="27" s="1"/>
  <c r="C39" i="27" s="1"/>
  <c r="R60" i="25"/>
  <c r="AN52" i="25"/>
  <c r="T60" i="25"/>
  <c r="R75" i="26"/>
  <c r="AJ16" i="27"/>
  <c r="AJ17" i="27" s="1"/>
  <c r="D39" i="27" s="1"/>
  <c r="AO52" i="25"/>
  <c r="S76" i="25"/>
  <c r="R61" i="26"/>
  <c r="H71" i="26"/>
  <c r="H77" i="25"/>
  <c r="Y53" i="25"/>
  <c r="I62" i="25"/>
  <c r="R70" i="25"/>
  <c r="I62" i="26"/>
  <c r="P18" i="27"/>
  <c r="Y9" i="29"/>
  <c r="C4" i="31"/>
  <c r="E28" i="9"/>
  <c r="E18" i="28" a="1"/>
  <c r="E18" i="28" s="1"/>
  <c r="J41" i="9"/>
  <c r="AB12" i="25"/>
  <c r="AB11" i="25"/>
  <c r="AB9" i="25"/>
  <c r="U29" i="26"/>
  <c r="F4" i="27"/>
  <c r="AB6" i="25"/>
  <c r="AB8" i="25"/>
  <c r="AB7" i="25"/>
  <c r="AB10" i="25"/>
  <c r="U29" i="25"/>
  <c r="AH9" i="25"/>
  <c r="V36" i="25"/>
  <c r="AF6" i="25"/>
  <c r="AF9" i="25"/>
  <c r="AF7" i="25"/>
  <c r="AF10" i="25"/>
  <c r="AF8" i="25"/>
  <c r="W36" i="25"/>
  <c r="AF11" i="25"/>
  <c r="W35" i="25"/>
  <c r="V34" i="25"/>
  <c r="V37" i="25"/>
  <c r="AH7" i="25"/>
  <c r="AH6" i="25"/>
  <c r="AN53" i="26"/>
  <c r="AP53" i="26"/>
  <c r="AH8" i="25"/>
  <c r="AH10" i="25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B38" i="25" s="1"/>
  <c r="AD9" i="25"/>
  <c r="AD11" i="25"/>
  <c r="AD10" i="25"/>
  <c r="AD12" i="25"/>
  <c r="AD7" i="25"/>
  <c r="AD8" i="25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T24" i="24"/>
  <c r="AA34" i="25" l="1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AI114" i="19"/>
  <c r="AG132" i="19"/>
  <c r="AG133" i="19"/>
  <c r="AG134" i="19"/>
  <c r="AG135" i="19"/>
  <c r="AG136" i="19"/>
  <c r="AG131" i="19"/>
  <c r="AG130" i="19"/>
  <c r="AH116" i="19" l="1" a="1"/>
  <c r="AJ116" i="19" s="1"/>
  <c r="AC38" i="26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H116" i="19" l="1"/>
  <c r="AI116" i="19"/>
  <c r="AD38" i="26"/>
  <c r="AP34" i="26"/>
  <c r="AS34" i="26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CY25" i="9" l="1"/>
  <c r="CW25" i="9"/>
  <c r="AS39" i="25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I43" i="26"/>
  <c r="AM26" i="9" s="1"/>
  <c r="AG43" i="26"/>
  <c r="AK26" i="9" s="1"/>
  <c r="AM43" i="26"/>
  <c r="AQ26" i="9" s="1"/>
  <c r="AF44" i="26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AT26" i="9" l="1"/>
  <c r="AN44" i="26" a="1"/>
  <c r="AN44" i="26" s="1"/>
  <c r="BB26" i="9" s="1"/>
  <c r="AO44" i="26" a="1"/>
  <c r="AO44" i="26" s="1"/>
  <c r="AP44" i="26" s="1"/>
  <c r="AJ26" i="9"/>
  <c r="AN43" i="26" a="1"/>
  <c r="AN43" i="26" s="1"/>
  <c r="AR26" i="9" s="1"/>
  <c r="AO43" i="26" a="1"/>
  <c r="AO43" i="26" s="1"/>
  <c r="AP43" i="26" s="1"/>
  <c r="T10" i="26"/>
  <c r="AS40" i="25"/>
  <c r="W14" i="26"/>
  <c r="AN12" i="25" s="1"/>
  <c r="AN17" i="25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1" i="9"/>
  <c r="M41" i="9" s="1" a="1"/>
  <c r="M41" i="9" s="1"/>
  <c r="P28" i="24" a="1"/>
  <c r="P28" i="24" s="1"/>
  <c r="P36" i="24" a="1"/>
  <c r="P36" i="24" s="1"/>
  <c r="I7" i="24"/>
  <c r="P47" i="24"/>
  <c r="S47" i="24"/>
  <c r="R47" i="24"/>
  <c r="Q47" i="24"/>
  <c r="I12" i="24" l="1"/>
  <c r="D56" i="52"/>
  <c r="D56" i="9"/>
  <c r="D57" i="9" s="1"/>
  <c r="P48" i="24"/>
  <c r="F92" i="2" l="1"/>
  <c r="AC119" i="19" l="1"/>
  <c r="U108" i="19"/>
  <c r="U107" i="19"/>
  <c r="U106" i="19"/>
  <c r="U105" i="19"/>
  <c r="U104" i="19"/>
  <c r="U103" i="19"/>
  <c r="Z102" i="19"/>
  <c r="Z103" i="19" s="1"/>
  <c r="Z104" i="19" s="1"/>
  <c r="U102" i="19"/>
  <c r="U101" i="19"/>
  <c r="AH119" i="19" l="1"/>
  <c r="AH121" i="19" s="1"/>
  <c r="AH122" i="19" s="1"/>
  <c r="M7" i="19" s="1"/>
  <c r="CJ22" i="52" s="1"/>
  <c r="CJ35" i="52" s="1" a="1"/>
  <c r="CJ35" i="52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AJ16" i="23" l="1"/>
  <c r="AJ17" i="23" s="1"/>
  <c r="D39" i="23" s="1"/>
  <c r="AL16" i="23"/>
  <c r="AL17" i="23" s="1"/>
  <c r="F39" i="23" s="1"/>
  <c r="AK16" i="23"/>
  <c r="AK17" i="23" s="1"/>
  <c r="E39" i="23" s="1"/>
  <c r="AP16" i="23"/>
  <c r="AP17" i="23" s="1"/>
  <c r="J39" i="23" s="1"/>
  <c r="AI16" i="23"/>
  <c r="AI17" i="23" s="1"/>
  <c r="C39" i="23" s="1"/>
  <c r="AO16" i="23"/>
  <c r="AO17" i="23" s="1"/>
  <c r="I39" i="23" s="1"/>
  <c r="AN16" i="23"/>
  <c r="AN17" i="23" s="1"/>
  <c r="H39" i="23" s="1"/>
  <c r="AM16" i="23"/>
  <c r="AM17" i="23" s="1"/>
  <c r="G39" i="23" s="1"/>
  <c r="O35" i="9"/>
  <c r="E5" i="23"/>
  <c r="E4" i="23"/>
  <c r="O26" i="23"/>
  <c r="N26" i="23"/>
  <c r="M26" i="23"/>
  <c r="L26" i="23"/>
  <c r="O25" i="23"/>
  <c r="N25" i="23"/>
  <c r="M25" i="23"/>
  <c r="L25" i="23"/>
  <c r="O24" i="23"/>
  <c r="N24" i="23"/>
  <c r="M24" i="23"/>
  <c r="L24" i="23"/>
  <c r="O23" i="23"/>
  <c r="N23" i="23"/>
  <c r="M23" i="23"/>
  <c r="L23" i="23"/>
  <c r="O22" i="23"/>
  <c r="N22" i="23"/>
  <c r="M22" i="23"/>
  <c r="L22" i="23"/>
  <c r="O21" i="23"/>
  <c r="N21" i="23"/>
  <c r="M21" i="23"/>
  <c r="L21" i="23"/>
  <c r="O20" i="23"/>
  <c r="N20" i="23"/>
  <c r="M20" i="23"/>
  <c r="L20" i="23"/>
  <c r="O19" i="23"/>
  <c r="N19" i="23"/>
  <c r="M19" i="23"/>
  <c r="L19" i="23"/>
  <c r="O18" i="23"/>
  <c r="N18" i="23"/>
  <c r="M18" i="23"/>
  <c r="L18" i="23"/>
  <c r="P25" i="23" l="1"/>
  <c r="P21" i="23"/>
  <c r="P18" i="23"/>
  <c r="P22" i="23"/>
  <c r="P20" i="23"/>
  <c r="P26" i="23"/>
  <c r="P19" i="23"/>
  <c r="P24" i="23"/>
  <c r="P23" i="23"/>
  <c r="F4" i="23"/>
  <c r="L3" i="22"/>
  <c r="J3" i="22"/>
  <c r="L3" i="21"/>
  <c r="J3" i="21"/>
  <c r="T11" i="9"/>
  <c r="AX11" i="9" s="1"/>
  <c r="R11" i="9"/>
  <c r="AV11" i="9" s="1"/>
  <c r="P11" i="9"/>
  <c r="AT11" i="9" s="1"/>
  <c r="N11" i="9"/>
  <c r="AR11" i="9" s="1"/>
  <c r="I11" i="9"/>
  <c r="AO11" i="9" s="1"/>
  <c r="G11" i="9"/>
  <c r="AM11" i="9" s="1"/>
  <c r="E11" i="9"/>
  <c r="AK11" i="9" s="1"/>
  <c r="C11" i="9"/>
  <c r="AI11" i="9" s="1"/>
  <c r="X51" i="22" l="1" a="1"/>
  <c r="X51" i="22" s="1"/>
  <c r="CJ26" i="9" l="1"/>
  <c r="CJ35" i="9" s="1" a="1"/>
  <c r="CJ35" i="9" s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Q18" i="9" s="1"/>
  <c r="AU18" i="9" s="1"/>
  <c r="AB12" i="22"/>
  <c r="O18" i="9" s="1"/>
  <c r="AF11" i="22"/>
  <c r="S17" i="9" s="1"/>
  <c r="AW17" i="9" s="1"/>
  <c r="AD11" i="22"/>
  <c r="Q17" i="9" s="1"/>
  <c r="AU17" i="9" s="1"/>
  <c r="AB11" i="22"/>
  <c r="O17" i="9" s="1"/>
  <c r="AH10" i="22"/>
  <c r="U16" i="9" s="1"/>
  <c r="AY16" i="9" s="1"/>
  <c r="AF10" i="22"/>
  <c r="S16" i="9" s="1"/>
  <c r="AW16" i="9" s="1"/>
  <c r="AD10" i="22"/>
  <c r="Q16" i="9" s="1"/>
  <c r="AU16" i="9" s="1"/>
  <c r="AB10" i="22"/>
  <c r="O16" i="9" s="1"/>
  <c r="AH9" i="22"/>
  <c r="U15" i="9" s="1"/>
  <c r="AY15" i="9" s="1"/>
  <c r="AF9" i="22"/>
  <c r="S15" i="9" s="1"/>
  <c r="AW15" i="9" s="1"/>
  <c r="AD9" i="22"/>
  <c r="Q15" i="9" s="1"/>
  <c r="AU15" i="9" s="1"/>
  <c r="AB9" i="22"/>
  <c r="O15" i="9" s="1"/>
  <c r="AH8" i="22"/>
  <c r="U14" i="9" s="1"/>
  <c r="AY14" i="9" s="1"/>
  <c r="AF8" i="22"/>
  <c r="S14" i="9" s="1"/>
  <c r="AW14" i="9" s="1"/>
  <c r="AD8" i="22"/>
  <c r="Q14" i="9" s="1"/>
  <c r="AU14" i="9" s="1"/>
  <c r="AB8" i="22"/>
  <c r="O14" i="9" s="1"/>
  <c r="AH7" i="22"/>
  <c r="U13" i="9" s="1"/>
  <c r="AY13" i="9" s="1"/>
  <c r="AF7" i="22"/>
  <c r="S13" i="9" s="1"/>
  <c r="AW13" i="9" s="1"/>
  <c r="AD7" i="22"/>
  <c r="Q13" i="9" s="1"/>
  <c r="AU13" i="9" s="1"/>
  <c r="AB7" i="22"/>
  <c r="O13" i="9" s="1"/>
  <c r="AH6" i="22"/>
  <c r="AF6" i="22"/>
  <c r="AD6" i="22"/>
  <c r="AB6" i="22"/>
  <c r="AS15" i="9" l="1"/>
  <c r="M15" i="9"/>
  <c r="AB34" i="22"/>
  <c r="O12" i="9"/>
  <c r="AS16" i="9"/>
  <c r="M16" i="9"/>
  <c r="AB35" i="22"/>
  <c r="Q12" i="9"/>
  <c r="AU12" i="9" s="1"/>
  <c r="AB36" i="22"/>
  <c r="S12" i="9"/>
  <c r="AW12" i="9" s="1"/>
  <c r="AB37" i="22"/>
  <c r="U12" i="9"/>
  <c r="AY12" i="9" s="1"/>
  <c r="M13" i="9"/>
  <c r="AS13" i="9"/>
  <c r="M17" i="9"/>
  <c r="AS17" i="9"/>
  <c r="AS18" i="9"/>
  <c r="M18" i="9"/>
  <c r="M14" i="9"/>
  <c r="AS14" i="9"/>
  <c r="R70" i="22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S12" i="9" l="1"/>
  <c r="M12" i="9"/>
  <c r="AC36" i="22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AR34" i="22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CY26" i="9" l="1"/>
  <c r="CW26" i="9"/>
  <c r="AG36" i="22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l="1" a="1"/>
  <c r="AN44" i="22" s="1"/>
  <c r="BB27" i="9" s="1"/>
  <c r="R10" i="22"/>
  <c r="AX34" i="22" s="1"/>
  <c r="AZ34" i="22" s="1"/>
  <c r="AO44" i="22" a="1"/>
  <c r="AO44" i="22" s="1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J13" i="9" s="1"/>
  <c r="AP13" i="9" s="1"/>
  <c r="AH8" i="21"/>
  <c r="J14" i="9" s="1"/>
  <c r="AP14" i="9" s="1"/>
  <c r="AH9" i="21"/>
  <c r="J15" i="9" s="1"/>
  <c r="AP15" i="9" s="1"/>
  <c r="AH10" i="21"/>
  <c r="J16" i="9" s="1"/>
  <c r="AP16" i="9" s="1"/>
  <c r="AH6" i="21"/>
  <c r="J12" i="9" s="1"/>
  <c r="AP12" i="9" s="1"/>
  <c r="AF10" i="21"/>
  <c r="H16" i="9" s="1"/>
  <c r="AN16" i="9" s="1"/>
  <c r="AF6" i="21"/>
  <c r="H12" i="9" s="1"/>
  <c r="AN12" i="9" s="1"/>
  <c r="AF9" i="21"/>
  <c r="H15" i="9" s="1"/>
  <c r="AN15" i="9" s="1"/>
  <c r="W36" i="21"/>
  <c r="Z36" i="21" s="1"/>
  <c r="AF7" i="21"/>
  <c r="H13" i="9" s="1"/>
  <c r="AN13" i="9" s="1"/>
  <c r="AF11" i="21"/>
  <c r="H17" i="9" s="1"/>
  <c r="AN17" i="9" s="1"/>
  <c r="AF8" i="21"/>
  <c r="H14" i="9" s="1"/>
  <c r="AN14" i="9" s="1"/>
  <c r="AD9" i="21"/>
  <c r="F15" i="9" s="1"/>
  <c r="AL15" i="9" s="1"/>
  <c r="AD6" i="21"/>
  <c r="F12" i="9" s="1"/>
  <c r="AL12" i="9" s="1"/>
  <c r="AD11" i="21"/>
  <c r="F17" i="9" s="1"/>
  <c r="AL17" i="9" s="1"/>
  <c r="AD12" i="21"/>
  <c r="F18" i="9" s="1"/>
  <c r="AL18" i="9" s="1"/>
  <c r="AD7" i="21"/>
  <c r="F13" i="9" s="1"/>
  <c r="AL13" i="9" s="1"/>
  <c r="AD8" i="21"/>
  <c r="F14" i="9" s="1"/>
  <c r="AL14" i="9" s="1"/>
  <c r="W35" i="21"/>
  <c r="AD10" i="21"/>
  <c r="F16" i="9" s="1"/>
  <c r="AL16" i="9" s="1"/>
  <c r="Y34" i="21"/>
  <c r="AB9" i="21"/>
  <c r="D15" i="9" s="1"/>
  <c r="AJ15" i="9" s="1"/>
  <c r="AB7" i="21"/>
  <c r="D13" i="9" s="1"/>
  <c r="AJ13" i="9" s="1"/>
  <c r="AB8" i="21"/>
  <c r="D14" i="9" s="1"/>
  <c r="AJ14" i="9" s="1"/>
  <c r="AB6" i="21"/>
  <c r="D12" i="9" s="1"/>
  <c r="AJ12" i="9" s="1"/>
  <c r="AB12" i="21"/>
  <c r="D18" i="9" s="1"/>
  <c r="AJ18" i="9" s="1"/>
  <c r="W34" i="21"/>
  <c r="AB10" i="21"/>
  <c r="D16" i="9" s="1"/>
  <c r="AJ16" i="9" s="1"/>
  <c r="AB11" i="21"/>
  <c r="D17" i="9" s="1"/>
  <c r="AJ17" i="9" s="1"/>
  <c r="B16" i="9" l="1"/>
  <c r="B18" i="9"/>
  <c r="B12" i="9"/>
  <c r="B13" i="9"/>
  <c r="B17" i="9"/>
  <c r="B15" i="9"/>
  <c r="B14" i="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AR34" i="2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CX26" i="9" l="1"/>
  <c r="CV26" i="9"/>
  <c r="AG34" i="2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Q10" i="21"/>
  <c r="AO43" i="21" l="1" a="1"/>
  <c r="AO43" i="21" s="1"/>
  <c r="AP43" i="21" s="1"/>
  <c r="AN43" i="21" a="1"/>
  <c r="AN43" i="21" s="1"/>
  <c r="AH27" i="9" s="1"/>
  <c r="T10" i="21"/>
  <c r="AW34" i="21"/>
  <c r="AZ34" i="21" s="1"/>
  <c r="C58" i="2"/>
  <c r="C57" i="2"/>
  <c r="C7" i="20"/>
  <c r="C6" i="20"/>
  <c r="L3" i="1"/>
  <c r="J3" i="1"/>
  <c r="K22" i="20"/>
  <c r="L22" i="20"/>
  <c r="J22" i="20"/>
  <c r="W21" i="30" l="1"/>
  <c r="W21" i="21"/>
  <c r="W21" i="25"/>
  <c r="C25" i="20" a="1"/>
  <c r="C25" i="20" s="1"/>
  <c r="BD4" i="9"/>
  <c r="F59" i="2" s="1" a="1"/>
  <c r="F59" i="2" s="1"/>
  <c r="D25" i="20" l="1"/>
  <c r="R6" i="2"/>
  <c r="R7" i="2"/>
  <c r="T18" i="2"/>
  <c r="AD2" i="2" l="1"/>
  <c r="T10" i="2" l="1"/>
  <c r="C6" i="35" l="1"/>
  <c r="F3" i="19"/>
  <c r="E165" i="19" a="1"/>
  <c r="E165" i="19" s="1"/>
  <c r="E139" i="19" a="1"/>
  <c r="G139" i="19" s="1"/>
  <c r="F142" i="19"/>
  <c r="F168" i="19" s="1"/>
  <c r="F141" i="19"/>
  <c r="F167" i="19" s="1"/>
  <c r="E113" i="19" a="1"/>
  <c r="I113" i="19" s="1"/>
  <c r="F20" i="19" l="1"/>
  <c r="H24" i="19" s="1"/>
  <c r="H33" i="19" s="1"/>
  <c r="F7" i="19"/>
  <c r="F4" i="19"/>
  <c r="F6" i="19"/>
  <c r="F5" i="19"/>
  <c r="F139" i="19"/>
  <c r="F113" i="19"/>
  <c r="H113" i="19"/>
  <c r="H139" i="19"/>
  <c r="F165" i="19"/>
  <c r="I139" i="19"/>
  <c r="G165" i="19"/>
  <c r="F143" i="19"/>
  <c r="F169" i="19" s="1"/>
  <c r="H165" i="19"/>
  <c r="E113" i="19"/>
  <c r="I165" i="19"/>
  <c r="G113" i="19"/>
  <c r="E139" i="19"/>
  <c r="F170" i="19" l="1"/>
  <c r="G30" i="19"/>
  <c r="G34" i="19" s="1"/>
  <c r="E25" i="19"/>
  <c r="E30" i="19"/>
  <c r="E24" i="19"/>
  <c r="F33" i="19" s="1"/>
  <c r="F30" i="19"/>
  <c r="H27" i="19"/>
  <c r="E28" i="19"/>
  <c r="H25" i="19"/>
  <c r="F27" i="19"/>
  <c r="H28" i="19"/>
  <c r="E29" i="19"/>
  <c r="H26" i="19"/>
  <c r="H29" i="19"/>
  <c r="F29" i="19"/>
  <c r="G26" i="19"/>
  <c r="G27" i="19"/>
  <c r="G20" i="19" a="1"/>
  <c r="G20" i="19" s="1"/>
  <c r="G29" i="19"/>
  <c r="F25" i="19"/>
  <c r="G24" i="19"/>
  <c r="G33" i="19" s="1"/>
  <c r="F28" i="19"/>
  <c r="F26" i="19"/>
  <c r="G25" i="19"/>
  <c r="E27" i="19"/>
  <c r="F24" i="19"/>
  <c r="E26" i="19"/>
  <c r="G28" i="19"/>
  <c r="H30" i="19"/>
  <c r="H34" i="19" s="1"/>
  <c r="F144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7" i="9"/>
  <c r="M25" i="9"/>
  <c r="M24" i="9"/>
  <c r="M23" i="9"/>
  <c r="F36" i="15" l="1"/>
  <c r="F37" i="15" s="1"/>
  <c r="F37" i="61"/>
  <c r="M5" i="61" s="1"/>
  <c r="F38" i="19"/>
  <c r="G38" i="19" s="1"/>
  <c r="F39" i="19"/>
  <c r="G39" i="19" s="1"/>
  <c r="M35" i="9"/>
  <c r="M37" i="9" s="1"/>
  <c r="D69" i="2" s="1"/>
  <c r="S5" i="61" l="1"/>
  <c r="T5" i="61" s="1"/>
  <c r="BR35" i="52" s="1"/>
  <c r="BQ35" i="52"/>
  <c r="O7" i="19"/>
  <c r="O4" i="19"/>
  <c r="N7" i="19"/>
  <c r="N4" i="19"/>
  <c r="O8" i="19"/>
  <c r="O6" i="19"/>
  <c r="N8" i="19"/>
  <c r="N6" i="19"/>
  <c r="O5" i="19"/>
  <c r="O9" i="19"/>
  <c r="N5" i="19"/>
  <c r="N9" i="19"/>
  <c r="F34" i="15"/>
  <c r="O37" i="9"/>
  <c r="BB14" i="9"/>
  <c r="BB15" i="9"/>
  <c r="BB13" i="9"/>
  <c r="DK24" i="9" l="1"/>
  <c r="DK27" i="9"/>
  <c r="DL24" i="9"/>
  <c r="DK28" i="9"/>
  <c r="DK25" i="9"/>
  <c r="DK26" i="9"/>
  <c r="DL25" i="9"/>
  <c r="DL28" i="9"/>
  <c r="DL27" i="9"/>
  <c r="DK23" i="9"/>
  <c r="DK35" i="52"/>
  <c r="DK37" i="52" s="1"/>
  <c r="T23" i="51" s="1"/>
  <c r="T24" i="51" s="1"/>
  <c r="DL23" i="9"/>
  <c r="DL35" i="52"/>
  <c r="DL37" i="52" s="1"/>
  <c r="T22" i="51" s="1"/>
  <c r="DL26" i="9"/>
  <c r="T14" i="15"/>
  <c r="T13" i="15"/>
  <c r="T12" i="15"/>
  <c r="T11" i="15"/>
  <c r="T10" i="15"/>
  <c r="T9" i="15"/>
  <c r="T8" i="15"/>
  <c r="T7" i="15"/>
  <c r="DL35" i="9" l="1"/>
  <c r="DL37" i="9" s="1"/>
  <c r="T21" i="2" s="1"/>
  <c r="C10" i="60"/>
  <c r="C9" i="60"/>
  <c r="DK35" i="9"/>
  <c r="DK37" i="9" s="1"/>
  <c r="T22" i="2" s="1"/>
  <c r="N23" i="15"/>
  <c r="O23" i="15"/>
  <c r="P23" i="15"/>
  <c r="Q23" i="15"/>
  <c r="M23" i="15"/>
  <c r="I17" i="15"/>
  <c r="I11" i="15"/>
  <c r="I7" i="15"/>
  <c r="C9" i="35" l="1"/>
  <c r="O11" i="9"/>
  <c r="Q11" i="9"/>
  <c r="S11" i="9"/>
  <c r="U11" i="9"/>
  <c r="D11" i="9"/>
  <c r="F11" i="9"/>
  <c r="H11" i="9"/>
  <c r="J11" i="9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I70" i="14" a="1"/>
  <c r="I70" i="14" s="1"/>
  <c r="AB12" i="14"/>
  <c r="AF11" i="14"/>
  <c r="V37" i="14"/>
  <c r="AF9" i="14"/>
  <c r="AD6" i="14"/>
  <c r="AB10" i="14"/>
  <c r="AD12" i="14"/>
  <c r="AD10" i="14"/>
  <c r="AD7" i="14"/>
  <c r="AD11" i="14"/>
  <c r="AD9" i="14"/>
  <c r="AB8" i="14"/>
  <c r="V34" i="14"/>
  <c r="AF7" i="14"/>
  <c r="AD8" i="14"/>
  <c r="AF10" i="14"/>
  <c r="W34" i="14"/>
  <c r="W37" i="14"/>
  <c r="AH7" i="14"/>
  <c r="AF8" i="14"/>
  <c r="AH10" i="14"/>
  <c r="AB6" i="14"/>
  <c r="AH8" i="14"/>
  <c r="AB9" i="14"/>
  <c r="W36" i="14"/>
  <c r="AF6" i="14"/>
  <c r="AB11" i="14"/>
  <c r="AH6" i="14"/>
  <c r="AB7" i="14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AB12" i="10"/>
  <c r="AF11" i="10"/>
  <c r="AD11" i="10"/>
  <c r="AB11" i="10"/>
  <c r="AH10" i="10"/>
  <c r="AF10" i="10"/>
  <c r="AD10" i="10"/>
  <c r="AB10" i="10"/>
  <c r="AH9" i="10"/>
  <c r="AF9" i="10"/>
  <c r="AD9" i="10"/>
  <c r="AB9" i="10"/>
  <c r="AH8" i="10"/>
  <c r="AF8" i="10"/>
  <c r="AD8" i="10"/>
  <c r="AB8" i="10"/>
  <c r="AH7" i="10"/>
  <c r="AF7" i="10"/>
  <c r="AD7" i="10"/>
  <c r="AB7" i="10"/>
  <c r="AH6" i="10"/>
  <c r="AF6" i="10"/>
  <c r="AD6" i="10"/>
  <c r="AB6" i="10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V37" i="8"/>
  <c r="AD6" i="8"/>
  <c r="AD8" i="8"/>
  <c r="AD11" i="8"/>
  <c r="V35" i="8"/>
  <c r="AD10" i="8"/>
  <c r="AB8" i="8"/>
  <c r="AB12" i="8"/>
  <c r="AB11" i="8"/>
  <c r="AB6" i="8"/>
  <c r="AB7" i="8"/>
  <c r="V34" i="8"/>
  <c r="AF6" i="8"/>
  <c r="AF8" i="8"/>
  <c r="W34" i="8"/>
  <c r="AF11" i="8"/>
  <c r="AH6" i="8"/>
  <c r="AH8" i="8"/>
  <c r="V36" i="8"/>
  <c r="H60" i="8" a="1"/>
  <c r="AB10" i="8"/>
  <c r="AD7" i="8"/>
  <c r="AF7" i="8"/>
  <c r="AF9" i="8"/>
  <c r="AF10" i="8"/>
  <c r="AB9" i="8"/>
  <c r="AD12" i="8"/>
  <c r="AD9" i="8"/>
  <c r="AH7" i="8"/>
  <c r="AH9" i="8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AO34" i="10"/>
  <c r="AJ38" i="10"/>
  <c r="S12" i="10"/>
  <c r="AD34" i="10"/>
  <c r="AG34" i="10"/>
  <c r="P8" i="10" s="1" a="1"/>
  <c r="AJ34" i="10"/>
  <c r="AF34" i="10"/>
  <c r="P5" i="10" s="1" a="1"/>
  <c r="R13" i="10" a="1"/>
  <c r="CX24" i="9" l="1"/>
  <c r="CV24" i="9"/>
  <c r="Q8" i="10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l="1"/>
  <c r="AE48" i="10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AH10" i="6"/>
  <c r="W37" i="6"/>
  <c r="AH8" i="6"/>
  <c r="AH6" i="6"/>
  <c r="V37" i="6"/>
  <c r="AH7" i="6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Y37" i="3"/>
  <c r="AF7" i="3"/>
  <c r="AD6" i="3"/>
  <c r="AB35" i="3" s="1"/>
  <c r="AF11" i="3"/>
  <c r="AD8" i="3"/>
  <c r="AH7" i="3"/>
  <c r="Y34" i="3"/>
  <c r="Y36" i="3"/>
  <c r="AB8" i="3"/>
  <c r="AB11" i="3"/>
  <c r="X59" i="3"/>
  <c r="H65" i="3"/>
  <c r="I65" i="3"/>
  <c r="Y35" i="3"/>
  <c r="AA35" i="3" s="1"/>
  <c r="AB12" i="3"/>
  <c r="X37" i="3"/>
  <c r="X69" i="3"/>
  <c r="AF6" i="3"/>
  <c r="AB36" i="3" s="1"/>
  <c r="AD12" i="3"/>
  <c r="AH6" i="3"/>
  <c r="AH8" i="3"/>
  <c r="AB9" i="3"/>
  <c r="AD10" i="3"/>
  <c r="AF8" i="3"/>
  <c r="AB10" i="3"/>
  <c r="AB7" i="3"/>
  <c r="AD9" i="3"/>
  <c r="AF10" i="3"/>
  <c r="W34" i="3"/>
  <c r="W36" i="3"/>
  <c r="R60" i="3" a="1"/>
  <c r="AD7" i="3"/>
  <c r="AF9" i="3"/>
  <c r="AH10" i="3"/>
  <c r="X34" i="3"/>
  <c r="AD11" i="3"/>
  <c r="AB6" i="3"/>
  <c r="AB34" i="3" s="1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7" i="3" l="1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CV35" i="52" s="1" a="1"/>
  <c r="CV35" i="52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U13" i="52" s="1"/>
  <c r="AY13" i="52" s="1"/>
  <c r="AF9" i="1"/>
  <c r="S15" i="52" s="1"/>
  <c r="AW15" i="52" s="1"/>
  <c r="AB9" i="1"/>
  <c r="O15" i="52" s="1"/>
  <c r="AB6" i="1"/>
  <c r="O12" i="52" s="1"/>
  <c r="W37" i="1"/>
  <c r="X37" i="1"/>
  <c r="AH6" i="1"/>
  <c r="U12" i="52" s="1"/>
  <c r="AY12" i="52" s="1"/>
  <c r="W36" i="1"/>
  <c r="X36" i="1"/>
  <c r="W35" i="1"/>
  <c r="X35" i="1"/>
  <c r="W34" i="1"/>
  <c r="X34" i="1"/>
  <c r="M12" i="52" l="1"/>
  <c r="AS12" i="52"/>
  <c r="AS15" i="52"/>
  <c r="M15" i="52"/>
  <c r="AB34" i="1"/>
  <c r="AB37" i="1"/>
  <c r="AB11" i="1"/>
  <c r="O17" i="52" s="1"/>
  <c r="AF8" i="1"/>
  <c r="S14" i="52" s="1"/>
  <c r="AW14" i="52" s="1"/>
  <c r="AD8" i="1"/>
  <c r="Q14" i="52" s="1"/>
  <c r="AU14" i="52" s="1"/>
  <c r="V36" i="1"/>
  <c r="AB10" i="1"/>
  <c r="O16" i="52" s="1"/>
  <c r="AF7" i="1"/>
  <c r="S13" i="52" s="1"/>
  <c r="AW13" i="52" s="1"/>
  <c r="AD7" i="1"/>
  <c r="Q13" i="52" s="1"/>
  <c r="AU13" i="52" s="1"/>
  <c r="AB12" i="1"/>
  <c r="O18" i="52" s="1"/>
  <c r="AF6" i="1"/>
  <c r="S12" i="52" s="1"/>
  <c r="AW12" i="52" s="1"/>
  <c r="V34" i="1"/>
  <c r="AB8" i="1"/>
  <c r="O14" i="52" s="1"/>
  <c r="AD6" i="1"/>
  <c r="Q12" i="52" s="1"/>
  <c r="AU12" i="52" s="1"/>
  <c r="AD9" i="1"/>
  <c r="Q15" i="52" s="1"/>
  <c r="AU15" i="52" s="1"/>
  <c r="V37" i="1"/>
  <c r="AB7" i="1"/>
  <c r="O13" i="52" s="1"/>
  <c r="AD12" i="1"/>
  <c r="Q18" i="52" s="1"/>
  <c r="AU18" i="52" s="1"/>
  <c r="AH10" i="1"/>
  <c r="U16" i="52" s="1"/>
  <c r="AY16" i="52" s="1"/>
  <c r="AF11" i="1"/>
  <c r="S17" i="52" s="1"/>
  <c r="AW17" i="52" s="1"/>
  <c r="AD11" i="1"/>
  <c r="Q17" i="52" s="1"/>
  <c r="AU17" i="52" s="1"/>
  <c r="AH9" i="1"/>
  <c r="U15" i="52" s="1"/>
  <c r="AY15" i="52" s="1"/>
  <c r="V35" i="1"/>
  <c r="AF10" i="1"/>
  <c r="S16" i="52" s="1"/>
  <c r="AW16" i="52" s="1"/>
  <c r="AD10" i="1"/>
  <c r="Q16" i="52" s="1"/>
  <c r="AU16" i="52" s="1"/>
  <c r="AH8" i="1"/>
  <c r="U14" i="52" s="1"/>
  <c r="AY14" i="52" s="1"/>
  <c r="M18" i="52" l="1"/>
  <c r="AS18" i="52"/>
  <c r="M16" i="52"/>
  <c r="AS16" i="52"/>
  <c r="AS17" i="52"/>
  <c r="M17" i="52"/>
  <c r="M13" i="52"/>
  <c r="AS13" i="52"/>
  <c r="AS14" i="52"/>
  <c r="M14" i="52"/>
  <c r="AB36" i="1"/>
  <c r="AB35" i="1"/>
  <c r="H65" i="1" a="1"/>
  <c r="I65" i="1" l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T70" i="3"/>
  <c r="S70" i="3"/>
  <c r="AG36" i="3" s="1"/>
  <c r="Y51" i="3"/>
  <c r="X51" i="3"/>
  <c r="Y53" i="3"/>
  <c r="X52" i="3"/>
  <c r="Y52" i="3"/>
  <c r="I75" i="3"/>
  <c r="J75" i="3"/>
  <c r="Z53" i="3"/>
  <c r="AG37" i="3" l="1"/>
  <c r="AG35" i="3"/>
  <c r="AE36" i="3"/>
  <c r="AF37" i="3"/>
  <c r="AE35" i="3"/>
  <c r="AE34" i="3"/>
  <c r="H70" i="3" a="1"/>
  <c r="J70" i="3" s="1"/>
  <c r="X54" i="3" a="1"/>
  <c r="Z54" i="3" s="1"/>
  <c r="P6" i="3" l="1" a="1"/>
  <c r="Q6" i="3" s="1"/>
  <c r="X54" i="3"/>
  <c r="Y54" i="3"/>
  <c r="H70" i="3"/>
  <c r="I70" i="3"/>
  <c r="P6" i="3" l="1"/>
  <c r="W6" i="3" s="1"/>
  <c r="Y23" i="9" s="1"/>
  <c r="Y35" i="52"/>
  <c r="AF36" i="3"/>
  <c r="P5" i="3" s="1" a="1"/>
  <c r="AE37" i="3"/>
  <c r="P13" i="3" s="1" a="1"/>
  <c r="AL44" i="3" l="1"/>
  <c r="AI44" i="3"/>
  <c r="S23" i="9" s="1"/>
  <c r="AJ44" i="3"/>
  <c r="AK44" i="3"/>
  <c r="AM44" i="3"/>
  <c r="W23" i="9" s="1"/>
  <c r="AF44" i="3"/>
  <c r="P23" i="9" s="1"/>
  <c r="AH44" i="3"/>
  <c r="R23" i="9" s="1"/>
  <c r="AG44" i="3"/>
  <c r="Q23" i="9" s="1"/>
  <c r="T23" i="9"/>
  <c r="U23" i="9"/>
  <c r="R13" i="3"/>
  <c r="P13" i="3"/>
  <c r="Q13" i="3"/>
  <c r="Q5" i="3"/>
  <c r="P5" i="3"/>
  <c r="X54" i="1" a="1"/>
  <c r="Z54" i="1" s="1"/>
  <c r="X52" i="1" a="1"/>
  <c r="Y52" i="1" s="1"/>
  <c r="AO44" i="3" l="1" a="1"/>
  <c r="AO44" i="3" s="1"/>
  <c r="AP44" i="3" s="1"/>
  <c r="V23" i="9"/>
  <c r="AN44" i="3" a="1"/>
  <c r="AN44" i="3" s="1"/>
  <c r="X23" i="9" s="1"/>
  <c r="W5" i="3"/>
  <c r="W13" i="3"/>
  <c r="Y54" i="1"/>
  <c r="X52" i="1"/>
  <c r="X54" i="1"/>
  <c r="Z52" i="1"/>
  <c r="AI23" i="9" l="1"/>
  <c r="AI35" i="52"/>
  <c r="AI43" i="3"/>
  <c r="W14" i="3"/>
  <c r="F23" i="9" s="1"/>
  <c r="AM43" i="3"/>
  <c r="AL43" i="3"/>
  <c r="AF43" i="3"/>
  <c r="AH43" i="3"/>
  <c r="AK43" i="3"/>
  <c r="AJ43" i="3"/>
  <c r="AG43" i="3"/>
  <c r="X53" i="1" a="1"/>
  <c r="X53" i="1" s="1"/>
  <c r="X51" i="1" a="1"/>
  <c r="Z51" i="1" s="1"/>
  <c r="AB23" i="9" l="1"/>
  <c r="AA23" i="9"/>
  <c r="AD23" i="9"/>
  <c r="AE23" i="9"/>
  <c r="Z23" i="9"/>
  <c r="AF23" i="9"/>
  <c r="AC23" i="9"/>
  <c r="AG23" i="9"/>
  <c r="AN43" i="3" a="1"/>
  <c r="AN43" i="3" s="1"/>
  <c r="AO43" i="3" a="1"/>
  <c r="AO43" i="3" s="1"/>
  <c r="AP43" i="3" s="1"/>
  <c r="Y53" i="1"/>
  <c r="Z53" i="1"/>
  <c r="X51" i="1"/>
  <c r="Y51" i="1"/>
  <c r="AH23" i="9" l="1"/>
  <c r="X36" i="6"/>
  <c r="W35" i="6" l="1"/>
  <c r="V34" i="6"/>
  <c r="Y34" i="6"/>
  <c r="X34" i="6"/>
  <c r="X35" i="6"/>
  <c r="AD6" i="6" l="1"/>
  <c r="V36" i="6"/>
  <c r="Y36" i="6"/>
  <c r="W34" i="6"/>
  <c r="AA34" i="6" s="1"/>
  <c r="AB10" i="6"/>
  <c r="AB12" i="6"/>
  <c r="AB7" i="6"/>
  <c r="AB9" i="6"/>
  <c r="AB11" i="6"/>
  <c r="AB6" i="6"/>
  <c r="AB8" i="6"/>
  <c r="V35" i="6"/>
  <c r="Y35" i="6"/>
  <c r="Z35" i="6" s="1"/>
  <c r="AD8" i="6"/>
  <c r="AD12" i="6"/>
  <c r="AD10" i="6"/>
  <c r="AD9" i="6"/>
  <c r="AD7" i="6"/>
  <c r="AF11" i="6"/>
  <c r="AF7" i="6"/>
  <c r="W36" i="6"/>
  <c r="AF9" i="6"/>
  <c r="AF10" i="6"/>
  <c r="AF6" i="6"/>
  <c r="AF8" i="6"/>
  <c r="AD11" i="6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AO34" i="6"/>
  <c r="AC36" i="6"/>
  <c r="Q9" i="6" s="1" a="1"/>
  <c r="AD35" i="6"/>
  <c r="AF34" i="6"/>
  <c r="AD34" i="6"/>
  <c r="CX23" i="9" l="1"/>
  <c r="CV23" i="9"/>
  <c r="AJ37" i="6"/>
  <c r="AD36" i="6"/>
  <c r="Q9" i="6"/>
  <c r="R9" i="6"/>
  <c r="AJ35" i="6" l="1"/>
  <c r="Q10" i="6" l="1" a="1"/>
  <c r="Q10" i="6" s="1"/>
  <c r="R10" i="6" l="1"/>
  <c r="AO36" i="6" s="1"/>
  <c r="CZ23" i="9" l="1"/>
  <c r="W9" i="6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R60" i="6"/>
  <c r="S60" i="6"/>
  <c r="S75" i="6"/>
  <c r="T75" i="6"/>
  <c r="AG35" i="6" l="1"/>
  <c r="AG37" i="6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l="1"/>
  <c r="P6" i="10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5" i="9" l="1"/>
  <c r="BQ37" i="9" s="1"/>
  <c r="I71" i="2" s="1"/>
  <c r="BQ37" i="52"/>
  <c r="AF15" i="61" s="1"/>
  <c r="S5" i="15"/>
  <c r="T5" i="15" s="1"/>
  <c r="BR35" i="9" l="1"/>
  <c r="BR37" i="9" s="1"/>
  <c r="I73" i="2" s="1"/>
  <c r="BR37" i="52"/>
  <c r="AF17" i="61" s="1"/>
  <c r="AH15" i="61" l="1"/>
  <c r="AH11" i="61"/>
  <c r="AH12" i="61"/>
  <c r="AH18" i="61"/>
  <c r="AH14" i="61"/>
  <c r="AH17" i="61"/>
  <c r="AH13" i="61"/>
  <c r="AH16" i="61"/>
  <c r="K68" i="2"/>
  <c r="K70" i="2"/>
  <c r="K67" i="2"/>
  <c r="K73" i="2"/>
  <c r="K71" i="2"/>
  <c r="K69" i="2"/>
  <c r="K72" i="2"/>
  <c r="K74" i="2"/>
  <c r="J3" i="8" l="1"/>
  <c r="W21" i="8" s="1"/>
  <c r="J3" i="14"/>
  <c r="T11" i="2"/>
  <c r="U29" i="1"/>
  <c r="S9" i="2" l="1" a="1"/>
  <c r="S9" i="2" s="1"/>
  <c r="C7" i="35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P25" i="60" l="1"/>
  <c r="P20" i="60"/>
  <c r="P16" i="60"/>
  <c r="P9" i="60"/>
  <c r="P6" i="60"/>
  <c r="P38" i="60"/>
  <c r="P34" i="60"/>
  <c r="P30" i="60"/>
  <c r="P3" i="60"/>
  <c r="P47" i="60"/>
  <c r="P42" i="60"/>
  <c r="P24" i="60"/>
  <c r="P12" i="60"/>
  <c r="P33" i="60"/>
  <c r="P29" i="60"/>
  <c r="P19" i="60"/>
  <c r="P46" i="60"/>
  <c r="P37" i="60"/>
  <c r="P15" i="60"/>
  <c r="P41" i="60"/>
  <c r="P8" i="60"/>
  <c r="P28" i="60"/>
  <c r="P23" i="60"/>
  <c r="P45" i="60"/>
  <c r="P18" i="60"/>
  <c r="P11" i="60"/>
  <c r="P50" i="60"/>
  <c r="P36" i="60"/>
  <c r="P32" i="60"/>
  <c r="P40" i="60"/>
  <c r="P27" i="60"/>
  <c r="P22" i="60"/>
  <c r="P14" i="60"/>
  <c r="P7" i="60"/>
  <c r="P31" i="60"/>
  <c r="P49" i="60"/>
  <c r="P44" i="60"/>
  <c r="P35" i="60"/>
  <c r="P17" i="60"/>
  <c r="P10" i="60"/>
  <c r="P13" i="60"/>
  <c r="P26" i="60"/>
  <c r="P21" i="60"/>
  <c r="P39" i="60"/>
  <c r="P48" i="60"/>
  <c r="P43" i="60"/>
  <c r="Y45" i="60"/>
  <c r="Y18" i="60"/>
  <c r="Y11" i="60"/>
  <c r="Y50" i="60"/>
  <c r="Y36" i="60"/>
  <c r="Y32" i="60"/>
  <c r="Y40" i="60"/>
  <c r="Y27" i="60"/>
  <c r="Y22" i="60"/>
  <c r="Y14" i="60"/>
  <c r="Y7" i="60"/>
  <c r="Y49" i="60"/>
  <c r="Y44" i="60"/>
  <c r="Y35" i="60"/>
  <c r="Y17" i="60"/>
  <c r="Y10" i="60"/>
  <c r="Y26" i="60"/>
  <c r="Y21" i="60"/>
  <c r="Y39" i="60"/>
  <c r="Y31" i="60"/>
  <c r="C17" i="60"/>
  <c r="Y13" i="60"/>
  <c r="Y48" i="60"/>
  <c r="Y43" i="60"/>
  <c r="Y25" i="60"/>
  <c r="Y20" i="60"/>
  <c r="Y16" i="60"/>
  <c r="Y9" i="60"/>
  <c r="Y6" i="60"/>
  <c r="Y38" i="60"/>
  <c r="Y34" i="60"/>
  <c r="Y30" i="60"/>
  <c r="Y47" i="60"/>
  <c r="Y42" i="60"/>
  <c r="Y24" i="60"/>
  <c r="Y12" i="60"/>
  <c r="Y33" i="60"/>
  <c r="Y29" i="60"/>
  <c r="Y19" i="60"/>
  <c r="Y46" i="60"/>
  <c r="Y37" i="60"/>
  <c r="Y15" i="60"/>
  <c r="Y41" i="60"/>
  <c r="Y28" i="60"/>
  <c r="Y8" i="60"/>
  <c r="Y23" i="60"/>
  <c r="C18" i="35"/>
  <c r="T23" i="2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Y51" i="60" l="1"/>
  <c r="C10" i="35"/>
  <c r="S25" i="35" s="1"/>
  <c r="P34" i="35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J24" i="35"/>
  <c r="R24" i="35" s="1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AG6" i="60" l="1"/>
  <c r="T34" i="51"/>
  <c r="J3" i="35"/>
  <c r="R3" i="35" s="1"/>
  <c r="N3" i="35" s="1"/>
  <c r="J20" i="35"/>
  <c r="J40" i="35"/>
  <c r="R40" i="35" s="1"/>
  <c r="S20" i="35"/>
  <c r="J16" i="35"/>
  <c r="R16" i="35" s="1"/>
  <c r="Q16" i="35" s="1"/>
  <c r="K16" i="35" s="1"/>
  <c r="I16" i="35" s="1"/>
  <c r="J35" i="35"/>
  <c r="R35" i="35" s="1"/>
  <c r="Q35" i="35" s="1"/>
  <c r="K35" i="35" s="1"/>
  <c r="I35" i="35" s="1"/>
  <c r="J36" i="35"/>
  <c r="R36" i="35" s="1"/>
  <c r="N36" i="35" s="1"/>
  <c r="J7" i="35"/>
  <c r="R7" i="35" s="1"/>
  <c r="N7" i="35" s="1"/>
  <c r="S26" i="35"/>
  <c r="O26" i="35" s="1"/>
  <c r="S43" i="35"/>
  <c r="O43" i="35" s="1"/>
  <c r="J10" i="35"/>
  <c r="R10" i="35" s="1"/>
  <c r="N10" i="35" s="1"/>
  <c r="S29" i="35"/>
  <c r="T29" i="35" s="1"/>
  <c r="L29" i="35" s="1"/>
  <c r="J32" i="35"/>
  <c r="R32" i="35" s="1"/>
  <c r="J43" i="35"/>
  <c r="R43" i="35" s="1"/>
  <c r="J30" i="35"/>
  <c r="R30" i="35" s="1"/>
  <c r="Q30" i="35" s="1"/>
  <c r="K30" i="35" s="1"/>
  <c r="I30" i="35" s="1"/>
  <c r="S33" i="35"/>
  <c r="O33" i="35" s="1"/>
  <c r="S16" i="35"/>
  <c r="T16" i="35" s="1"/>
  <c r="L16" i="35" s="1"/>
  <c r="S6" i="35"/>
  <c r="S11" i="35"/>
  <c r="O11" i="35" s="1"/>
  <c r="J29" i="35"/>
  <c r="S9" i="35"/>
  <c r="O9" i="35" s="1"/>
  <c r="J8" i="35"/>
  <c r="R8" i="35" s="1"/>
  <c r="N8" i="35" s="1"/>
  <c r="J25" i="35"/>
  <c r="R25" i="35" s="1"/>
  <c r="Q25" i="35" s="1"/>
  <c r="K25" i="35" s="1"/>
  <c r="I25" i="35" s="1"/>
  <c r="J22" i="35"/>
  <c r="R22" i="35" s="1"/>
  <c r="Q22" i="35" s="1"/>
  <c r="K22" i="35" s="1"/>
  <c r="I22" i="35" s="1"/>
  <c r="J17" i="35"/>
  <c r="R17" i="35" s="1"/>
  <c r="Q17" i="35" s="1"/>
  <c r="K17" i="35" s="1"/>
  <c r="I17" i="35" s="1"/>
  <c r="S19" i="35"/>
  <c r="O19" i="35" s="1"/>
  <c r="J37" i="35"/>
  <c r="R37" i="35" s="1"/>
  <c r="N37" i="35" s="1"/>
  <c r="S39" i="35"/>
  <c r="T39" i="35" s="1"/>
  <c r="L39" i="35" s="1"/>
  <c r="J45" i="35"/>
  <c r="R45" i="35" s="1"/>
  <c r="Q45" i="35" s="1"/>
  <c r="K45" i="35" s="1"/>
  <c r="I45" i="35" s="1"/>
  <c r="S42" i="35"/>
  <c r="T42" i="35" s="1"/>
  <c r="L42" i="35" s="1"/>
  <c r="J34" i="35"/>
  <c r="R34" i="35" s="1"/>
  <c r="Q34" i="35" s="1"/>
  <c r="K34" i="35" s="1"/>
  <c r="I34" i="35" s="1"/>
  <c r="J46" i="35"/>
  <c r="R46" i="35" s="1"/>
  <c r="J28" i="35"/>
  <c r="R28" i="35" s="1"/>
  <c r="N28" i="35" s="1"/>
  <c r="S44" i="35"/>
  <c r="T44" i="35" s="1"/>
  <c r="L44" i="35" s="1"/>
  <c r="S37" i="35"/>
  <c r="T37" i="35" s="1"/>
  <c r="L37" i="35" s="1"/>
  <c r="J11" i="35"/>
  <c r="R11" i="35" s="1"/>
  <c r="N11" i="35" s="1"/>
  <c r="J44" i="35"/>
  <c r="R44" i="35" s="1"/>
  <c r="Q44" i="35" s="1"/>
  <c r="K44" i="35" s="1"/>
  <c r="I44" i="35" s="1"/>
  <c r="S22" i="35"/>
  <c r="O22" i="35" s="1"/>
  <c r="J42" i="35"/>
  <c r="R42" i="35" s="1"/>
  <c r="S45" i="35"/>
  <c r="T45" i="35" s="1"/>
  <c r="L45" i="35" s="1"/>
  <c r="S14" i="35"/>
  <c r="O14" i="35" s="1"/>
  <c r="J21" i="35"/>
  <c r="R21" i="35" s="1"/>
  <c r="Q21" i="35" s="1"/>
  <c r="K21" i="35" s="1"/>
  <c r="I21" i="35" s="1"/>
  <c r="S46" i="35"/>
  <c r="T46" i="35" s="1"/>
  <c r="L46" i="35" s="1"/>
  <c r="S13" i="35"/>
  <c r="T13" i="35" s="1"/>
  <c r="L13" i="35" s="1"/>
  <c r="S34" i="35"/>
  <c r="T34" i="35" s="1"/>
  <c r="L34" i="35" s="1"/>
  <c r="S12" i="35"/>
  <c r="T12" i="35" s="1"/>
  <c r="L12" i="35" s="1"/>
  <c r="S36" i="35"/>
  <c r="O36" i="35" s="1"/>
  <c r="S35" i="35"/>
  <c r="T35" i="35" s="1"/>
  <c r="L35" i="35" s="1"/>
  <c r="S27" i="35"/>
  <c r="T27" i="35" s="1"/>
  <c r="L27" i="35" s="1"/>
  <c r="J9" i="35"/>
  <c r="R9" i="35" s="1"/>
  <c r="N9" i="35" s="1"/>
  <c r="J12" i="35"/>
  <c r="R12" i="35" s="1"/>
  <c r="Q12" i="35" s="1"/>
  <c r="K12" i="35" s="1"/>
  <c r="I12" i="35" s="1"/>
  <c r="J19" i="35"/>
  <c r="R19" i="35" s="1"/>
  <c r="S31" i="35"/>
  <c r="T31" i="35" s="1"/>
  <c r="L31" i="35" s="1"/>
  <c r="S18" i="35"/>
  <c r="O18" i="35" s="1"/>
  <c r="S41" i="35"/>
  <c r="T41" i="35" s="1"/>
  <c r="L41" i="35" s="1"/>
  <c r="J6" i="35"/>
  <c r="R6" i="35" s="1"/>
  <c r="J18" i="35"/>
  <c r="R18" i="35" s="1"/>
  <c r="N18" i="35" s="1"/>
  <c r="J33" i="35"/>
  <c r="R33" i="35" s="1"/>
  <c r="N33" i="35" s="1"/>
  <c r="S7" i="35"/>
  <c r="O7" i="35" s="1"/>
  <c r="S8" i="35"/>
  <c r="T8" i="35" s="1"/>
  <c r="L8" i="35" s="1"/>
  <c r="S38" i="35"/>
  <c r="O38" i="35" s="1"/>
  <c r="J39" i="35"/>
  <c r="R39" i="35" s="1"/>
  <c r="Q39" i="35" s="1"/>
  <c r="K39" i="35" s="1"/>
  <c r="I39" i="35" s="1"/>
  <c r="J50" i="35"/>
  <c r="R50" i="35" s="1"/>
  <c r="Q50" i="35" s="1"/>
  <c r="K50" i="35" s="1"/>
  <c r="I50" i="35" s="1"/>
  <c r="S49" i="35"/>
  <c r="T49" i="35" s="1"/>
  <c r="L49" i="35" s="1"/>
  <c r="J15" i="35"/>
  <c r="R15" i="35" s="1"/>
  <c r="N15" i="35" s="1"/>
  <c r="J23" i="35"/>
  <c r="R23" i="35" s="1"/>
  <c r="Q23" i="35" s="1"/>
  <c r="K23" i="35" s="1"/>
  <c r="I23" i="35" s="1"/>
  <c r="J38" i="35"/>
  <c r="R38" i="35" s="1"/>
  <c r="Q38" i="35" s="1"/>
  <c r="K38" i="35" s="1"/>
  <c r="I38" i="35" s="1"/>
  <c r="S10" i="35"/>
  <c r="T10" i="35" s="1"/>
  <c r="L10" i="35" s="1"/>
  <c r="S23" i="35"/>
  <c r="O23" i="35" s="1"/>
  <c r="S48" i="35"/>
  <c r="T48" i="35" s="1"/>
  <c r="L48" i="35" s="1"/>
  <c r="J47" i="35"/>
  <c r="R47" i="35" s="1"/>
  <c r="N47" i="35" s="1"/>
  <c r="J41" i="35"/>
  <c r="R41" i="35" s="1"/>
  <c r="Q41" i="35" s="1"/>
  <c r="K41" i="35" s="1"/>
  <c r="I41" i="35" s="1"/>
  <c r="J48" i="35"/>
  <c r="R48" i="35" s="1"/>
  <c r="N48" i="35" s="1"/>
  <c r="S15" i="35"/>
  <c r="O15" i="35" s="1"/>
  <c r="S28" i="35"/>
  <c r="O28" i="35" s="1"/>
  <c r="S32" i="35"/>
  <c r="O32" i="35" s="1"/>
  <c r="J31" i="35"/>
  <c r="R31" i="35" s="1"/>
  <c r="Q31" i="35" s="1"/>
  <c r="K31" i="35" s="1"/>
  <c r="I31" i="35" s="1"/>
  <c r="J13" i="35"/>
  <c r="R13" i="35" s="1"/>
  <c r="J49" i="35"/>
  <c r="R49" i="35" s="1"/>
  <c r="Q49" i="35" s="1"/>
  <c r="K49" i="35" s="1"/>
  <c r="I49" i="35" s="1"/>
  <c r="S17" i="35"/>
  <c r="T17" i="35" s="1"/>
  <c r="L17" i="35" s="1"/>
  <c r="S47" i="35"/>
  <c r="T47" i="35" s="1"/>
  <c r="L47" i="35" s="1"/>
  <c r="S21" i="35"/>
  <c r="O21" i="35" s="1"/>
  <c r="J14" i="35"/>
  <c r="R14" i="35" s="1"/>
  <c r="Q14" i="35" s="1"/>
  <c r="K14" i="35" s="1"/>
  <c r="I14" i="35" s="1"/>
  <c r="J26" i="35"/>
  <c r="R26" i="35" s="1"/>
  <c r="J27" i="35"/>
  <c r="R27" i="35" s="1"/>
  <c r="S50" i="35"/>
  <c r="T50" i="35" s="1"/>
  <c r="L50" i="35" s="1"/>
  <c r="S24" i="35"/>
  <c r="T24" i="35" s="1"/>
  <c r="L24" i="35" s="1"/>
  <c r="S24" i="60"/>
  <c r="S12" i="60"/>
  <c r="S33" i="60"/>
  <c r="S29" i="60"/>
  <c r="S19" i="60"/>
  <c r="S46" i="60"/>
  <c r="S37" i="60"/>
  <c r="S15" i="60"/>
  <c r="S41" i="60"/>
  <c r="S8" i="60"/>
  <c r="S28" i="60"/>
  <c r="S23" i="60"/>
  <c r="S45" i="60"/>
  <c r="S18" i="60"/>
  <c r="S11" i="60"/>
  <c r="S50" i="60"/>
  <c r="S36" i="60"/>
  <c r="S32" i="60"/>
  <c r="S40" i="60"/>
  <c r="S27" i="60"/>
  <c r="S22" i="60"/>
  <c r="S14" i="60"/>
  <c r="S7" i="60"/>
  <c r="S49" i="60"/>
  <c r="S44" i="60"/>
  <c r="S35" i="60"/>
  <c r="S17" i="60"/>
  <c r="S10" i="60"/>
  <c r="S26" i="60"/>
  <c r="S21" i="60"/>
  <c r="S39" i="60"/>
  <c r="S31" i="60"/>
  <c r="S13" i="60"/>
  <c r="S38" i="60"/>
  <c r="S34" i="60"/>
  <c r="S48" i="60"/>
  <c r="S43" i="60"/>
  <c r="S25" i="60"/>
  <c r="S20" i="60"/>
  <c r="S16" i="60"/>
  <c r="S9" i="60"/>
  <c r="S6" i="60"/>
  <c r="S30" i="60"/>
  <c r="S47" i="60"/>
  <c r="S42" i="60"/>
  <c r="J7" i="60"/>
  <c r="J32" i="60"/>
  <c r="J46" i="60"/>
  <c r="J14" i="60"/>
  <c r="J45" i="60"/>
  <c r="J47" i="60"/>
  <c r="J30" i="60"/>
  <c r="J41" i="60"/>
  <c r="J19" i="60"/>
  <c r="J17" i="60"/>
  <c r="J28" i="60"/>
  <c r="J27" i="60"/>
  <c r="J22" i="60"/>
  <c r="J44" i="60"/>
  <c r="J50" i="60"/>
  <c r="J39" i="60"/>
  <c r="J6" i="60"/>
  <c r="J49" i="60"/>
  <c r="J3" i="60"/>
  <c r="J24" i="60"/>
  <c r="J23" i="60"/>
  <c r="J26" i="60"/>
  <c r="J15" i="60"/>
  <c r="J11" i="60"/>
  <c r="J35" i="60"/>
  <c r="J36" i="60"/>
  <c r="J21" i="60"/>
  <c r="J31" i="60"/>
  <c r="J8" i="60"/>
  <c r="J33" i="60"/>
  <c r="J43" i="60"/>
  <c r="J18" i="60"/>
  <c r="J48" i="60"/>
  <c r="J20" i="60"/>
  <c r="J25" i="60"/>
  <c r="J29" i="60"/>
  <c r="J13" i="60"/>
  <c r="J9" i="60"/>
  <c r="J37" i="60"/>
  <c r="J42" i="60"/>
  <c r="J34" i="60"/>
  <c r="J16" i="60"/>
  <c r="J10" i="60"/>
  <c r="J38" i="60"/>
  <c r="J40" i="60"/>
  <c r="J12" i="60"/>
  <c r="S40" i="35"/>
  <c r="T40" i="35" s="1"/>
  <c r="L40" i="35" s="1"/>
  <c r="S30" i="35"/>
  <c r="T30" i="35" s="1"/>
  <c r="L30" i="35" s="1"/>
  <c r="T33" i="2"/>
  <c r="AG6" i="35"/>
  <c r="AL34" i="8"/>
  <c r="AO34" i="8"/>
  <c r="AD35" i="1"/>
  <c r="AD34" i="1"/>
  <c r="AI34" i="1"/>
  <c r="T20" i="35"/>
  <c r="L20" i="35" s="1"/>
  <c r="O20" i="35"/>
  <c r="N24" i="35"/>
  <c r="Q24" i="35"/>
  <c r="K24" i="35" s="1"/>
  <c r="I24" i="35" s="1"/>
  <c r="R20" i="35"/>
  <c r="O6" i="35"/>
  <c r="T6" i="35"/>
  <c r="L6" i="35" s="1"/>
  <c r="Q11" i="35"/>
  <c r="K11" i="35" s="1"/>
  <c r="I11" i="35" s="1"/>
  <c r="R29" i="35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N25" i="35" l="1"/>
  <c r="N16" i="35"/>
  <c r="T22" i="35"/>
  <c r="L22" i="35" s="1"/>
  <c r="O48" i="35"/>
  <c r="T9" i="35"/>
  <c r="L9" i="35" s="1"/>
  <c r="Q36" i="35"/>
  <c r="K36" i="35" s="1"/>
  <c r="I36" i="35" s="1"/>
  <c r="T19" i="35"/>
  <c r="L19" i="35" s="1"/>
  <c r="Q8" i="35"/>
  <c r="K8" i="35" s="1"/>
  <c r="I8" i="35" s="1"/>
  <c r="W8" i="35" s="1"/>
  <c r="T43" i="35"/>
  <c r="L43" i="35" s="1"/>
  <c r="N35" i="35"/>
  <c r="V35" i="35" s="1"/>
  <c r="N17" i="35"/>
  <c r="V17" i="35" s="1"/>
  <c r="T18" i="35"/>
  <c r="L18" i="35" s="1"/>
  <c r="O50" i="35"/>
  <c r="N22" i="35"/>
  <c r="Z26" i="2" s="1"/>
  <c r="Q3" i="35"/>
  <c r="K3" i="35" s="1"/>
  <c r="I3" i="35" s="1"/>
  <c r="Q7" i="35"/>
  <c r="K7" i="35" s="1"/>
  <c r="I7" i="35" s="1"/>
  <c r="Y11" i="2" s="1"/>
  <c r="O39" i="35"/>
  <c r="T26" i="35"/>
  <c r="L26" i="35" s="1"/>
  <c r="N34" i="35"/>
  <c r="V34" i="35" s="1"/>
  <c r="Q37" i="35"/>
  <c r="K37" i="35" s="1"/>
  <c r="I37" i="35" s="1"/>
  <c r="W37" i="35" s="1"/>
  <c r="N30" i="35"/>
  <c r="O42" i="35"/>
  <c r="O29" i="35"/>
  <c r="Q10" i="35"/>
  <c r="K10" i="35" s="1"/>
  <c r="I10" i="35" s="1"/>
  <c r="N45" i="35"/>
  <c r="T33" i="35"/>
  <c r="L33" i="35" s="1"/>
  <c r="T11" i="35"/>
  <c r="L11" i="35" s="1"/>
  <c r="O37" i="35"/>
  <c r="O16" i="35"/>
  <c r="N44" i="35"/>
  <c r="Q28" i="35"/>
  <c r="K28" i="35" s="1"/>
  <c r="I28" i="35" s="1"/>
  <c r="Q15" i="35"/>
  <c r="K15" i="35" s="1"/>
  <c r="I15" i="35" s="1"/>
  <c r="O45" i="35"/>
  <c r="T14" i="35"/>
  <c r="L14" i="35" s="1"/>
  <c r="O12" i="35"/>
  <c r="N21" i="35"/>
  <c r="O34" i="35"/>
  <c r="Q47" i="35"/>
  <c r="K47" i="35" s="1"/>
  <c r="I47" i="35" s="1"/>
  <c r="O46" i="35"/>
  <c r="O13" i="35"/>
  <c r="Q9" i="35"/>
  <c r="K9" i="35" s="1"/>
  <c r="I9" i="35" s="1"/>
  <c r="O44" i="35"/>
  <c r="O35" i="35"/>
  <c r="T36" i="35"/>
  <c r="L36" i="35" s="1"/>
  <c r="N12" i="35"/>
  <c r="O31" i="35"/>
  <c r="O24" i="35"/>
  <c r="O41" i="35"/>
  <c r="O10" i="35"/>
  <c r="Q18" i="35"/>
  <c r="K18" i="35" s="1"/>
  <c r="I18" i="35" s="1"/>
  <c r="N14" i="35"/>
  <c r="N38" i="35"/>
  <c r="T23" i="35"/>
  <c r="L23" i="35" s="1"/>
  <c r="T21" i="35"/>
  <c r="L21" i="35" s="1"/>
  <c r="Q48" i="35"/>
  <c r="K48" i="35" s="1"/>
  <c r="I48" i="35" s="1"/>
  <c r="N23" i="35"/>
  <c r="W6" i="35"/>
  <c r="O47" i="35"/>
  <c r="N41" i="35"/>
  <c r="O27" i="35"/>
  <c r="O8" i="35"/>
  <c r="T32" i="35"/>
  <c r="L32" i="35" s="1"/>
  <c r="N31" i="35"/>
  <c r="O49" i="35"/>
  <c r="N50" i="35"/>
  <c r="N49" i="35"/>
  <c r="T7" i="35"/>
  <c r="L7" i="35" s="1"/>
  <c r="T28" i="35"/>
  <c r="L28" i="35" s="1"/>
  <c r="O17" i="35"/>
  <c r="T38" i="35"/>
  <c r="L38" i="35" s="1"/>
  <c r="N39" i="35"/>
  <c r="T15" i="35"/>
  <c r="L15" i="35" s="1"/>
  <c r="Q33" i="35"/>
  <c r="K33" i="35" s="1"/>
  <c r="I33" i="35" s="1"/>
  <c r="O40" i="35"/>
  <c r="R25" i="60"/>
  <c r="R3" i="60"/>
  <c r="R46" i="60"/>
  <c r="T31" i="60"/>
  <c r="L31" i="60" s="1"/>
  <c r="O31" i="60"/>
  <c r="T50" i="60"/>
  <c r="L50" i="60" s="1"/>
  <c r="O50" i="60"/>
  <c r="R20" i="60"/>
  <c r="R49" i="60"/>
  <c r="R32" i="60"/>
  <c r="T39" i="60"/>
  <c r="L39" i="60" s="1"/>
  <c r="O39" i="60"/>
  <c r="T11" i="60"/>
  <c r="L11" i="60" s="1"/>
  <c r="O11" i="60"/>
  <c r="R48" i="60"/>
  <c r="R6" i="60"/>
  <c r="W6" i="60"/>
  <c r="AC11" i="51" s="1"/>
  <c r="R7" i="60"/>
  <c r="T21" i="60"/>
  <c r="L21" i="60" s="1"/>
  <c r="O21" i="60"/>
  <c r="T18" i="60"/>
  <c r="L18" i="60" s="1"/>
  <c r="O18" i="60"/>
  <c r="R18" i="60"/>
  <c r="R39" i="60"/>
  <c r="O42" i="60"/>
  <c r="T42" i="60"/>
  <c r="L42" i="60" s="1"/>
  <c r="T26" i="60"/>
  <c r="L26" i="60" s="1"/>
  <c r="O26" i="60"/>
  <c r="T45" i="60"/>
  <c r="L45" i="60" s="1"/>
  <c r="O45" i="60"/>
  <c r="R43" i="60"/>
  <c r="R50" i="60"/>
  <c r="O47" i="60"/>
  <c r="T47" i="60"/>
  <c r="L47" i="60" s="1"/>
  <c r="T10" i="60"/>
  <c r="L10" i="60" s="1"/>
  <c r="O10" i="60"/>
  <c r="T23" i="60"/>
  <c r="L23" i="60" s="1"/>
  <c r="O23" i="60"/>
  <c r="R12" i="60"/>
  <c r="R33" i="60"/>
  <c r="R44" i="60"/>
  <c r="O30" i="60"/>
  <c r="T30" i="60"/>
  <c r="L30" i="60" s="1"/>
  <c r="T17" i="60"/>
  <c r="L17" i="60" s="1"/>
  <c r="O17" i="60"/>
  <c r="T28" i="60"/>
  <c r="L28" i="60" s="1"/>
  <c r="O28" i="60"/>
  <c r="R40" i="60"/>
  <c r="R8" i="60"/>
  <c r="R22" i="60"/>
  <c r="O6" i="60"/>
  <c r="T6" i="60"/>
  <c r="L6" i="60" s="1"/>
  <c r="T35" i="60"/>
  <c r="L35" i="60" s="1"/>
  <c r="O35" i="60"/>
  <c r="T8" i="60"/>
  <c r="L8" i="60" s="1"/>
  <c r="O8" i="60"/>
  <c r="R38" i="60"/>
  <c r="R31" i="60"/>
  <c r="R27" i="60"/>
  <c r="O9" i="60"/>
  <c r="T9" i="60"/>
  <c r="L9" i="60" s="1"/>
  <c r="T44" i="60"/>
  <c r="L44" i="60" s="1"/>
  <c r="O44" i="60"/>
  <c r="T41" i="60"/>
  <c r="L41" i="60" s="1"/>
  <c r="O41" i="60"/>
  <c r="R10" i="60"/>
  <c r="R21" i="60"/>
  <c r="R28" i="60"/>
  <c r="O16" i="60"/>
  <c r="T16" i="60"/>
  <c r="L16" i="60" s="1"/>
  <c r="T49" i="60"/>
  <c r="L49" i="60" s="1"/>
  <c r="O49" i="60"/>
  <c r="T15" i="60"/>
  <c r="L15" i="60" s="1"/>
  <c r="O15" i="60"/>
  <c r="R16" i="60"/>
  <c r="R36" i="60"/>
  <c r="R17" i="60"/>
  <c r="O20" i="60"/>
  <c r="T20" i="60"/>
  <c r="L20" i="60" s="1"/>
  <c r="T7" i="60"/>
  <c r="L7" i="60" s="1"/>
  <c r="O7" i="60"/>
  <c r="T37" i="60"/>
  <c r="L37" i="60" s="1"/>
  <c r="O37" i="60"/>
  <c r="R34" i="60"/>
  <c r="R35" i="60"/>
  <c r="R19" i="60"/>
  <c r="O25" i="60"/>
  <c r="T25" i="60"/>
  <c r="L25" i="60" s="1"/>
  <c r="T14" i="60"/>
  <c r="L14" i="60" s="1"/>
  <c r="O14" i="60"/>
  <c r="T46" i="60"/>
  <c r="L46" i="60" s="1"/>
  <c r="O46" i="60"/>
  <c r="R42" i="60"/>
  <c r="R11" i="60"/>
  <c r="R41" i="60"/>
  <c r="O43" i="60"/>
  <c r="T43" i="60"/>
  <c r="L43" i="60" s="1"/>
  <c r="T22" i="60"/>
  <c r="L22" i="60" s="1"/>
  <c r="O22" i="60"/>
  <c r="T19" i="60"/>
  <c r="L19" i="60" s="1"/>
  <c r="O19" i="60"/>
  <c r="O30" i="35"/>
  <c r="R37" i="60"/>
  <c r="R15" i="60"/>
  <c r="R30" i="60"/>
  <c r="O48" i="60"/>
  <c r="T48" i="60"/>
  <c r="L48" i="60" s="1"/>
  <c r="T27" i="60"/>
  <c r="L27" i="60" s="1"/>
  <c r="O27" i="60"/>
  <c r="T29" i="60"/>
  <c r="L29" i="60" s="1"/>
  <c r="O29" i="60"/>
  <c r="R9" i="60"/>
  <c r="R26" i="60"/>
  <c r="R47" i="60"/>
  <c r="O34" i="60"/>
  <c r="T34" i="60"/>
  <c r="L34" i="60" s="1"/>
  <c r="T40" i="60"/>
  <c r="L40" i="60" s="1"/>
  <c r="O40" i="60"/>
  <c r="T33" i="60"/>
  <c r="L33" i="60" s="1"/>
  <c r="O33" i="60"/>
  <c r="R13" i="60"/>
  <c r="R23" i="60"/>
  <c r="R45" i="60"/>
  <c r="O38" i="60"/>
  <c r="T38" i="60"/>
  <c r="L38" i="60" s="1"/>
  <c r="T32" i="60"/>
  <c r="L32" i="60" s="1"/>
  <c r="O32" i="60"/>
  <c r="O12" i="60"/>
  <c r="T12" i="60"/>
  <c r="L12" i="60" s="1"/>
  <c r="R29" i="60"/>
  <c r="R24" i="60"/>
  <c r="R14" i="60"/>
  <c r="T13" i="60"/>
  <c r="L13" i="60" s="1"/>
  <c r="O13" i="60"/>
  <c r="T36" i="60"/>
  <c r="L36" i="60" s="1"/>
  <c r="O36" i="60"/>
  <c r="O24" i="60"/>
  <c r="T24" i="60"/>
  <c r="L24" i="60" s="1"/>
  <c r="CW22" i="9"/>
  <c r="CW35" i="52" a="1"/>
  <c r="CW35" i="52" s="1"/>
  <c r="CY23" i="9"/>
  <c r="CW23" i="9"/>
  <c r="C20" i="35"/>
  <c r="AS34" i="14"/>
  <c r="AG34" i="14"/>
  <c r="AL34" i="14"/>
  <c r="AO34" i="14"/>
  <c r="Z22" i="2"/>
  <c r="V18" i="35"/>
  <c r="Y28" i="2"/>
  <c r="W24" i="35"/>
  <c r="Z24" i="35"/>
  <c r="Y54" i="2"/>
  <c r="W50" i="35"/>
  <c r="Z50" i="35"/>
  <c r="Y29" i="2"/>
  <c r="Z25" i="35"/>
  <c r="W25" i="35"/>
  <c r="Y27" i="2"/>
  <c r="W23" i="35"/>
  <c r="Z23" i="35"/>
  <c r="N6" i="35"/>
  <c r="Q6" i="35"/>
  <c r="K6" i="35" s="1"/>
  <c r="I6" i="35" s="1"/>
  <c r="Y53" i="2"/>
  <c r="W49" i="35"/>
  <c r="Z49" i="35"/>
  <c r="Z28" i="2"/>
  <c r="V24" i="35"/>
  <c r="Z37" i="2"/>
  <c r="V33" i="35"/>
  <c r="N40" i="35"/>
  <c r="Q40" i="35"/>
  <c r="K40" i="35" s="1"/>
  <c r="I40" i="35" s="1"/>
  <c r="Z29" i="2"/>
  <c r="V25" i="35"/>
  <c r="Y25" i="2"/>
  <c r="W21" i="35"/>
  <c r="Z21" i="35"/>
  <c r="Q27" i="35"/>
  <c r="K27" i="35" s="1"/>
  <c r="I27" i="35" s="1"/>
  <c r="N27" i="35"/>
  <c r="Q29" i="35"/>
  <c r="K29" i="35" s="1"/>
  <c r="I29" i="35" s="1"/>
  <c r="N29" i="35"/>
  <c r="Y43" i="2"/>
  <c r="W39" i="35"/>
  <c r="Z39" i="35"/>
  <c r="Z41" i="2"/>
  <c r="V37" i="35"/>
  <c r="Q20" i="35"/>
  <c r="K20" i="35" s="1"/>
  <c r="I20" i="35" s="1"/>
  <c r="N20" i="35"/>
  <c r="N13" i="35"/>
  <c r="Q13" i="35"/>
  <c r="K13" i="35" s="1"/>
  <c r="I13" i="35" s="1"/>
  <c r="Y40" i="2"/>
  <c r="Z36" i="35"/>
  <c r="W36" i="35"/>
  <c r="Y15" i="2"/>
  <c r="W11" i="35"/>
  <c r="Z11" i="35"/>
  <c r="Q43" i="35"/>
  <c r="K43" i="35" s="1"/>
  <c r="I43" i="35" s="1"/>
  <c r="N43" i="35"/>
  <c r="Z14" i="2"/>
  <c r="V10" i="35"/>
  <c r="Y39" i="2"/>
  <c r="Z35" i="35"/>
  <c r="W35" i="35"/>
  <c r="Y45" i="2"/>
  <c r="W41" i="35"/>
  <c r="Z41" i="35"/>
  <c r="Z40" i="2"/>
  <c r="V36" i="35"/>
  <c r="Z15" i="2"/>
  <c r="V11" i="35"/>
  <c r="Y26" i="2"/>
  <c r="W22" i="35"/>
  <c r="Z22" i="35"/>
  <c r="Y12" i="2"/>
  <c r="Y21" i="2"/>
  <c r="Z17" i="35"/>
  <c r="W17" i="35"/>
  <c r="Q32" i="35"/>
  <c r="K32" i="35" s="1"/>
  <c r="I32" i="35" s="1"/>
  <c r="N32" i="35"/>
  <c r="Y18" i="2"/>
  <c r="W14" i="35"/>
  <c r="Z14" i="35"/>
  <c r="Y42" i="2"/>
  <c r="W38" i="35"/>
  <c r="Z38" i="35"/>
  <c r="Y16" i="2"/>
  <c r="W12" i="35"/>
  <c r="Z12" i="35"/>
  <c r="Z12" i="2"/>
  <c r="V8" i="35"/>
  <c r="Z19" i="2"/>
  <c r="V15" i="35"/>
  <c r="N46" i="35"/>
  <c r="Q46" i="35"/>
  <c r="K46" i="35" s="1"/>
  <c r="I46" i="35" s="1"/>
  <c r="Z20" i="2"/>
  <c r="V16" i="35"/>
  <c r="Z13" i="2"/>
  <c r="V9" i="35"/>
  <c r="Y49" i="2"/>
  <c r="Z45" i="35"/>
  <c r="W45" i="35"/>
  <c r="Q26" i="35"/>
  <c r="K26" i="35" s="1"/>
  <c r="I26" i="35" s="1"/>
  <c r="N26" i="35"/>
  <c r="Y35" i="2"/>
  <c r="W31" i="35"/>
  <c r="Z31" i="35"/>
  <c r="Y38" i="2"/>
  <c r="W34" i="35"/>
  <c r="Z34" i="35"/>
  <c r="Y48" i="2"/>
  <c r="W44" i="35"/>
  <c r="Z44" i="35"/>
  <c r="N42" i="35"/>
  <c r="Q42" i="35"/>
  <c r="K42" i="35" s="1"/>
  <c r="I42" i="35" s="1"/>
  <c r="Y20" i="2"/>
  <c r="W16" i="35"/>
  <c r="Z16" i="35"/>
  <c r="Y34" i="2"/>
  <c r="Z30" i="35"/>
  <c r="W30" i="35"/>
  <c r="Z52" i="2"/>
  <c r="V48" i="35"/>
  <c r="Z11" i="2"/>
  <c r="V7" i="35"/>
  <c r="Z51" i="2"/>
  <c r="V47" i="35"/>
  <c r="Z32" i="2"/>
  <c r="V28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V22" i="35" l="1"/>
  <c r="Z8" i="35"/>
  <c r="Z21" i="2"/>
  <c r="Z39" i="2"/>
  <c r="Z7" i="35"/>
  <c r="W7" i="35"/>
  <c r="AC11" i="2" s="1"/>
  <c r="Z38" i="2"/>
  <c r="Y41" i="2"/>
  <c r="Z37" i="35"/>
  <c r="W10" i="35"/>
  <c r="AC14" i="2" s="1"/>
  <c r="Z10" i="35"/>
  <c r="Y14" i="2"/>
  <c r="V30" i="35"/>
  <c r="AB34" i="2" s="1"/>
  <c r="Z34" i="2"/>
  <c r="V45" i="35"/>
  <c r="AB49" i="2" s="1"/>
  <c r="Z49" i="2"/>
  <c r="V44" i="35"/>
  <c r="AB48" i="2" s="1"/>
  <c r="W28" i="35"/>
  <c r="AC32" i="2" s="1"/>
  <c r="Z48" i="2"/>
  <c r="W15" i="35"/>
  <c r="AC19" i="2" s="1"/>
  <c r="Z15" i="35"/>
  <c r="Y19" i="2"/>
  <c r="Z25" i="2"/>
  <c r="V21" i="35"/>
  <c r="AB25" i="2" s="1"/>
  <c r="Y32" i="2"/>
  <c r="Z28" i="35"/>
  <c r="Z9" i="35"/>
  <c r="Y13" i="2"/>
  <c r="W9" i="35"/>
  <c r="V12" i="35"/>
  <c r="AB16" i="2" s="1"/>
  <c r="W47" i="35"/>
  <c r="AC51" i="2" s="1"/>
  <c r="Y51" i="2"/>
  <c r="Z47" i="35"/>
  <c r="Z16" i="2"/>
  <c r="V14" i="35"/>
  <c r="Z18" i="2"/>
  <c r="Z48" i="35"/>
  <c r="W48" i="35"/>
  <c r="AC52" i="2" s="1"/>
  <c r="Y52" i="2"/>
  <c r="W18" i="35"/>
  <c r="Z18" i="35"/>
  <c r="Y22" i="2"/>
  <c r="L56" i="35" a="1"/>
  <c r="L56" i="35" s="1"/>
  <c r="V38" i="35"/>
  <c r="AB42" i="2" s="1"/>
  <c r="Z42" i="2"/>
  <c r="AC10" i="2"/>
  <c r="Z27" i="2"/>
  <c r="V23" i="35"/>
  <c r="AB27" i="2" s="1"/>
  <c r="Z45" i="2"/>
  <c r="V41" i="35"/>
  <c r="AB45" i="2" s="1"/>
  <c r="Z35" i="2"/>
  <c r="V31" i="35"/>
  <c r="AB35" i="2" s="1"/>
  <c r="V49" i="35"/>
  <c r="AB53" i="2" s="1"/>
  <c r="Z53" i="2"/>
  <c r="V39" i="35"/>
  <c r="V50" i="35"/>
  <c r="AB54" i="2" s="1"/>
  <c r="Z43" i="2"/>
  <c r="Z54" i="2"/>
  <c r="Z33" i="35"/>
  <c r="W33" i="35"/>
  <c r="Y37" i="2"/>
  <c r="Q24" i="60"/>
  <c r="K24" i="60" s="1"/>
  <c r="I24" i="60" s="1"/>
  <c r="Y29" i="51" s="1"/>
  <c r="N24" i="60"/>
  <c r="Q32" i="60"/>
  <c r="K32" i="60" s="1"/>
  <c r="I32" i="60" s="1"/>
  <c r="Y37" i="51" s="1"/>
  <c r="N32" i="60"/>
  <c r="Q11" i="60"/>
  <c r="K11" i="60" s="1"/>
  <c r="I11" i="60" s="1"/>
  <c r="Y16" i="51" s="1"/>
  <c r="N11" i="60"/>
  <c r="N31" i="60"/>
  <c r="Q31" i="60"/>
  <c r="K31" i="60" s="1"/>
  <c r="I31" i="60" s="1"/>
  <c r="Y36" i="51" s="1"/>
  <c r="Q29" i="60"/>
  <c r="K29" i="60" s="1"/>
  <c r="I29" i="60" s="1"/>
  <c r="Y34" i="51" s="1"/>
  <c r="N29" i="60"/>
  <c r="Q30" i="60"/>
  <c r="K30" i="60" s="1"/>
  <c r="I30" i="60" s="1"/>
  <c r="Y35" i="51" s="1"/>
  <c r="N30" i="60"/>
  <c r="Q49" i="60"/>
  <c r="K49" i="60" s="1"/>
  <c r="I49" i="60" s="1"/>
  <c r="Y54" i="51" s="1"/>
  <c r="N49" i="60"/>
  <c r="Q42" i="60"/>
  <c r="K42" i="60" s="1"/>
  <c r="I42" i="60" s="1"/>
  <c r="Y47" i="51" s="1"/>
  <c r="N42" i="60"/>
  <c r="Q28" i="60"/>
  <c r="K28" i="60" s="1"/>
  <c r="I28" i="60" s="1"/>
  <c r="Y33" i="51" s="1"/>
  <c r="N28" i="60"/>
  <c r="Q38" i="60"/>
  <c r="K38" i="60" s="1"/>
  <c r="I38" i="60" s="1"/>
  <c r="Y43" i="51" s="1"/>
  <c r="N38" i="60"/>
  <c r="Z43" i="51" s="1"/>
  <c r="Q50" i="60"/>
  <c r="K50" i="60" s="1"/>
  <c r="I50" i="60" s="1"/>
  <c r="Y55" i="51" s="1"/>
  <c r="N50" i="60"/>
  <c r="Q15" i="60"/>
  <c r="K15" i="60" s="1"/>
  <c r="I15" i="60" s="1"/>
  <c r="Y20" i="51" s="1"/>
  <c r="N15" i="60"/>
  <c r="N20" i="60"/>
  <c r="Q20" i="60"/>
  <c r="K20" i="60" s="1"/>
  <c r="I20" i="60" s="1"/>
  <c r="Y25" i="51" s="1"/>
  <c r="Q21" i="60"/>
  <c r="K21" i="60" s="1"/>
  <c r="I21" i="60" s="1"/>
  <c r="Y26" i="51" s="1"/>
  <c r="N21" i="60"/>
  <c r="N43" i="60"/>
  <c r="Q43" i="60"/>
  <c r="K43" i="60" s="1"/>
  <c r="I43" i="60" s="1"/>
  <c r="Y48" i="51" s="1"/>
  <c r="Q7" i="60"/>
  <c r="K7" i="60" s="1"/>
  <c r="I7" i="60" s="1"/>
  <c r="Y12" i="51" s="1"/>
  <c r="N7" i="60"/>
  <c r="Q47" i="60"/>
  <c r="K47" i="60" s="1"/>
  <c r="I47" i="60" s="1"/>
  <c r="Y52" i="51" s="1"/>
  <c r="N47" i="60"/>
  <c r="Q37" i="60"/>
  <c r="K37" i="60" s="1"/>
  <c r="I37" i="60" s="1"/>
  <c r="Y42" i="51" s="1"/>
  <c r="N37" i="60"/>
  <c r="Q17" i="60"/>
  <c r="K17" i="60" s="1"/>
  <c r="I17" i="60" s="1"/>
  <c r="Y22" i="51" s="1"/>
  <c r="N17" i="60"/>
  <c r="Q10" i="60"/>
  <c r="K10" i="60" s="1"/>
  <c r="I10" i="60" s="1"/>
  <c r="Y15" i="51" s="1"/>
  <c r="N10" i="60"/>
  <c r="Q44" i="60"/>
  <c r="K44" i="60" s="1"/>
  <c r="I44" i="60" s="1"/>
  <c r="Y49" i="51" s="1"/>
  <c r="N44" i="60"/>
  <c r="Q26" i="60"/>
  <c r="K26" i="60" s="1"/>
  <c r="I26" i="60" s="1"/>
  <c r="Y31" i="51" s="1"/>
  <c r="N26" i="60"/>
  <c r="N6" i="60"/>
  <c r="Q6" i="60"/>
  <c r="K6" i="60" s="1"/>
  <c r="I6" i="60" s="1"/>
  <c r="Q36" i="60"/>
  <c r="K36" i="60" s="1"/>
  <c r="I36" i="60" s="1"/>
  <c r="Y41" i="51" s="1"/>
  <c r="N36" i="60"/>
  <c r="Q33" i="60"/>
  <c r="K33" i="60" s="1"/>
  <c r="I33" i="60" s="1"/>
  <c r="Y38" i="51" s="1"/>
  <c r="N33" i="60"/>
  <c r="Q45" i="60"/>
  <c r="K45" i="60" s="1"/>
  <c r="I45" i="60" s="1"/>
  <c r="Y50" i="51" s="1"/>
  <c r="N45" i="60"/>
  <c r="N9" i="60"/>
  <c r="Q9" i="60"/>
  <c r="K9" i="60" s="1"/>
  <c r="I9" i="60" s="1"/>
  <c r="Y14" i="51" s="1"/>
  <c r="N48" i="60"/>
  <c r="Q48" i="60"/>
  <c r="K48" i="60" s="1"/>
  <c r="I48" i="60" s="1"/>
  <c r="Y53" i="51" s="1"/>
  <c r="Q46" i="60"/>
  <c r="K46" i="60" s="1"/>
  <c r="I46" i="60" s="1"/>
  <c r="Y51" i="51" s="1"/>
  <c r="N46" i="60"/>
  <c r="Q19" i="60"/>
  <c r="K19" i="60" s="1"/>
  <c r="I19" i="60" s="1"/>
  <c r="Y24" i="51" s="1"/>
  <c r="N19" i="60"/>
  <c r="N16" i="60"/>
  <c r="Q16" i="60"/>
  <c r="K16" i="60" s="1"/>
  <c r="I16" i="60" s="1"/>
  <c r="Y21" i="51" s="1"/>
  <c r="Q22" i="60"/>
  <c r="K22" i="60" s="1"/>
  <c r="I22" i="60" s="1"/>
  <c r="Y27" i="51" s="1"/>
  <c r="N22" i="60"/>
  <c r="Q12" i="60"/>
  <c r="K12" i="60" s="1"/>
  <c r="I12" i="60" s="1"/>
  <c r="Y17" i="51" s="1"/>
  <c r="N12" i="60"/>
  <c r="Q23" i="60"/>
  <c r="K23" i="60" s="1"/>
  <c r="I23" i="60" s="1"/>
  <c r="Y28" i="51" s="1"/>
  <c r="N23" i="60"/>
  <c r="Q3" i="60"/>
  <c r="K3" i="60" s="1"/>
  <c r="I3" i="60" s="1"/>
  <c r="N3" i="60"/>
  <c r="C20" i="60" s="1"/>
  <c r="Q35" i="60"/>
  <c r="K35" i="60" s="1"/>
  <c r="I35" i="60" s="1"/>
  <c r="Y40" i="51" s="1"/>
  <c r="N35" i="60"/>
  <c r="Q8" i="60"/>
  <c r="K8" i="60" s="1"/>
  <c r="I8" i="60" s="1"/>
  <c r="Y13" i="51" s="1"/>
  <c r="N8" i="60"/>
  <c r="N39" i="60"/>
  <c r="Z44" i="51" s="1"/>
  <c r="Q39" i="60"/>
  <c r="K39" i="60" s="1"/>
  <c r="I39" i="60" s="1"/>
  <c r="Y44" i="51" s="1"/>
  <c r="Q14" i="60"/>
  <c r="K14" i="60" s="1"/>
  <c r="I14" i="60" s="1"/>
  <c r="Y19" i="51" s="1"/>
  <c r="N14" i="60"/>
  <c r="N13" i="60"/>
  <c r="Q13" i="60"/>
  <c r="K13" i="60" s="1"/>
  <c r="I13" i="60" s="1"/>
  <c r="Y18" i="51" s="1"/>
  <c r="N25" i="60"/>
  <c r="Q25" i="60"/>
  <c r="K25" i="60" s="1"/>
  <c r="I25" i="60" s="1"/>
  <c r="Y30" i="51" s="1"/>
  <c r="Q41" i="60"/>
  <c r="K41" i="60" s="1"/>
  <c r="I41" i="60" s="1"/>
  <c r="Y46" i="51" s="1"/>
  <c r="N41" i="60"/>
  <c r="Q34" i="60"/>
  <c r="K34" i="60" s="1"/>
  <c r="I34" i="60" s="1"/>
  <c r="Y39" i="51" s="1"/>
  <c r="N34" i="60"/>
  <c r="Q27" i="60"/>
  <c r="K27" i="60" s="1"/>
  <c r="I27" i="60" s="1"/>
  <c r="Y32" i="51" s="1"/>
  <c r="N27" i="60"/>
  <c r="Q40" i="60"/>
  <c r="K40" i="60" s="1"/>
  <c r="I40" i="60" s="1"/>
  <c r="Y45" i="51" s="1"/>
  <c r="N40" i="60"/>
  <c r="Q18" i="60"/>
  <c r="K18" i="60" s="1"/>
  <c r="I18" i="60" s="1"/>
  <c r="Y23" i="51" s="1"/>
  <c r="N18" i="60"/>
  <c r="AC27" i="2"/>
  <c r="AB52" i="2"/>
  <c r="AB15" i="2"/>
  <c r="AC43" i="2"/>
  <c r="AC29" i="2"/>
  <c r="CY24" i="9"/>
  <c r="AC38" i="2"/>
  <c r="AB29" i="2"/>
  <c r="AC35" i="2"/>
  <c r="AB26" i="2"/>
  <c r="AC12" i="2"/>
  <c r="CW24" i="9"/>
  <c r="CW35" i="9" s="1" a="1"/>
  <c r="CW35" i="9" s="1"/>
  <c r="AB51" i="2"/>
  <c r="AB40" i="2"/>
  <c r="AB14" i="2"/>
  <c r="AC48" i="2"/>
  <c r="AB11" i="2"/>
  <c r="AC21" i="2"/>
  <c r="AC39" i="2"/>
  <c r="AC34" i="2"/>
  <c r="AB12" i="2"/>
  <c r="AC42" i="2"/>
  <c r="AB38" i="2"/>
  <c r="AB37" i="2"/>
  <c r="AC54" i="2"/>
  <c r="AC49" i="2"/>
  <c r="AC45" i="2"/>
  <c r="AC16" i="2"/>
  <c r="AB41" i="2"/>
  <c r="AB28" i="2"/>
  <c r="AB19" i="2"/>
  <c r="AC18" i="2"/>
  <c r="AB13" i="2"/>
  <c r="AC20" i="2"/>
  <c r="AB21" i="2"/>
  <c r="AC15" i="2"/>
  <c r="AC25" i="2"/>
  <c r="AC53" i="2"/>
  <c r="AB32" i="2"/>
  <c r="AC26" i="2"/>
  <c r="AC41" i="2"/>
  <c r="AB39" i="2"/>
  <c r="AC28" i="2"/>
  <c r="AC40" i="2"/>
  <c r="AB20" i="2"/>
  <c r="AB22" i="2"/>
  <c r="L57" i="35" a="1"/>
  <c r="L57" i="35" s="1"/>
  <c r="AL36" i="1"/>
  <c r="Z23" i="2"/>
  <c r="V19" i="35"/>
  <c r="Z36" i="2"/>
  <c r="V32" i="35"/>
  <c r="Y23" i="2"/>
  <c r="W19" i="35"/>
  <c r="Z19" i="35"/>
  <c r="Y36" i="2"/>
  <c r="W32" i="35"/>
  <c r="Z32" i="35"/>
  <c r="Z33" i="2"/>
  <c r="V29" i="35"/>
  <c r="Z46" i="2"/>
  <c r="V42" i="35"/>
  <c r="Y33" i="2"/>
  <c r="Z29" i="35"/>
  <c r="W29" i="35"/>
  <c r="Y10" i="2"/>
  <c r="Z6" i="35"/>
  <c r="Y50" i="2"/>
  <c r="W46" i="35"/>
  <c r="Z46" i="35"/>
  <c r="Z10" i="2"/>
  <c r="V6" i="35"/>
  <c r="Z31" i="2"/>
  <c r="V27" i="35"/>
  <c r="Y44" i="2"/>
  <c r="W40" i="35"/>
  <c r="Z40" i="35"/>
  <c r="Y31" i="2"/>
  <c r="Z27" i="35"/>
  <c r="W27" i="35"/>
  <c r="Z44" i="2"/>
  <c r="V40" i="35"/>
  <c r="Y17" i="2"/>
  <c r="W13" i="35"/>
  <c r="Z13" i="35"/>
  <c r="Z50" i="2"/>
  <c r="V46" i="35"/>
  <c r="Z17" i="2"/>
  <c r="V13" i="35"/>
  <c r="Z30" i="2"/>
  <c r="V26" i="35"/>
  <c r="Z47" i="2"/>
  <c r="V43" i="35"/>
  <c r="Z24" i="2"/>
  <c r="V20" i="35"/>
  <c r="Y46" i="2"/>
  <c r="Z42" i="35"/>
  <c r="W42" i="35"/>
  <c r="Y30" i="2"/>
  <c r="W26" i="35"/>
  <c r="Z26" i="35"/>
  <c r="Y47" i="2"/>
  <c r="Z43" i="35"/>
  <c r="W43" i="35"/>
  <c r="Y24" i="2"/>
  <c r="Z20" i="35"/>
  <c r="W20" i="35"/>
  <c r="Q13" i="1"/>
  <c r="R13" i="1"/>
  <c r="Q5" i="8"/>
  <c r="W5" i="8" s="1"/>
  <c r="W9" i="1"/>
  <c r="H23" i="9" s="1"/>
  <c r="C5" i="4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V40" i="60" l="1"/>
  <c r="AB45" i="51" s="1"/>
  <c r="Z45" i="51"/>
  <c r="V8" i="60"/>
  <c r="AB13" i="51" s="1"/>
  <c r="Z13" i="51"/>
  <c r="V46" i="60"/>
  <c r="AB51" i="51" s="1"/>
  <c r="Z51" i="51"/>
  <c r="V44" i="60"/>
  <c r="AB49" i="51" s="1"/>
  <c r="Z49" i="51"/>
  <c r="V29" i="60"/>
  <c r="AB34" i="51" s="1"/>
  <c r="Z34" i="51"/>
  <c r="V20" i="60"/>
  <c r="AB25" i="51" s="1"/>
  <c r="Z25" i="51"/>
  <c r="V18" i="60"/>
  <c r="AB23" i="51" s="1"/>
  <c r="Z23" i="51"/>
  <c r="V19" i="60"/>
  <c r="AB24" i="51" s="1"/>
  <c r="Z24" i="51"/>
  <c r="V21" i="60"/>
  <c r="AB26" i="51" s="1"/>
  <c r="Z26" i="51"/>
  <c r="V10" i="60"/>
  <c r="AB15" i="51" s="1"/>
  <c r="Z15" i="51"/>
  <c r="V15" i="60"/>
  <c r="AB20" i="51" s="1"/>
  <c r="Z20" i="51"/>
  <c r="V31" i="60"/>
  <c r="AB36" i="51" s="1"/>
  <c r="Z36" i="51"/>
  <c r="V17" i="60"/>
  <c r="AB22" i="51" s="1"/>
  <c r="Z22" i="51"/>
  <c r="V50" i="60"/>
  <c r="AB55" i="51" s="1"/>
  <c r="Z55" i="51"/>
  <c r="V11" i="60"/>
  <c r="AB16" i="51" s="1"/>
  <c r="Z16" i="51"/>
  <c r="V48" i="60"/>
  <c r="AB53" i="51" s="1"/>
  <c r="Z53" i="51"/>
  <c r="V37" i="60"/>
  <c r="AB42" i="51" s="1"/>
  <c r="Z42" i="51"/>
  <c r="V32" i="60"/>
  <c r="AB37" i="51" s="1"/>
  <c r="Z37" i="51"/>
  <c r="V34" i="60"/>
  <c r="AB39" i="51" s="1"/>
  <c r="Z39" i="51"/>
  <c r="V12" i="60"/>
  <c r="AB17" i="51" s="1"/>
  <c r="Z17" i="51"/>
  <c r="V33" i="60"/>
  <c r="AB38" i="51" s="1"/>
  <c r="Z38" i="51"/>
  <c r="V47" i="60"/>
  <c r="AB52" i="51" s="1"/>
  <c r="Z52" i="51"/>
  <c r="V28" i="60"/>
  <c r="AB33" i="51" s="1"/>
  <c r="Z33" i="51"/>
  <c r="V24" i="60"/>
  <c r="AB29" i="51" s="1"/>
  <c r="Z29" i="51"/>
  <c r="V30" i="60"/>
  <c r="AB35" i="51" s="1"/>
  <c r="Z35" i="51"/>
  <c r="V41" i="60"/>
  <c r="AB46" i="51" s="1"/>
  <c r="Z46" i="51"/>
  <c r="V23" i="60"/>
  <c r="AB28" i="51" s="1"/>
  <c r="Z28" i="51"/>
  <c r="V25" i="60"/>
  <c r="AB30" i="51" s="1"/>
  <c r="Z30" i="51"/>
  <c r="V35" i="60"/>
  <c r="AB40" i="51" s="1"/>
  <c r="Z40" i="51"/>
  <c r="V9" i="60"/>
  <c r="AB14" i="51" s="1"/>
  <c r="Z14" i="51"/>
  <c r="V45" i="60"/>
  <c r="AB50" i="51" s="1"/>
  <c r="Z50" i="51"/>
  <c r="V22" i="60"/>
  <c r="AB27" i="51" s="1"/>
  <c r="Z27" i="51"/>
  <c r="V36" i="60"/>
  <c r="AB41" i="51" s="1"/>
  <c r="Z41" i="51"/>
  <c r="V7" i="60"/>
  <c r="AB12" i="51" s="1"/>
  <c r="Z12" i="51"/>
  <c r="V42" i="60"/>
  <c r="AB47" i="51" s="1"/>
  <c r="Z47" i="51"/>
  <c r="V26" i="60"/>
  <c r="AB31" i="51" s="1"/>
  <c r="Z31" i="51"/>
  <c r="V27" i="60"/>
  <c r="AB32" i="51" s="1"/>
  <c r="Z32" i="51"/>
  <c r="V14" i="60"/>
  <c r="AB19" i="51" s="1"/>
  <c r="Z19" i="51"/>
  <c r="Z6" i="60"/>
  <c r="Y11" i="51"/>
  <c r="V49" i="60"/>
  <c r="AB54" i="51" s="1"/>
  <c r="Z54" i="51"/>
  <c r="V13" i="60"/>
  <c r="AB18" i="51" s="1"/>
  <c r="Z18" i="51"/>
  <c r="V16" i="60"/>
  <c r="AB21" i="51" s="1"/>
  <c r="Z21" i="51"/>
  <c r="V6" i="60"/>
  <c r="AB11" i="51" s="1"/>
  <c r="Z11" i="51"/>
  <c r="V43" i="60"/>
  <c r="AB48" i="51" s="1"/>
  <c r="Z48" i="51"/>
  <c r="AC13" i="2"/>
  <c r="AB18" i="2"/>
  <c r="AC22" i="2"/>
  <c r="N54" i="35"/>
  <c r="AG12" i="35" s="1"/>
  <c r="AG14" i="35" s="1"/>
  <c r="AG15" i="35" s="1"/>
  <c r="AB43" i="2"/>
  <c r="AC37" i="2"/>
  <c r="W22" i="60"/>
  <c r="AC27" i="51" s="1"/>
  <c r="Z22" i="60"/>
  <c r="W36" i="60"/>
  <c r="AC41" i="51" s="1"/>
  <c r="Z36" i="60"/>
  <c r="W16" i="60"/>
  <c r="AC21" i="51" s="1"/>
  <c r="Z16" i="60"/>
  <c r="W7" i="60"/>
  <c r="AC12" i="51" s="1"/>
  <c r="Z7" i="60"/>
  <c r="W42" i="60"/>
  <c r="AC47" i="51" s="1"/>
  <c r="Z42" i="60"/>
  <c r="W14" i="60"/>
  <c r="AC19" i="51" s="1"/>
  <c r="Z14" i="60"/>
  <c r="W43" i="60"/>
  <c r="AC48" i="51" s="1"/>
  <c r="Z43" i="60"/>
  <c r="W39" i="60"/>
  <c r="AC44" i="51" s="1"/>
  <c r="Z39" i="60"/>
  <c r="W49" i="60"/>
  <c r="AC54" i="51" s="1"/>
  <c r="Z49" i="60"/>
  <c r="W18" i="60"/>
  <c r="AC23" i="51" s="1"/>
  <c r="Z18" i="60"/>
  <c r="L57" i="60" a="1"/>
  <c r="L57" i="60" s="1"/>
  <c r="V39" i="60"/>
  <c r="AB44" i="51" s="1"/>
  <c r="W19" i="60"/>
  <c r="AC24" i="51" s="1"/>
  <c r="Z19" i="60"/>
  <c r="W26" i="60"/>
  <c r="AC31" i="51" s="1"/>
  <c r="Z26" i="60"/>
  <c r="W21" i="60"/>
  <c r="AC26" i="51" s="1"/>
  <c r="Z21" i="60"/>
  <c r="W30" i="60"/>
  <c r="AC35" i="51" s="1"/>
  <c r="Z30" i="60"/>
  <c r="W40" i="60"/>
  <c r="AC45" i="51" s="1"/>
  <c r="Z40" i="60"/>
  <c r="W8" i="60"/>
  <c r="AC13" i="51" s="1"/>
  <c r="Z8" i="60"/>
  <c r="W46" i="60"/>
  <c r="AC51" i="51" s="1"/>
  <c r="Z46" i="60"/>
  <c r="W20" i="60"/>
  <c r="AC25" i="51" s="1"/>
  <c r="Z20" i="60"/>
  <c r="W48" i="60"/>
  <c r="AC53" i="51" s="1"/>
  <c r="Z48" i="60"/>
  <c r="W44" i="60"/>
  <c r="AC49" i="51" s="1"/>
  <c r="Z44" i="60"/>
  <c r="W29" i="60"/>
  <c r="AC34" i="51" s="1"/>
  <c r="Z29" i="60"/>
  <c r="W27" i="60"/>
  <c r="AC32" i="51" s="1"/>
  <c r="Z27" i="60"/>
  <c r="W35" i="60"/>
  <c r="AC40" i="51" s="1"/>
  <c r="Z35" i="60"/>
  <c r="W31" i="60"/>
  <c r="AC36" i="51" s="1"/>
  <c r="Z31" i="60"/>
  <c r="W9" i="60"/>
  <c r="AC14" i="51" s="1"/>
  <c r="Z9" i="60"/>
  <c r="W10" i="60"/>
  <c r="AC15" i="51" s="1"/>
  <c r="Z10" i="60"/>
  <c r="W15" i="60"/>
  <c r="AC20" i="51" s="1"/>
  <c r="Z15" i="60"/>
  <c r="W34" i="60"/>
  <c r="AC39" i="51" s="1"/>
  <c r="Z34" i="60"/>
  <c r="W17" i="60"/>
  <c r="AC22" i="51" s="1"/>
  <c r="Z17" i="60"/>
  <c r="W50" i="60"/>
  <c r="AC55" i="51" s="1"/>
  <c r="Z50" i="60"/>
  <c r="W11" i="60"/>
  <c r="AC16" i="51" s="1"/>
  <c r="Z11" i="60"/>
  <c r="W41" i="60"/>
  <c r="AC46" i="51" s="1"/>
  <c r="Z41" i="60"/>
  <c r="W23" i="60"/>
  <c r="AC28" i="51" s="1"/>
  <c r="Z23" i="60"/>
  <c r="W45" i="60"/>
  <c r="AC50" i="51" s="1"/>
  <c r="Z45" i="60"/>
  <c r="L56" i="60" a="1"/>
  <c r="L56" i="60" s="1"/>
  <c r="V38" i="60"/>
  <c r="AB43" i="51" s="1"/>
  <c r="W25" i="60"/>
  <c r="AC30" i="51" s="1"/>
  <c r="Z25" i="60"/>
  <c r="W37" i="60"/>
  <c r="AC42" i="51" s="1"/>
  <c r="Z37" i="60"/>
  <c r="W38" i="60"/>
  <c r="AC43" i="51" s="1"/>
  <c r="Z38" i="60"/>
  <c r="W32" i="60"/>
  <c r="AC37" i="51" s="1"/>
  <c r="Z32" i="60"/>
  <c r="W12" i="60"/>
  <c r="AC17" i="51" s="1"/>
  <c r="Z12" i="60"/>
  <c r="W33" i="60"/>
  <c r="AC38" i="51" s="1"/>
  <c r="Z33" i="60"/>
  <c r="W13" i="60"/>
  <c r="AC18" i="51" s="1"/>
  <c r="Z13" i="60"/>
  <c r="W47" i="60"/>
  <c r="AC52" i="51" s="1"/>
  <c r="Z47" i="60"/>
  <c r="W28" i="60"/>
  <c r="AC33" i="51" s="1"/>
  <c r="Z28" i="60"/>
  <c r="W24" i="60"/>
  <c r="AC29" i="51" s="1"/>
  <c r="Z24" i="60"/>
  <c r="AC50" i="2"/>
  <c r="AC17" i="2"/>
  <c r="AB36" i="2"/>
  <c r="AB44" i="2"/>
  <c r="AB23" i="2"/>
  <c r="AC46" i="2"/>
  <c r="AC33" i="2"/>
  <c r="AC30" i="2"/>
  <c r="AC23" i="2"/>
  <c r="AC31" i="2"/>
  <c r="AC44" i="2"/>
  <c r="AB33" i="2"/>
  <c r="AB47" i="2"/>
  <c r="AC24" i="2"/>
  <c r="AB30" i="2"/>
  <c r="AB46" i="2"/>
  <c r="AB31" i="2"/>
  <c r="AB17" i="2"/>
  <c r="AC36" i="2"/>
  <c r="AC47" i="2"/>
  <c r="AB24" i="2"/>
  <c r="AB50" i="2"/>
  <c r="AU34" i="14"/>
  <c r="R14" i="14"/>
  <c r="AT34" i="14"/>
  <c r="Z51" i="35"/>
  <c r="W4" i="35"/>
  <c r="AB10" i="2"/>
  <c r="V4" i="35"/>
  <c r="D24" i="35" s="1"/>
  <c r="W13" i="1"/>
  <c r="W14" i="1" s="1"/>
  <c r="W19" i="10" s="1"/>
  <c r="W22" i="10" s="1"/>
  <c r="W24" i="10" s="1"/>
  <c r="AK43" i="8"/>
  <c r="AO24" i="9" s="1"/>
  <c r="AS24" i="9"/>
  <c r="AM44" i="1"/>
  <c r="BC23" i="9"/>
  <c r="AK43" i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H43" i="1"/>
  <c r="AG43" i="1"/>
  <c r="AJ44" i="1"/>
  <c r="AI43" i="1"/>
  <c r="AF44" i="1"/>
  <c r="AJ43" i="1"/>
  <c r="AL43" i="1"/>
  <c r="AF43" i="1"/>
  <c r="AG44" i="1"/>
  <c r="AI44" i="1"/>
  <c r="AL44" i="1"/>
  <c r="R10" i="8"/>
  <c r="AH44" i="1"/>
  <c r="AK44" i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6" i="4"/>
  <c r="F16" i="4" s="1"/>
  <c r="C15" i="4"/>
  <c r="F15" i="4" s="1"/>
  <c r="Z51" i="60" l="1"/>
  <c r="Z54" i="60" s="1"/>
  <c r="V4" i="60"/>
  <c r="N54" i="60"/>
  <c r="AG12" i="60" s="1"/>
  <c r="AG14" i="60" s="1"/>
  <c r="AG15" i="60" s="1"/>
  <c r="W4" i="60"/>
  <c r="AC56" i="51"/>
  <c r="AC55" i="2"/>
  <c r="AB56" i="51"/>
  <c r="BA23" i="9"/>
  <c r="AW23" i="9"/>
  <c r="AU23" i="9"/>
  <c r="AP23" i="9"/>
  <c r="AN23" i="9"/>
  <c r="AT23" i="9"/>
  <c r="AX23" i="9"/>
  <c r="AK23" i="9"/>
  <c r="T31" i="2"/>
  <c r="AL23" i="9"/>
  <c r="AB55" i="2"/>
  <c r="AM23" i="9"/>
  <c r="AQ23" i="9"/>
  <c r="AZ23" i="9"/>
  <c r="AO23" i="9"/>
  <c r="AY23" i="9"/>
  <c r="AJ23" i="9"/>
  <c r="AV23" i="9"/>
  <c r="Z54" i="35"/>
  <c r="AG7" i="35"/>
  <c r="W12" i="14"/>
  <c r="Y11" i="14" s="1"/>
  <c r="AO36" i="14"/>
  <c r="W9" i="8"/>
  <c r="H24" i="9" s="1"/>
  <c r="AO36" i="8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O44" i="8" s="1"/>
  <c r="AP44" i="8" s="1"/>
  <c r="AN44" i="8" a="1"/>
  <c r="AN44" i="8" s="1"/>
  <c r="BB24" i="9" s="1"/>
  <c r="AN43" i="8" a="1"/>
  <c r="AN43" i="8" s="1"/>
  <c r="AR24" i="9" s="1"/>
  <c r="AO43" i="8" a="1"/>
  <c r="AO43" i="8" s="1"/>
  <c r="AP43" i="8" s="1"/>
  <c r="AN43" i="1" a="1"/>
  <c r="AN43" i="1" s="1"/>
  <c r="AO43" i="1" a="1"/>
  <c r="AO43" i="1" s="1"/>
  <c r="AP43" i="1" s="1"/>
  <c r="AN44" i="1" a="1"/>
  <c r="AN44" i="1" s="1"/>
  <c r="AO44" i="1" a="1"/>
  <c r="AO44" i="1" s="1"/>
  <c r="AP44" i="1" s="1"/>
  <c r="W5" i="14"/>
  <c r="W16" i="14"/>
  <c r="S9" i="14"/>
  <c r="W8" i="14" s="1"/>
  <c r="C33" i="4"/>
  <c r="T35" i="51" l="1"/>
  <c r="D24" i="60"/>
  <c r="T32" i="51" s="1"/>
  <c r="AG7" i="60"/>
  <c r="AR23" i="9"/>
  <c r="DA24" i="9"/>
  <c r="DA23" i="9"/>
  <c r="BB23" i="9"/>
  <c r="W13" i="14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l="1" a="1"/>
  <c r="AQ43" i="14" s="1"/>
  <c r="AR43" i="14" s="1"/>
  <c r="AQ42" i="14" a="1"/>
  <c r="AQ42" i="14" s="1"/>
  <c r="AS25" i="9" s="1"/>
  <c r="AP42" i="14" a="1"/>
  <c r="AP42" i="14" s="1"/>
  <c r="AR25" i="9" s="1"/>
  <c r="AP43" i="14" a="1"/>
  <c r="AP43" i="14" s="1"/>
  <c r="BB25" i="9" s="1"/>
  <c r="AR42" i="14" l="1"/>
  <c r="BC25" i="9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F27" i="9"/>
  <c r="T11" i="21"/>
  <c r="W9" i="21" s="1"/>
  <c r="E27" i="9" s="1"/>
  <c r="CZ26" i="9" l="1"/>
  <c r="W10" i="2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P13" i="22" a="1"/>
  <c r="R13" i="22" s="1"/>
  <c r="P14" i="22" a="1"/>
  <c r="P14" i="22" s="1"/>
  <c r="P5" i="22" a="1"/>
  <c r="P5" i="22" s="1"/>
  <c r="AO44" i="21" l="1" a="1"/>
  <c r="AO44" i="21" s="1"/>
  <c r="AP44" i="21" s="1"/>
  <c r="AN44" i="21" a="1"/>
  <c r="AN44" i="21" s="1"/>
  <c r="U27" i="9"/>
  <c r="W27" i="9"/>
  <c r="S27" i="9"/>
  <c r="V27" i="9"/>
  <c r="Q27" i="9"/>
  <c r="P27" i="9"/>
  <c r="T27" i="9"/>
  <c r="R27" i="9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K27" i="9"/>
  <c r="L27" i="9" s="1"/>
  <c r="T11" i="22"/>
  <c r="W9" i="22" s="1"/>
  <c r="H27" i="9" s="1"/>
  <c r="DA26" i="9" l="1"/>
  <c r="Y9" i="22"/>
  <c r="W10" i="22"/>
  <c r="G27" i="9" s="1"/>
  <c r="L29" i="23" l="1" a="1"/>
  <c r="L29" i="23" s="1"/>
  <c r="C11" i="23" l="1"/>
  <c r="M29" i="23"/>
  <c r="D11" i="23" s="1"/>
  <c r="R19" i="23" l="1"/>
  <c r="S19" i="23" s="1"/>
  <c r="R24" i="23"/>
  <c r="S24" i="23" s="1"/>
  <c r="R23" i="23"/>
  <c r="S23" i="23" s="1"/>
  <c r="R20" i="23"/>
  <c r="S20" i="23" s="1"/>
  <c r="R26" i="23"/>
  <c r="S26" i="23" s="1"/>
  <c r="R25" i="23"/>
  <c r="S25" i="23" s="1"/>
  <c r="R22" i="23"/>
  <c r="S22" i="23" s="1"/>
  <c r="R18" i="23"/>
  <c r="R21" i="23"/>
  <c r="S21" i="23" s="1"/>
  <c r="S18" i="23" l="1"/>
  <c r="U28" i="23" s="1" a="1"/>
  <c r="P43" i="24" a="1"/>
  <c r="P43" i="24" s="1"/>
  <c r="U28" i="23" l="1"/>
  <c r="D12" i="23"/>
  <c r="Q43" i="24"/>
  <c r="R43" i="24" s="1"/>
  <c r="P44" i="24" s="1"/>
  <c r="C12" i="23" l="1"/>
  <c r="E12" i="23" s="1"/>
  <c r="F12" i="23" s="1"/>
  <c r="U18" i="23"/>
  <c r="U19" i="23"/>
  <c r="V19" i="23" s="1"/>
  <c r="X19" i="23" s="1"/>
  <c r="U25" i="23"/>
  <c r="V25" i="23" s="1"/>
  <c r="X25" i="23" s="1"/>
  <c r="U26" i="23"/>
  <c r="V26" i="23" s="1"/>
  <c r="X26" i="23" s="1"/>
  <c r="U22" i="23"/>
  <c r="V22" i="23" s="1"/>
  <c r="X22" i="23" s="1"/>
  <c r="U21" i="23"/>
  <c r="V21" i="23" s="1"/>
  <c r="X21" i="23" s="1"/>
  <c r="U23" i="23"/>
  <c r="V23" i="23" s="1"/>
  <c r="X23" i="23" s="1"/>
  <c r="U20" i="23"/>
  <c r="V20" i="23" s="1"/>
  <c r="X20" i="23" s="1"/>
  <c r="U24" i="23"/>
  <c r="V24" i="23" s="1"/>
  <c r="X24" i="23" s="1"/>
  <c r="P2" i="22" a="1"/>
  <c r="Q2" i="22" s="1"/>
  <c r="V18" i="23" l="1"/>
  <c r="X18" i="23" s="1"/>
  <c r="X28" i="23" s="1" a="1"/>
  <c r="X28" i="23" s="1"/>
  <c r="R2" i="22"/>
  <c r="P2" i="22"/>
  <c r="W2" i="22" l="1"/>
  <c r="AN9" i="21" s="1"/>
  <c r="AN12" i="21" s="1"/>
  <c r="AN17" i="21" s="1"/>
  <c r="AN18" i="21" s="1"/>
  <c r="CI26" i="9" l="1"/>
  <c r="CI35" i="9" s="1" a="1"/>
  <c r="CI35" i="9" s="1"/>
  <c r="P14" i="25" l="1" a="1"/>
  <c r="R14" i="25" s="1"/>
  <c r="P6" i="25" a="1"/>
  <c r="P6" i="25" s="1"/>
  <c r="P5" i="25" a="1"/>
  <c r="Q5" i="25" s="1"/>
  <c r="P5" i="25" l="1"/>
  <c r="W5" i="25" s="1"/>
  <c r="AM43" i="25" s="1"/>
  <c r="AG26" i="9" s="1"/>
  <c r="Q6" i="25"/>
  <c r="W6" i="25" s="1"/>
  <c r="AL44" i="25" s="1"/>
  <c r="V26" i="9" s="1"/>
  <c r="V35" i="9" s="1"/>
  <c r="P14" i="25"/>
  <c r="Q14" i="25"/>
  <c r="S14" i="25"/>
  <c r="AK43" i="25" l="1"/>
  <c r="AE26" i="9" s="1"/>
  <c r="AF43" i="25"/>
  <c r="AH43" i="25"/>
  <c r="AB26" i="9" s="1"/>
  <c r="AJ43" i="25"/>
  <c r="AD26" i="9" s="1"/>
  <c r="AG43" i="25"/>
  <c r="AA26" i="9" s="1"/>
  <c r="AL43" i="25"/>
  <c r="AF26" i="9" s="1"/>
  <c r="AM44" i="25"/>
  <c r="W26" i="9" s="1"/>
  <c r="W35" i="9" s="1"/>
  <c r="AJ44" i="25"/>
  <c r="T26" i="9" s="1"/>
  <c r="T35" i="9" s="1"/>
  <c r="AG44" i="25"/>
  <c r="Q26" i="9" s="1"/>
  <c r="Q35" i="9" s="1"/>
  <c r="Y26" i="9"/>
  <c r="Y35" i="9" s="1"/>
  <c r="AI26" i="9"/>
  <c r="AI43" i="25"/>
  <c r="AC26" i="9" s="1"/>
  <c r="AH44" i="25"/>
  <c r="R26" i="9" s="1"/>
  <c r="R35" i="9" s="1"/>
  <c r="AI44" i="25"/>
  <c r="S26" i="9" s="1"/>
  <c r="S35" i="9" s="1"/>
  <c r="AF44" i="25"/>
  <c r="AK44" i="25"/>
  <c r="U26" i="9" s="1"/>
  <c r="U35" i="9" s="1"/>
  <c r="P17" i="25"/>
  <c r="P18" i="25" s="1"/>
  <c r="W13" i="25" s="1"/>
  <c r="AO44" i="25" l="1" a="1"/>
  <c r="AO44" i="25" s="1"/>
  <c r="AP44" i="25" s="1"/>
  <c r="AN44" i="25" a="1"/>
  <c r="AN44" i="25" s="1"/>
  <c r="X26" i="9" s="1"/>
  <c r="X35" i="9" s="1"/>
  <c r="Z26" i="9"/>
  <c r="AN43" i="25" a="1"/>
  <c r="AN43" i="25" s="1"/>
  <c r="AH26" i="9" s="1"/>
  <c r="AO43" i="25" a="1"/>
  <c r="AO43" i="25" s="1"/>
  <c r="AP43" i="25" s="1"/>
  <c r="P26" i="9"/>
  <c r="P35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T11" i="25"/>
  <c r="W9" i="25" s="1"/>
  <c r="W10" i="25" s="1"/>
  <c r="CZ25" i="9" l="1"/>
  <c r="E26" i="9"/>
  <c r="E35" i="9" s="1"/>
  <c r="D26" i="9"/>
  <c r="Y9" i="25"/>
  <c r="D35" i="9" l="1"/>
  <c r="D37" i="9" s="1" a="1"/>
  <c r="D37" i="9" s="1"/>
  <c r="E40" i="2" l="1"/>
  <c r="R37" i="9"/>
  <c r="F53" i="2" s="1"/>
  <c r="T37" i="9"/>
  <c r="H53" i="2" s="1"/>
  <c r="Q37" i="9"/>
  <c r="E53" i="2" s="1"/>
  <c r="P37" i="9"/>
  <c r="D53" i="2" s="1"/>
  <c r="U37" i="9"/>
  <c r="I53" i="2" s="1"/>
  <c r="W37" i="9"/>
  <c r="L53" i="2" s="1"/>
  <c r="V37" i="9"/>
  <c r="K53" i="2" s="1"/>
  <c r="X37" i="9"/>
  <c r="M53" i="2" s="1"/>
  <c r="E37" i="9"/>
  <c r="C4" i="23" s="1"/>
  <c r="S37" i="9"/>
  <c r="G53" i="2" s="1"/>
  <c r="Y37" i="9"/>
  <c r="N53" i="2" s="1"/>
  <c r="C4" i="12" l="1"/>
  <c r="D25" i="31"/>
  <c r="E42" i="2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T11" i="26"/>
  <c r="W9" i="26" s="1"/>
  <c r="DA25" i="9" l="1"/>
  <c r="H26" i="9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F35" i="9"/>
  <c r="F37" i="9" s="1"/>
  <c r="E43" i="2" s="1"/>
  <c r="AM36" i="30" l="1"/>
  <c r="Q9" i="30" s="1" a="1"/>
  <c r="R9" i="30" l="1"/>
  <c r="Q9" i="30"/>
  <c r="AV36" i="30" l="1"/>
  <c r="AP35" i="30"/>
  <c r="W9" i="30"/>
  <c r="W10" i="30" s="1"/>
  <c r="S9" i="30"/>
  <c r="DA27" i="9" l="1"/>
  <c r="C5" i="31"/>
  <c r="C16" i="31" s="1"/>
  <c r="F16" i="31" s="1"/>
  <c r="Y9" i="30"/>
  <c r="G28" i="9"/>
  <c r="G35" i="9" s="1"/>
  <c r="G37" i="9" s="1" a="1"/>
  <c r="G37" i="9" s="1"/>
  <c r="H28" i="9"/>
  <c r="H35" i="9" s="1"/>
  <c r="C15" i="31" l="1"/>
  <c r="F15" i="31" s="1"/>
  <c r="C33" i="31" s="1"/>
  <c r="CW37" i="9"/>
  <c r="M37" i="2" s="1"/>
  <c r="G40" i="2"/>
  <c r="CJ37" i="9"/>
  <c r="G47" i="2" s="1"/>
  <c r="H37" i="9"/>
  <c r="C5" i="23" s="1"/>
  <c r="CI37" i="9"/>
  <c r="G46" i="2" s="1"/>
  <c r="G42" i="2" l="1"/>
  <c r="C8" i="20" s="1"/>
  <c r="C5" i="27"/>
  <c r="C5" i="12"/>
  <c r="C15" i="12" l="1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C16" i="27"/>
  <c r="F12" i="20"/>
  <c r="F15" i="20"/>
  <c r="D17" i="20" l="1"/>
  <c r="D27" i="20" s="1"/>
  <c r="C33" i="23"/>
  <c r="H32" i="20" l="1"/>
  <c r="CC22" i="52"/>
  <c r="J32" i="20"/>
  <c r="D32" i="20"/>
  <c r="E32" i="20"/>
  <c r="I32" i="20"/>
  <c r="G32" i="20"/>
  <c r="F32" i="20"/>
  <c r="CC22" i="9"/>
  <c r="C32" i="20"/>
  <c r="P13" i="30" a="1"/>
  <c r="R13" i="30" s="1"/>
  <c r="K32" i="20" l="1" a="1"/>
  <c r="K32" i="20" s="1"/>
  <c r="L32" i="20" a="1"/>
  <c r="L32" i="20" s="1"/>
  <c r="BT22" i="9"/>
  <c r="BT27" i="9" s="1"/>
  <c r="BT22" i="52"/>
  <c r="BU22" i="9"/>
  <c r="BU23" i="9" s="1"/>
  <c r="BU22" i="52"/>
  <c r="BW22" i="9"/>
  <c r="BW23" i="9" s="1"/>
  <c r="BW22" i="52"/>
  <c r="BX22" i="9"/>
  <c r="BX23" i="9" s="1"/>
  <c r="BX22" i="52"/>
  <c r="BZ22" i="9"/>
  <c r="BZ23" i="9" s="1"/>
  <c r="BZ22" i="52"/>
  <c r="BV22" i="9"/>
  <c r="BV23" i="9" s="1"/>
  <c r="BV22" i="52"/>
  <c r="CA22" i="9"/>
  <c r="CA23" i="9" s="1"/>
  <c r="CA22" i="52"/>
  <c r="CC23" i="52"/>
  <c r="CC35" i="52" s="1" a="1"/>
  <c r="CC35" i="52" s="1"/>
  <c r="CC27" i="52"/>
  <c r="BY22" i="9"/>
  <c r="BY22" i="52"/>
  <c r="CC23" i="9"/>
  <c r="CC27" i="9"/>
  <c r="P13" i="30"/>
  <c r="Q13" i="30"/>
  <c r="BT23" i="9" l="1"/>
  <c r="BU27" i="9"/>
  <c r="BZ27" i="9"/>
  <c r="BZ35" i="9" s="1" a="1"/>
  <c r="BZ35" i="9" s="1"/>
  <c r="BZ37" i="9" s="1"/>
  <c r="K57" i="2" s="1"/>
  <c r="BW27" i="9"/>
  <c r="BW35" i="9" s="1" a="1"/>
  <c r="BW35" i="9" s="1"/>
  <c r="BW37" i="9" s="1"/>
  <c r="G57" i="2" s="1"/>
  <c r="BX27" i="9"/>
  <c r="CA23" i="52"/>
  <c r="CA35" i="52" s="1" a="1"/>
  <c r="CA35" i="52" s="1"/>
  <c r="CA27" i="52"/>
  <c r="BV27" i="9"/>
  <c r="BV35" i="9" s="1" a="1"/>
  <c r="BV35" i="9" s="1"/>
  <c r="BV37" i="9" s="1"/>
  <c r="F57" i="2" s="1"/>
  <c r="BV27" i="52"/>
  <c r="BV23" i="52"/>
  <c r="BV35" i="52" a="1"/>
  <c r="BV35" i="52" s="1"/>
  <c r="BW27" i="52"/>
  <c r="BW23" i="52"/>
  <c r="BW35" i="52" s="1" a="1"/>
  <c r="BW35" i="52" s="1"/>
  <c r="BU27" i="52"/>
  <c r="BU35" i="52" a="1"/>
  <c r="BU35" i="52" s="1"/>
  <c r="BU23" i="52"/>
  <c r="BZ27" i="52"/>
  <c r="BZ23" i="52"/>
  <c r="BZ35" i="52" s="1" a="1"/>
  <c r="BZ35" i="52" s="1"/>
  <c r="BX27" i="52"/>
  <c r="BX23" i="52"/>
  <c r="BX35" i="52" s="1" a="1"/>
  <c r="BX35" i="52" s="1"/>
  <c r="BY27" i="52"/>
  <c r="BY23" i="52"/>
  <c r="BY35" i="52" a="1"/>
  <c r="BY35" i="52" s="1"/>
  <c r="CB22" i="9"/>
  <c r="CB27" i="9" s="1"/>
  <c r="CB22" i="52"/>
  <c r="CA27" i="9"/>
  <c r="BY23" i="9"/>
  <c r="BY27" i="9"/>
  <c r="BT27" i="52"/>
  <c r="BT23" i="52"/>
  <c r="BT35" i="52" s="1" a="1"/>
  <c r="BT35" i="52" s="1"/>
  <c r="CC35" i="9" a="1"/>
  <c r="CC35" i="9" s="1"/>
  <c r="CC37" i="9" s="1"/>
  <c r="N57" i="2" s="1"/>
  <c r="CA35" i="9" a="1"/>
  <c r="CA35" i="9" s="1"/>
  <c r="CA37" i="9" s="1"/>
  <c r="L57" i="2" s="1"/>
  <c r="BU35" i="9" a="1"/>
  <c r="BU35" i="9" s="1"/>
  <c r="BU37" i="9" s="1"/>
  <c r="E57" i="2" s="1"/>
  <c r="BT35" i="9" a="1"/>
  <c r="BT35" i="9" s="1"/>
  <c r="BT37" i="9" s="1"/>
  <c r="D57" i="2" s="1"/>
  <c r="BX35" i="9" a="1"/>
  <c r="BX35" i="9" s="1"/>
  <c r="BX37" i="9" s="1"/>
  <c r="H57" i="2" s="1"/>
  <c r="W13" i="30"/>
  <c r="BY35" i="9" l="1" a="1"/>
  <c r="BY35" i="9" s="1"/>
  <c r="BY37" i="9" s="1"/>
  <c r="I57" i="2" s="1"/>
  <c r="CB23" i="9"/>
  <c r="CB23" i="52"/>
  <c r="CB35" i="52" a="1"/>
  <c r="CB35" i="52" s="1"/>
  <c r="CB27" i="52"/>
  <c r="CB35" i="9" a="1"/>
  <c r="CB35" i="9" s="1"/>
  <c r="CB37" i="9" s="1"/>
  <c r="M57" i="2" s="1"/>
  <c r="W16" i="29"/>
  <c r="W19" i="29" s="1"/>
  <c r="W22" i="29" s="1"/>
  <c r="W14" i="30"/>
  <c r="I28" i="9" s="1"/>
  <c r="W19" i="30"/>
  <c r="W22" i="30" s="1"/>
  <c r="I35" i="9" l="1"/>
  <c r="I37" i="9" s="1"/>
  <c r="G43" i="2" s="1"/>
  <c r="K28" i="9"/>
  <c r="L28" i="9" l="1"/>
  <c r="L35" i="9" s="1"/>
  <c r="K35" i="9"/>
  <c r="K37" i="9" s="1"/>
  <c r="D45" i="2" s="1"/>
  <c r="P5" i="30" a="1"/>
  <c r="Q5" i="30" s="1"/>
  <c r="P6" i="30" a="1"/>
  <c r="P6" i="30" s="1"/>
  <c r="AJ8" i="35" l="1"/>
  <c r="AG8" i="35" s="1"/>
  <c r="L37" i="9"/>
  <c r="D46" i="2" s="1"/>
  <c r="R41" i="9"/>
  <c r="D47" i="2" s="1"/>
  <c r="P5" i="30"/>
  <c r="W5" i="30" s="1"/>
  <c r="AH43" i="30" s="1"/>
  <c r="AL28" i="9" s="1"/>
  <c r="AL35" i="9" s="1"/>
  <c r="AL37" i="9" s="1"/>
  <c r="F55" i="2" s="1"/>
  <c r="Q6" i="30"/>
  <c r="W6" i="30" s="1"/>
  <c r="T35" i="2" l="1"/>
  <c r="AJ43" i="30"/>
  <c r="AN28" i="9" s="1"/>
  <c r="AN35" i="9" s="1"/>
  <c r="AN37" i="9" s="1"/>
  <c r="H55" i="2" s="1"/>
  <c r="AF43" i="30"/>
  <c r="AS28" i="9"/>
  <c r="AS35" i="9" s="1"/>
  <c r="AS37" i="9" s="1"/>
  <c r="N55" i="2" s="1"/>
  <c r="AI43" i="30"/>
  <c r="AM28" i="9" s="1"/>
  <c r="AM35" i="9" s="1"/>
  <c r="AM37" i="9" s="1"/>
  <c r="G55" i="2" s="1"/>
  <c r="AK43" i="30"/>
  <c r="AO28" i="9" s="1"/>
  <c r="AO35" i="9" s="1"/>
  <c r="AO37" i="9" s="1"/>
  <c r="I55" i="2" s="1"/>
  <c r="AM43" i="30"/>
  <c r="AQ28" i="9" s="1"/>
  <c r="AQ35" i="9" s="1"/>
  <c r="AQ37" i="9" s="1"/>
  <c r="L55" i="2" s="1"/>
  <c r="AG43" i="30"/>
  <c r="AK28" i="9" s="1"/>
  <c r="AK35" i="9" s="1"/>
  <c r="AK37" i="9" s="1"/>
  <c r="E55" i="2" s="1"/>
  <c r="AL43" i="30"/>
  <c r="AP28" i="9" s="1"/>
  <c r="AP35" i="9" s="1"/>
  <c r="AP37" i="9" s="1"/>
  <c r="K55" i="2" s="1"/>
  <c r="AG44" i="30"/>
  <c r="AU28" i="9" s="1"/>
  <c r="AU35" i="9" s="1"/>
  <c r="AU37" i="9" s="1"/>
  <c r="E56" i="2" s="1"/>
  <c r="AK44" i="30"/>
  <c r="AY28" i="9" s="1"/>
  <c r="AY35" i="9" s="1"/>
  <c r="AY37" i="9" s="1"/>
  <c r="I56" i="2" s="1"/>
  <c r="AL44" i="30"/>
  <c r="AZ28" i="9" s="1"/>
  <c r="AZ35" i="9" s="1"/>
  <c r="AZ37" i="9" s="1"/>
  <c r="K56" i="2" s="1"/>
  <c r="AI44" i="30"/>
  <c r="AW28" i="9" s="1"/>
  <c r="AW35" i="9" s="1"/>
  <c r="AW37" i="9" s="1"/>
  <c r="G56" i="2" s="1"/>
  <c r="BC28" i="9"/>
  <c r="BC35" i="9" s="1"/>
  <c r="BC37" i="9" s="1"/>
  <c r="N56" i="2" s="1"/>
  <c r="AH44" i="30"/>
  <c r="AV28" i="9" s="1"/>
  <c r="AV35" i="9" s="1"/>
  <c r="AV37" i="9" s="1"/>
  <c r="F56" i="2" s="1"/>
  <c r="AF44" i="30"/>
  <c r="AM44" i="30"/>
  <c r="BA28" i="9" s="1"/>
  <c r="BA35" i="9" s="1"/>
  <c r="BA37" i="9" s="1"/>
  <c r="L56" i="2" s="1"/>
  <c r="AJ44" i="30"/>
  <c r="AX28" i="9" s="1"/>
  <c r="AX35" i="9" s="1"/>
  <c r="AX37" i="9" s="1"/>
  <c r="H56" i="2" s="1"/>
  <c r="AN44" i="30" l="1" a="1"/>
  <c r="AN44" i="30" s="1"/>
  <c r="BB28" i="9" s="1"/>
  <c r="BB35" i="9" s="1"/>
  <c r="BB37" i="9" s="1"/>
  <c r="M56" i="2" s="1"/>
  <c r="AO44" i="30" a="1"/>
  <c r="AO44" i="30" s="1"/>
  <c r="AP44" i="30" s="1"/>
  <c r="AJ28" i="9"/>
  <c r="AJ35" i="9" s="1"/>
  <c r="AJ37" i="9" s="1"/>
  <c r="D55" i="2" s="1"/>
  <c r="AO43" i="30" a="1"/>
  <c r="AO43" i="30" s="1"/>
  <c r="AP43" i="30" s="1"/>
  <c r="AN43" i="30" a="1"/>
  <c r="AN43" i="30" s="1"/>
  <c r="AR28" i="9" s="1"/>
  <c r="AR35" i="9" s="1"/>
  <c r="AR37" i="9" s="1"/>
  <c r="M55" i="2" s="1"/>
  <c r="D22" i="4"/>
  <c r="D22" i="27"/>
  <c r="D22" i="31"/>
  <c r="D22" i="7"/>
  <c r="D22" i="12"/>
  <c r="D22" i="23"/>
  <c r="AT28" i="9"/>
  <c r="AT35" i="9" s="1"/>
  <c r="AT37" i="9" s="1"/>
  <c r="D56" i="2" s="1"/>
  <c r="D26" i="31"/>
  <c r="D27" i="31" s="1"/>
  <c r="D26" i="4"/>
  <c r="D27" i="4" s="1"/>
  <c r="D26" i="12"/>
  <c r="D27" i="12" s="1"/>
  <c r="D26" i="27"/>
  <c r="D27" i="27" s="1"/>
  <c r="D26" i="7"/>
  <c r="D27" i="7" s="1"/>
  <c r="D26" i="23"/>
  <c r="D27" i="23" s="1"/>
  <c r="P5" i="29" l="1" a="1"/>
  <c r="P5" i="29" s="1"/>
  <c r="Q5" i="29" l="1"/>
  <c r="W5" i="29" s="1"/>
  <c r="AL43" i="29" l="1"/>
  <c r="AF28" i="9" s="1"/>
  <c r="AF35" i="9" s="1"/>
  <c r="AF37" i="9" s="1"/>
  <c r="K54" i="2" s="1"/>
  <c r="AJ43" i="29"/>
  <c r="AD28" i="9" s="1"/>
  <c r="AD35" i="9" s="1"/>
  <c r="AD37" i="9" s="1"/>
  <c r="H54" i="2" s="1"/>
  <c r="AG43" i="29"/>
  <c r="AA28" i="9" s="1"/>
  <c r="AA35" i="9" s="1"/>
  <c r="AA37" i="9" s="1"/>
  <c r="E54" i="2" s="1"/>
  <c r="AI28" i="9"/>
  <c r="AI35" i="9" s="1"/>
  <c r="AI37" i="9" s="1"/>
  <c r="N54" i="2" s="1"/>
  <c r="AF43" i="29"/>
  <c r="AK43" i="29"/>
  <c r="AE28" i="9" s="1"/>
  <c r="AE35" i="9" s="1"/>
  <c r="AE37" i="9" s="1"/>
  <c r="I54" i="2" s="1"/>
  <c r="AH43" i="29"/>
  <c r="AB28" i="9" s="1"/>
  <c r="AB35" i="9" s="1"/>
  <c r="AB37" i="9" s="1"/>
  <c r="F54" i="2" s="1"/>
  <c r="AI43" i="29"/>
  <c r="AC28" i="9" s="1"/>
  <c r="AC35" i="9" s="1"/>
  <c r="AC37" i="9" s="1"/>
  <c r="G54" i="2" s="1"/>
  <c r="AM43" i="29"/>
  <c r="AG28" i="9" s="1"/>
  <c r="AG35" i="9" s="1"/>
  <c r="AG37" i="9" s="1"/>
  <c r="L54" i="2" s="1"/>
  <c r="AN43" i="29" l="1" a="1"/>
  <c r="AN43" i="29" s="1"/>
  <c r="AH28" i="9" s="1"/>
  <c r="AH35" i="9" s="1"/>
  <c r="AH37" i="9" s="1"/>
  <c r="M54" i="2" s="1"/>
  <c r="AO43" i="29" a="1"/>
  <c r="AO43" i="29" s="1"/>
  <c r="AP43" i="29" s="1"/>
  <c r="D21" i="23"/>
  <c r="D23" i="23" s="1"/>
  <c r="C29" i="23" s="1"/>
  <c r="C30" i="23" s="1"/>
  <c r="C32" i="23" s="1"/>
  <c r="C35" i="23" s="1"/>
  <c r="D21" i="31"/>
  <c r="D23" i="31" s="1"/>
  <c r="C29" i="31" s="1"/>
  <c r="C30" i="31" s="1"/>
  <c r="C32" i="31" s="1"/>
  <c r="C35" i="31" s="1"/>
  <c r="D21" i="7"/>
  <c r="D23" i="7" s="1"/>
  <c r="C29" i="7" s="1"/>
  <c r="C30" i="7" s="1"/>
  <c r="C32" i="7" s="1"/>
  <c r="C35" i="7" s="1"/>
  <c r="D21" i="27"/>
  <c r="D23" i="27" s="1"/>
  <c r="C29" i="27" s="1"/>
  <c r="C30" i="27" s="1"/>
  <c r="D21" i="4"/>
  <c r="D23" i="4" s="1"/>
  <c r="C29" i="4" s="1"/>
  <c r="C30" i="4" s="1"/>
  <c r="C32" i="4" s="1"/>
  <c r="C35" i="4" s="1"/>
  <c r="D21" i="12"/>
  <c r="D23" i="12" s="1"/>
  <c r="C29" i="12" s="1"/>
  <c r="C30" i="12" s="1"/>
  <c r="C32" i="12" s="1"/>
  <c r="C35" i="12" s="1"/>
  <c r="Z28" i="9"/>
  <c r="Z35" i="9" s="1"/>
  <c r="Z37" i="9" s="1"/>
  <c r="D54" i="2" s="1"/>
  <c r="M39" i="12" l="1"/>
  <c r="BE25" i="9" s="1"/>
  <c r="BD15" i="9" s="1"/>
  <c r="R39" i="12"/>
  <c r="BJ25" i="9" s="1"/>
  <c r="BI15" i="9" s="1"/>
  <c r="G35" i="12"/>
  <c r="L39" i="12"/>
  <c r="O39" i="12"/>
  <c r="BG25" i="9" s="1"/>
  <c r="BF15" i="9" s="1"/>
  <c r="BM25" i="9"/>
  <c r="P39" i="12"/>
  <c r="BH25" i="9" s="1"/>
  <c r="BG15" i="9" s="1"/>
  <c r="Q39" i="12"/>
  <c r="BI25" i="9" s="1"/>
  <c r="BH15" i="9" s="1"/>
  <c r="F35" i="12"/>
  <c r="S39" i="12"/>
  <c r="BK25" i="9" s="1"/>
  <c r="BJ15" i="9" s="1"/>
  <c r="N39" i="12"/>
  <c r="BF25" i="9" s="1"/>
  <c r="BE15" i="9" s="1"/>
  <c r="M39" i="4"/>
  <c r="P39" i="4"/>
  <c r="G35" i="4"/>
  <c r="F35" i="4"/>
  <c r="O39" i="4"/>
  <c r="L39" i="4"/>
  <c r="S39" i="4"/>
  <c r="N39" i="4"/>
  <c r="R39" i="4"/>
  <c r="Q39" i="4"/>
  <c r="BM23" i="9"/>
  <c r="N39" i="7"/>
  <c r="BF24" i="9" s="1"/>
  <c r="BE14" i="9" s="1"/>
  <c r="M39" i="7"/>
  <c r="BE24" i="9" s="1"/>
  <c r="BD14" i="9" s="1"/>
  <c r="S39" i="7"/>
  <c r="BK24" i="9" s="1"/>
  <c r="BJ14" i="9" s="1"/>
  <c r="P39" i="7"/>
  <c r="BH24" i="9" s="1"/>
  <c r="BG14" i="9" s="1"/>
  <c r="R39" i="7"/>
  <c r="BJ24" i="9" s="1"/>
  <c r="BI14" i="9" s="1"/>
  <c r="BM24" i="9"/>
  <c r="Q39" i="7"/>
  <c r="BI24" i="9" s="1"/>
  <c r="BH14" i="9" s="1"/>
  <c r="G35" i="7"/>
  <c r="F35" i="7"/>
  <c r="L39" i="7"/>
  <c r="O39" i="7"/>
  <c r="BG24" i="9" s="1"/>
  <c r="BF14" i="9" s="1"/>
  <c r="L39" i="31"/>
  <c r="N39" i="31"/>
  <c r="BF28" i="9" s="1"/>
  <c r="G35" i="31"/>
  <c r="O39" i="31"/>
  <c r="BG28" i="9" s="1"/>
  <c r="S39" i="31"/>
  <c r="BK28" i="9" s="1"/>
  <c r="R39" i="31"/>
  <c r="BJ28" i="9" s="1"/>
  <c r="F35" i="31"/>
  <c r="M39" i="31"/>
  <c r="BE28" i="9" s="1"/>
  <c r="P39" i="31"/>
  <c r="BH28" i="9" s="1"/>
  <c r="BM28" i="9"/>
  <c r="Q39" i="31"/>
  <c r="BI28" i="9" s="1"/>
  <c r="M39" i="23"/>
  <c r="BE27" i="9" s="1"/>
  <c r="BD17" i="9" s="1"/>
  <c r="R39" i="23"/>
  <c r="BJ27" i="9" s="1"/>
  <c r="BI17" i="9" s="1"/>
  <c r="S39" i="23"/>
  <c r="BK27" i="9" s="1"/>
  <c r="BJ17" i="9" s="1"/>
  <c r="O39" i="23"/>
  <c r="BG27" i="9" s="1"/>
  <c r="BF17" i="9" s="1"/>
  <c r="Q39" i="23"/>
  <c r="BI27" i="9" s="1"/>
  <c r="BH17" i="9" s="1"/>
  <c r="G35" i="23"/>
  <c r="P39" i="23"/>
  <c r="BH27" i="9" s="1"/>
  <c r="BG17" i="9" s="1"/>
  <c r="F35" i="23"/>
  <c r="BM27" i="9"/>
  <c r="L39" i="23"/>
  <c r="N39" i="23"/>
  <c r="BF27" i="9" s="1"/>
  <c r="BE17" i="9" s="1"/>
  <c r="T39" i="31" l="1" a="1"/>
  <c r="T39" i="31" s="1"/>
  <c r="BL28" i="9" s="1"/>
  <c r="U39" i="31" a="1"/>
  <c r="U39" i="31" s="1"/>
  <c r="W39" i="31" s="1"/>
  <c r="T39" i="7" a="1"/>
  <c r="U39" i="7" a="1"/>
  <c r="U39" i="7" s="1"/>
  <c r="W39" i="7" s="1"/>
  <c r="U39" i="12" a="1"/>
  <c r="U39" i="12" s="1"/>
  <c r="W39" i="12" s="1"/>
  <c r="T39" i="12" a="1"/>
  <c r="T39" i="12" s="1"/>
  <c r="BL25" i="9" s="1"/>
  <c r="T39" i="23" a="1"/>
  <c r="T39" i="23" s="1"/>
  <c r="BL27" i="9" s="1"/>
  <c r="BK17" i="9" s="1"/>
  <c r="U39" i="23" a="1"/>
  <c r="U39" i="23" s="1"/>
  <c r="W39" i="23" s="1"/>
  <c r="U39" i="4" a="1"/>
  <c r="U39" i="4" s="1"/>
  <c r="W39" i="4" s="1"/>
  <c r="T39" i="4" a="1"/>
  <c r="T39" i="4" s="1"/>
  <c r="BE23" i="9"/>
  <c r="BD13" i="9" s="1"/>
  <c r="BH23" i="9"/>
  <c r="BG13" i="9" s="1"/>
  <c r="BI23" i="9"/>
  <c r="BH13" i="9" s="1"/>
  <c r="BJ23" i="9"/>
  <c r="BI13" i="9" s="1"/>
  <c r="BF23" i="9"/>
  <c r="BE13" i="9" s="1"/>
  <c r="BK23" i="9"/>
  <c r="BJ13" i="9" s="1"/>
  <c r="BG23" i="9"/>
  <c r="BF13" i="9" s="1"/>
  <c r="BF18" i="9"/>
  <c r="BO28" i="9"/>
  <c r="BN28" i="9"/>
  <c r="BG18" i="9"/>
  <c r="BD28" i="9"/>
  <c r="BN24" i="9"/>
  <c r="BO24" i="9"/>
  <c r="BE18" i="9"/>
  <c r="BD25" i="9"/>
  <c r="BC15" i="9" s="1"/>
  <c r="BO27" i="9"/>
  <c r="BN17" i="9" s="1"/>
  <c r="BN27" i="9"/>
  <c r="BM17" i="9" s="1"/>
  <c r="BL17" i="9"/>
  <c r="BH18" i="9"/>
  <c r="BO25" i="9"/>
  <c r="BN25" i="9"/>
  <c r="BI18" i="9"/>
  <c r="BO23" i="9"/>
  <c r="BN23" i="9"/>
  <c r="BD18" i="9"/>
  <c r="T39" i="7"/>
  <c r="BL24" i="9" s="1"/>
  <c r="BD24" i="9"/>
  <c r="BC14" i="9" s="1"/>
  <c r="BD27" i="9"/>
  <c r="BC17" i="9" s="1"/>
  <c r="BJ18" i="9"/>
  <c r="BD23" i="9"/>
  <c r="BC13" i="9" s="1"/>
  <c r="BL23" i="9" l="1"/>
  <c r="BL14" i="9" a="1"/>
  <c r="BL14" i="9" s="1"/>
  <c r="BK14" i="9" a="1"/>
  <c r="BK14" i="9" s="1"/>
  <c r="BK13" i="9" a="1"/>
  <c r="BK13" i="9" s="1"/>
  <c r="BL13" i="9" a="1"/>
  <c r="BL13" i="9" s="1"/>
  <c r="BL15" i="9" a="1"/>
  <c r="BL15" i="9" s="1"/>
  <c r="BK15" i="9" a="1"/>
  <c r="BK15" i="9" s="1"/>
  <c r="BC18" i="9"/>
  <c r="BL18" i="9" l="1" a="1"/>
  <c r="BL18" i="9" s="1"/>
  <c r="BK18" i="9" a="1"/>
  <c r="BK18" i="9" s="1"/>
  <c r="BM14" i="9"/>
  <c r="BN14" i="9"/>
  <c r="BM15" i="9"/>
  <c r="BN15" i="9"/>
  <c r="BM13" i="9"/>
  <c r="BN13" i="9"/>
  <c r="BN18" i="9" l="1"/>
  <c r="BM18" i="9"/>
  <c r="Q18" i="24"/>
  <c r="T25" i="24" s="1"/>
  <c r="I11" i="24"/>
  <c r="I26" i="24" s="1"/>
  <c r="K49" i="52" s="1"/>
  <c r="Q11" i="28"/>
  <c r="T24" i="28" s="1"/>
  <c r="I11" i="28"/>
  <c r="I26" i="28" s="1"/>
  <c r="J49" i="52" s="1"/>
  <c r="K49" i="9" l="1"/>
  <c r="E25" i="24"/>
  <c r="E25" i="28"/>
  <c r="J49" i="9"/>
  <c r="Q34" i="28"/>
  <c r="T27" i="28" s="1"/>
  <c r="Q26" i="24"/>
  <c r="T26" i="24" s="1"/>
  <c r="Q26" i="28"/>
  <c r="T26" i="28" s="1"/>
  <c r="Q34" i="24"/>
  <c r="T27" i="24" s="1"/>
  <c r="Q18" i="28"/>
  <c r="T25" i="28" s="1"/>
  <c r="S31" i="28" s="1" a="1"/>
  <c r="S31" i="24" l="1" a="1"/>
  <c r="U31" i="24" s="1"/>
  <c r="M49" i="9" a="1"/>
  <c r="M49" i="9" s="1"/>
  <c r="S29" i="24" a="1"/>
  <c r="S29" i="24" s="1"/>
  <c r="T31" i="28"/>
  <c r="S31" i="28"/>
  <c r="U31" i="28"/>
  <c r="S29" i="28" a="1"/>
  <c r="S29" i="28" s="1"/>
  <c r="S31" i="24" l="1"/>
  <c r="T31" i="24"/>
  <c r="S22" i="28"/>
  <c r="I13" i="28" s="1"/>
  <c r="I25" i="28" s="1"/>
  <c r="J48" i="52" s="1"/>
  <c r="S22" i="24" l="1"/>
  <c r="I13" i="24" s="1"/>
  <c r="I25" i="24" s="1"/>
  <c r="K48" i="52" s="1"/>
  <c r="I17" i="28"/>
  <c r="E26" i="28" a="1"/>
  <c r="E26" i="28" s="1"/>
  <c r="I27" i="28"/>
  <c r="J50" i="52" s="1"/>
  <c r="J48" i="9"/>
  <c r="F25" i="28"/>
  <c r="F25" i="24" l="1"/>
  <c r="I27" i="24"/>
  <c r="K50" i="52" s="1"/>
  <c r="E26" i="24" a="1"/>
  <c r="E26" i="24" s="1"/>
  <c r="K48" i="9"/>
  <c r="I17" i="24"/>
  <c r="K42" i="52" s="1"/>
  <c r="J42" i="9"/>
  <c r="J42" i="52"/>
  <c r="E17" i="28"/>
  <c r="F17" i="28"/>
  <c r="I18" i="28"/>
  <c r="M48" i="9" a="1"/>
  <c r="M48" i="9" s="1"/>
  <c r="I29" i="28"/>
  <c r="I30" i="28"/>
  <c r="J53" i="52" s="1"/>
  <c r="I28" i="28"/>
  <c r="J50" i="9"/>
  <c r="I30" i="24"/>
  <c r="K53" i="52" s="1"/>
  <c r="F17" i="24" l="1"/>
  <c r="I18" i="24"/>
  <c r="K43" i="52" s="1"/>
  <c r="I28" i="24"/>
  <c r="K51" i="9" s="1"/>
  <c r="M51" i="9" s="1" a="1"/>
  <c r="M51" i="9" s="1"/>
  <c r="K50" i="9"/>
  <c r="M50" i="9" s="1" a="1"/>
  <c r="M50" i="9" s="1"/>
  <c r="I29" i="24"/>
  <c r="K52" i="52" s="1"/>
  <c r="K42" i="9"/>
  <c r="M42" i="9" s="1" a="1"/>
  <c r="M42" i="9" s="1"/>
  <c r="E17" i="24"/>
  <c r="I19" i="24"/>
  <c r="K44" i="9" s="1"/>
  <c r="K43" i="9"/>
  <c r="M43" i="9" s="1" a="1"/>
  <c r="M43" i="9" s="1"/>
  <c r="I21" i="24"/>
  <c r="K46" i="52" s="1"/>
  <c r="I20" i="24"/>
  <c r="E20" i="24" s="1"/>
  <c r="J51" i="9"/>
  <c r="J51" i="52"/>
  <c r="J52" i="9"/>
  <c r="J52" i="52"/>
  <c r="K52" i="9"/>
  <c r="M52" i="9" s="1" a="1"/>
  <c r="M52" i="9" s="1"/>
  <c r="I21" i="28"/>
  <c r="J46" i="52" s="1"/>
  <c r="J43" i="52"/>
  <c r="I20" i="28"/>
  <c r="J43" i="9"/>
  <c r="I19" i="28"/>
  <c r="E29" i="28"/>
  <c r="I31" i="28"/>
  <c r="E30" i="28" s="1"/>
  <c r="J53" i="9"/>
  <c r="I31" i="24"/>
  <c r="E30" i="24" s="1"/>
  <c r="K53" i="9"/>
  <c r="E28" i="28"/>
  <c r="E28" i="24"/>
  <c r="E29" i="24"/>
  <c r="K51" i="52" l="1"/>
  <c r="I22" i="24"/>
  <c r="E21" i="24" s="1"/>
  <c r="K45" i="9"/>
  <c r="M45" i="9" s="1" a="1"/>
  <c r="M45" i="9" s="1"/>
  <c r="K45" i="52"/>
  <c r="E19" i="24"/>
  <c r="E22" i="24" s="1"/>
  <c r="K44" i="52"/>
  <c r="K46" i="9"/>
  <c r="M46" i="9" s="1" a="1"/>
  <c r="M46" i="9" s="1"/>
  <c r="J45" i="9"/>
  <c r="J45" i="52"/>
  <c r="I22" i="28"/>
  <c r="E21" i="28" s="1"/>
  <c r="J46" i="9"/>
  <c r="J44" i="9"/>
  <c r="M44" i="9" s="1" a="1"/>
  <c r="M44" i="9" s="1"/>
  <c r="J44" i="52"/>
  <c r="E20" i="28"/>
  <c r="E19" i="28"/>
  <c r="M53" i="9" a="1"/>
  <c r="M53" i="9" s="1"/>
  <c r="E31" i="24"/>
  <c r="E31" i="28"/>
  <c r="E22" i="28" l="1"/>
  <c r="J47" i="9" s="1"/>
  <c r="J54" i="9"/>
  <c r="J54" i="52"/>
  <c r="K54" i="9"/>
  <c r="K54" i="52"/>
  <c r="K47" i="9"/>
  <c r="K47" i="52"/>
  <c r="M54" i="9" a="1"/>
  <c r="M54" i="9" s="1"/>
  <c r="M60" i="9" s="1" a="1"/>
  <c r="M60" i="9" s="1"/>
  <c r="M64" i="9" s="1"/>
  <c r="H101" i="2" s="1"/>
  <c r="M47" i="9" a="1"/>
  <c r="M47" i="9" s="1"/>
  <c r="N41" i="9" s="1"/>
  <c r="M87" i="2" s="1"/>
  <c r="J47" i="52" l="1"/>
  <c r="N53" i="9"/>
  <c r="M100" i="2" s="1"/>
  <c r="N51" i="9"/>
  <c r="M98" i="2" s="1"/>
  <c r="N52" i="9"/>
  <c r="M99" i="2" s="1"/>
  <c r="N50" i="9"/>
  <c r="M97" i="2" s="1"/>
  <c r="N48" i="9"/>
  <c r="M95" i="2" s="1"/>
  <c r="N49" i="9"/>
  <c r="M96" i="2" s="1"/>
  <c r="N46" i="9"/>
  <c r="M92" i="2" s="1"/>
  <c r="N42" i="9"/>
  <c r="M88" i="2" s="1"/>
  <c r="N45" i="9"/>
  <c r="M91" i="2" s="1"/>
  <c r="N44" i="9"/>
  <c r="M90" i="2" s="1"/>
  <c r="N43" i="9"/>
  <c r="M89" i="2" s="1"/>
  <c r="M59" i="9" a="1"/>
  <c r="M59" i="9" s="1"/>
  <c r="M63" i="9" s="1"/>
  <c r="H93" i="2" s="1"/>
  <c r="DA22" i="9"/>
  <c r="DA35" i="9" s="1" a="1"/>
  <c r="DA35" i="9" s="1"/>
  <c r="AL34" i="1"/>
  <c r="AL34" i="3"/>
  <c r="AL36" i="3"/>
  <c r="CX22" i="9" l="1"/>
  <c r="CX35" i="52" a="1"/>
  <c r="CX35" i="52" s="1"/>
  <c r="CZ22" i="9"/>
  <c r="CZ35" i="9" s="1" a="1"/>
  <c r="CZ35" i="9" s="1"/>
  <c r="CY22" i="9"/>
  <c r="CY35" i="9" s="1" a="1"/>
  <c r="CY35" i="9" s="1"/>
  <c r="CU37" i="9" s="1"/>
  <c r="M46" i="2" s="1"/>
  <c r="CY35" i="52" a="1"/>
  <c r="CY35" i="52" s="1"/>
  <c r="CX37" i="52" l="1" a="1"/>
  <c r="CX37" i="52" s="1"/>
  <c r="L46" i="51" s="1"/>
  <c r="CS38" i="9"/>
  <c r="M45" i="2" s="1"/>
  <c r="CS37" i="9"/>
  <c r="M44" i="2" s="1"/>
  <c r="DA37" i="9"/>
  <c r="M47" i="2" s="1"/>
  <c r="AA1" i="25" a="1"/>
  <c r="AB1" i="25" s="1"/>
  <c r="D15" i="25" s="1"/>
  <c r="W38" i="25" s="1"/>
  <c r="AA1" i="25" l="1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AS34" i="25"/>
  <c r="AC116" i="19"/>
  <c r="AC121" i="19" s="1"/>
  <c r="AC122" i="19" s="1"/>
  <c r="CX25" i="9" l="1"/>
  <c r="CX35" i="9" s="1" a="1"/>
  <c r="CX35" i="9" s="1"/>
  <c r="CX37" i="9" s="1" a="1"/>
  <c r="CX37" i="9" s="1"/>
  <c r="L41" i="2" s="1"/>
  <c r="CV25" i="9"/>
  <c r="CV35" i="9" s="1" a="1"/>
  <c r="CV35" i="9" s="1"/>
  <c r="CV37" i="9" s="1"/>
  <c r="L37" i="2" s="1"/>
  <c r="CZ37" i="9" l="1"/>
  <c r="L47" i="2" s="1"/>
  <c r="CR37" i="9"/>
  <c r="L44" i="2" s="1"/>
  <c r="CT37" i="9"/>
  <c r="L46" i="2" s="1"/>
  <c r="CR38" i="9"/>
  <c r="L45" i="2" s="1"/>
  <c r="Q11" i="46" l="1" a="1"/>
  <c r="Q11" i="46" s="1"/>
  <c r="AW35" i="46" l="1"/>
  <c r="S11" i="46"/>
  <c r="AY35" i="46" s="1"/>
  <c r="R11" i="46"/>
  <c r="AX35" i="46" s="1"/>
  <c r="AZ35" i="46" l="1"/>
  <c r="AR36" i="46" s="1"/>
  <c r="T11" i="46"/>
  <c r="W9" i="46" s="1"/>
  <c r="C104" i="46" l="1"/>
  <c r="C115" i="46"/>
  <c r="H83" i="46"/>
  <c r="H90" i="46"/>
  <c r="H82" i="46"/>
  <c r="CZ22" i="52"/>
  <c r="CZ35" i="52" s="1" a="1"/>
  <c r="CZ35" i="52" s="1"/>
  <c r="Y9" i="46"/>
  <c r="E23" i="52"/>
  <c r="E35" i="52" s="1"/>
  <c r="H88" i="46" l="1"/>
  <c r="W10" i="46" s="1"/>
  <c r="D23" i="52" s="1"/>
  <c r="D35" i="52" s="1"/>
  <c r="D37" i="52" s="1" a="1"/>
  <c r="D37" i="52" s="1"/>
  <c r="E45" i="51" s="1"/>
  <c r="K116" i="46" a="1"/>
  <c r="K116" i="46" s="1"/>
  <c r="AD44" i="46" s="1"/>
  <c r="AM44" i="46" s="1"/>
  <c r="W23" i="52" s="1"/>
  <c r="W35" i="52" s="1"/>
  <c r="H116" i="46" a="1"/>
  <c r="H116" i="46" s="1"/>
  <c r="AA44" i="46" s="1"/>
  <c r="AJ44" i="46" s="1"/>
  <c r="T23" i="52" s="1"/>
  <c r="T35" i="52" s="1"/>
  <c r="D116" i="46" a="1"/>
  <c r="D116" i="46" s="1"/>
  <c r="W44" i="46" s="1"/>
  <c r="AF44" i="46" s="1"/>
  <c r="J116" i="46" a="1"/>
  <c r="J116" i="46" s="1"/>
  <c r="AC44" i="46" s="1"/>
  <c r="AL44" i="46" s="1"/>
  <c r="V23" i="52" s="1"/>
  <c r="V35" i="52" s="1"/>
  <c r="E116" i="46" a="1"/>
  <c r="E116" i="46" s="1"/>
  <c r="X44" i="46" s="1"/>
  <c r="AG44" i="46" s="1"/>
  <c r="Q23" i="52" s="1"/>
  <c r="Q35" i="52" s="1"/>
  <c r="G116" i="46" a="1"/>
  <c r="G116" i="46" s="1"/>
  <c r="Z44" i="46" s="1"/>
  <c r="AI44" i="46" s="1"/>
  <c r="S23" i="52" s="1"/>
  <c r="S35" i="52" s="1"/>
  <c r="F116" i="46" a="1"/>
  <c r="F116" i="46" s="1"/>
  <c r="Y44" i="46" s="1"/>
  <c r="AH44" i="46" s="1"/>
  <c r="R23" i="52" s="1"/>
  <c r="R35" i="52" s="1"/>
  <c r="I116" i="46" a="1"/>
  <c r="I116" i="46" s="1"/>
  <c r="AB44" i="46" s="1"/>
  <c r="AK44" i="46" s="1"/>
  <c r="U23" i="52" s="1"/>
  <c r="U35" i="52" s="1"/>
  <c r="C116" i="46" a="1"/>
  <c r="C116" i="46" s="1"/>
  <c r="I105" i="46" a="1"/>
  <c r="I105" i="46" s="1"/>
  <c r="AB43" i="46" s="1"/>
  <c r="AK43" i="46" s="1"/>
  <c r="AE23" i="52" s="1"/>
  <c r="AE35" i="52" s="1"/>
  <c r="J105" i="46" a="1"/>
  <c r="J105" i="46" s="1"/>
  <c r="AC43" i="46" s="1"/>
  <c r="AL43" i="46" s="1"/>
  <c r="AF23" i="52" s="1"/>
  <c r="AF35" i="52" s="1"/>
  <c r="E105" i="46" a="1"/>
  <c r="E105" i="46" s="1"/>
  <c r="X43" i="46" s="1"/>
  <c r="AG43" i="46" s="1"/>
  <c r="AA23" i="52" s="1"/>
  <c r="AA35" i="52" s="1"/>
  <c r="G105" i="46" a="1"/>
  <c r="G105" i="46" s="1"/>
  <c r="Z43" i="46" s="1"/>
  <c r="AI43" i="46" s="1"/>
  <c r="AC23" i="52" s="1"/>
  <c r="AC35" i="52" s="1"/>
  <c r="AC37" i="52" s="1"/>
  <c r="G59" i="51" s="1"/>
  <c r="D105" i="46" a="1"/>
  <c r="D105" i="46" s="1"/>
  <c r="W43" i="46" s="1"/>
  <c r="AF43" i="46" s="1"/>
  <c r="H105" i="46" a="1"/>
  <c r="H105" i="46" s="1"/>
  <c r="AA43" i="46" s="1"/>
  <c r="AJ43" i="46" s="1"/>
  <c r="AD23" i="52" s="1"/>
  <c r="AD35" i="52" s="1"/>
  <c r="AD37" i="52" s="1"/>
  <c r="H59" i="51" s="1"/>
  <c r="K105" i="46" a="1"/>
  <c r="K105" i="46" s="1"/>
  <c r="AD43" i="46" s="1"/>
  <c r="AM43" i="46" s="1"/>
  <c r="AG23" i="52" s="1"/>
  <c r="AG35" i="52" s="1"/>
  <c r="AG37" i="52" s="1"/>
  <c r="L59" i="51" s="1"/>
  <c r="C105" i="46" a="1"/>
  <c r="C105" i="46" s="1"/>
  <c r="F105" i="46" a="1"/>
  <c r="F105" i="46" s="1"/>
  <c r="Y43" i="46" s="1"/>
  <c r="AH43" i="46" s="1"/>
  <c r="AB23" i="52" s="1"/>
  <c r="AB35" i="52" s="1"/>
  <c r="AB37" i="52" s="1"/>
  <c r="F59" i="51" s="1"/>
  <c r="Q11" i="47" a="1"/>
  <c r="Q11" i="47" s="1"/>
  <c r="AA37" i="52" l="1"/>
  <c r="E59" i="51" s="1"/>
  <c r="AF37" i="52"/>
  <c r="K59" i="51" s="1"/>
  <c r="AE37" i="52"/>
  <c r="I59" i="51" s="1"/>
  <c r="CR38" i="52"/>
  <c r="L50" i="51" s="1"/>
  <c r="U37" i="52"/>
  <c r="I58" i="51" s="1"/>
  <c r="AI37" i="52"/>
  <c r="N59" i="51" s="1"/>
  <c r="D21" i="48" s="1"/>
  <c r="R37" i="52"/>
  <c r="F58" i="51" s="1"/>
  <c r="CT37" i="52"/>
  <c r="L51" i="51" s="1"/>
  <c r="S37" i="52"/>
  <c r="G58" i="51" s="1"/>
  <c r="CZ37" i="52"/>
  <c r="L52" i="51" s="1"/>
  <c r="Q37" i="52"/>
  <c r="E58" i="51" s="1"/>
  <c r="Y37" i="52"/>
  <c r="N58" i="51" s="1"/>
  <c r="D25" i="48" s="1"/>
  <c r="V37" i="52"/>
  <c r="K58" i="51" s="1"/>
  <c r="CV37" i="52"/>
  <c r="L42" i="51" s="1"/>
  <c r="CR37" i="52"/>
  <c r="L49" i="51" s="1"/>
  <c r="E37" i="52"/>
  <c r="E47" i="51" s="1"/>
  <c r="T37" i="52"/>
  <c r="H58" i="51" s="1"/>
  <c r="W37" i="52"/>
  <c r="L58" i="51" s="1"/>
  <c r="Z23" i="52"/>
  <c r="Z35" i="52" s="1"/>
  <c r="Z37" i="52" s="1"/>
  <c r="D59" i="51" s="1"/>
  <c r="AO43" i="46" a="1"/>
  <c r="AO43" i="46" s="1"/>
  <c r="AP43" i="46" s="1"/>
  <c r="AN43" i="46"/>
  <c r="AH23" i="52" s="1"/>
  <c r="AH35" i="52" s="1"/>
  <c r="AH37" i="52" s="1"/>
  <c r="M59" i="51" s="1"/>
  <c r="P23" i="52"/>
  <c r="P35" i="52" s="1"/>
  <c r="P37" i="52" s="1"/>
  <c r="D58" i="51" s="1"/>
  <c r="AO44" i="46" a="1"/>
  <c r="AO44" i="46" s="1"/>
  <c r="AP44" i="46" s="1"/>
  <c r="AN44" i="46"/>
  <c r="X23" i="52" s="1"/>
  <c r="X35" i="52" s="1"/>
  <c r="X37" i="52" s="1"/>
  <c r="M58" i="51" s="1"/>
  <c r="AW35" i="47"/>
  <c r="R11" i="47"/>
  <c r="AX35" i="47" s="1"/>
  <c r="S11" i="47"/>
  <c r="AY35" i="47" s="1"/>
  <c r="C4" i="48" l="1"/>
  <c r="AZ35" i="47"/>
  <c r="AR36" i="47" s="1"/>
  <c r="DA22" i="52" s="1"/>
  <c r="DA35" i="52" s="1" a="1"/>
  <c r="DA35" i="52" s="1"/>
  <c r="T11" i="47"/>
  <c r="W9" i="47" s="1"/>
  <c r="P15" i="46" a="1"/>
  <c r="P15" i="46" s="1"/>
  <c r="C115" i="47" l="1"/>
  <c r="C104" i="47"/>
  <c r="H83" i="47"/>
  <c r="H90" i="47"/>
  <c r="H82" i="47"/>
  <c r="Y9" i="47"/>
  <c r="H23" i="52"/>
  <c r="H35" i="52" s="1"/>
  <c r="S15" i="46"/>
  <c r="Q15" i="46"/>
  <c r="R15" i="46"/>
  <c r="H88" i="47" l="1"/>
  <c r="W10" i="47" s="1"/>
  <c r="G23" i="52" s="1"/>
  <c r="G35" i="52" s="1"/>
  <c r="G105" i="47" a="1"/>
  <c r="G105" i="47" s="1"/>
  <c r="Z43" i="47" s="1"/>
  <c r="AI43" i="47" s="1"/>
  <c r="AM23" i="52" s="1"/>
  <c r="AM35" i="52" s="1"/>
  <c r="AM37" i="52" s="1"/>
  <c r="G60" i="51" s="1"/>
  <c r="H105" i="47" a="1"/>
  <c r="H105" i="47" s="1"/>
  <c r="AA43" i="47" s="1"/>
  <c r="AJ43" i="47" s="1"/>
  <c r="AN23" i="52" s="1"/>
  <c r="AN35" i="52" s="1"/>
  <c r="AN37" i="52" s="1"/>
  <c r="H60" i="51" s="1"/>
  <c r="E105" i="47" a="1"/>
  <c r="E105" i="47" s="1"/>
  <c r="X43" i="47" s="1"/>
  <c r="AG43" i="47" s="1"/>
  <c r="AK23" i="52" s="1"/>
  <c r="AK35" i="52" s="1"/>
  <c r="AK37" i="52" s="1"/>
  <c r="E60" i="51" s="1"/>
  <c r="J105" i="47" a="1"/>
  <c r="J105" i="47" s="1"/>
  <c r="AC43" i="47" s="1"/>
  <c r="AL43" i="47" s="1"/>
  <c r="AP23" i="52" s="1"/>
  <c r="AP35" i="52" s="1"/>
  <c r="AP37" i="52" s="1"/>
  <c r="K60" i="51" s="1"/>
  <c r="F105" i="47" a="1"/>
  <c r="F105" i="47" s="1"/>
  <c r="Y43" i="47" s="1"/>
  <c r="AH43" i="47" s="1"/>
  <c r="AL23" i="52" s="1"/>
  <c r="AL35" i="52" s="1"/>
  <c r="AL37" i="52" s="1"/>
  <c r="F60" i="51" s="1"/>
  <c r="I105" i="47" a="1"/>
  <c r="I105" i="47" s="1"/>
  <c r="AB43" i="47" s="1"/>
  <c r="AK43" i="47" s="1"/>
  <c r="AO23" i="52" s="1"/>
  <c r="AO35" i="52" s="1"/>
  <c r="AO37" i="52" s="1"/>
  <c r="I60" i="51" s="1"/>
  <c r="C105" i="47" a="1"/>
  <c r="C105" i="47" s="1"/>
  <c r="D105" i="47" a="1"/>
  <c r="D105" i="47" s="1"/>
  <c r="W43" i="47" s="1"/>
  <c r="AF43" i="47" s="1"/>
  <c r="K105" i="47" a="1"/>
  <c r="K105" i="47" s="1"/>
  <c r="AD43" i="47" s="1"/>
  <c r="AM43" i="47" s="1"/>
  <c r="AQ23" i="52" s="1"/>
  <c r="AQ35" i="52" s="1"/>
  <c r="AQ37" i="52" s="1"/>
  <c r="L60" i="51" s="1"/>
  <c r="D116" i="47" a="1"/>
  <c r="D116" i="47" s="1"/>
  <c r="W44" i="47" s="1"/>
  <c r="AF44" i="47" s="1"/>
  <c r="E116" i="47" a="1"/>
  <c r="E116" i="47" s="1"/>
  <c r="X44" i="47" s="1"/>
  <c r="AG44" i="47" s="1"/>
  <c r="AU23" i="52" s="1"/>
  <c r="AU35" i="52" s="1"/>
  <c r="AU37" i="52" s="1"/>
  <c r="E61" i="51" s="1"/>
  <c r="G116" i="47" a="1"/>
  <c r="G116" i="47" s="1"/>
  <c r="Z44" i="47" s="1"/>
  <c r="AI44" i="47" s="1"/>
  <c r="AW23" i="52" s="1"/>
  <c r="AW35" i="52" s="1"/>
  <c r="AW37" i="52" s="1"/>
  <c r="G61" i="51" s="1"/>
  <c r="F116" i="47" a="1"/>
  <c r="F116" i="47" s="1"/>
  <c r="Y44" i="47" s="1"/>
  <c r="AH44" i="47" s="1"/>
  <c r="AV23" i="52" s="1"/>
  <c r="AV35" i="52" s="1"/>
  <c r="AV37" i="52" s="1"/>
  <c r="F61" i="51" s="1"/>
  <c r="H116" i="47" a="1"/>
  <c r="H116" i="47" s="1"/>
  <c r="AA44" i="47" s="1"/>
  <c r="AJ44" i="47" s="1"/>
  <c r="AX23" i="52" s="1"/>
  <c r="AX35" i="52" s="1"/>
  <c r="AX37" i="52" s="1"/>
  <c r="H61" i="51" s="1"/>
  <c r="C116" i="47" a="1"/>
  <c r="C116" i="47" s="1"/>
  <c r="I116" i="47" a="1"/>
  <c r="I116" i="47" s="1"/>
  <c r="AB44" i="47" s="1"/>
  <c r="AK44" i="47" s="1"/>
  <c r="AY23" i="52" s="1"/>
  <c r="AY35" i="52" s="1"/>
  <c r="AY37" i="52" s="1"/>
  <c r="I61" i="51" s="1"/>
  <c r="J116" i="47" a="1"/>
  <c r="J116" i="47" s="1"/>
  <c r="AC44" i="47" s="1"/>
  <c r="AL44" i="47" s="1"/>
  <c r="AZ23" i="52" s="1"/>
  <c r="AZ35" i="52" s="1"/>
  <c r="AZ37" i="52" s="1"/>
  <c r="K61" i="51" s="1"/>
  <c r="K116" i="47" a="1"/>
  <c r="K116" i="47" s="1"/>
  <c r="AD44" i="47" s="1"/>
  <c r="AM44" i="47" s="1"/>
  <c r="BA23" i="52" s="1"/>
  <c r="BA35" i="52" s="1"/>
  <c r="BA37" i="52" s="1"/>
  <c r="L61" i="51" s="1"/>
  <c r="G37" i="52" a="1"/>
  <c r="G37" i="52" s="1"/>
  <c r="G45" i="51" s="1"/>
  <c r="BT37" i="52"/>
  <c r="BW37" i="52"/>
  <c r="H37" i="52"/>
  <c r="BX37" i="52"/>
  <c r="CS37" i="52"/>
  <c r="M49" i="51" s="1"/>
  <c r="CB37" i="52"/>
  <c r="CS38" i="52"/>
  <c r="M50" i="51" s="1"/>
  <c r="BV37" i="52"/>
  <c r="BY37" i="52"/>
  <c r="I37" i="52"/>
  <c r="G48" i="51" s="1"/>
  <c r="BZ37" i="52"/>
  <c r="CA37" i="52"/>
  <c r="CC37" i="52"/>
  <c r="CW37" i="52"/>
  <c r="M42" i="51" s="1"/>
  <c r="CU37" i="52"/>
  <c r="M51" i="51" s="1"/>
  <c r="BU37" i="52"/>
  <c r="CJ37" i="52"/>
  <c r="G52" i="51" s="1"/>
  <c r="DA37" i="52"/>
  <c r="M52" i="51" s="1"/>
  <c r="P18" i="46"/>
  <c r="P19" i="46" s="1"/>
  <c r="AJ23" i="52" l="1"/>
  <c r="AJ35" i="52" s="1"/>
  <c r="AJ37" i="52" s="1"/>
  <c r="D60" i="51" s="1"/>
  <c r="AO43" i="47" a="1"/>
  <c r="AO43" i="47" s="1"/>
  <c r="AN43" i="47" a="1"/>
  <c r="AN43" i="47" s="1"/>
  <c r="AR23" i="52" s="1"/>
  <c r="AR35" i="52" s="1"/>
  <c r="AR37" i="52" s="1"/>
  <c r="M60" i="51" s="1"/>
  <c r="AT23" i="52"/>
  <c r="AT35" i="52" s="1"/>
  <c r="AT37" i="52" s="1"/>
  <c r="D61" i="51" s="1"/>
  <c r="AN44" i="47" a="1"/>
  <c r="AN44" i="47" s="1"/>
  <c r="BB23" i="52" s="1"/>
  <c r="BB35" i="52" s="1"/>
  <c r="BB37" i="52" s="1"/>
  <c r="M61" i="51" s="1"/>
  <c r="AO44" i="47" a="1"/>
  <c r="AO44" i="47" s="1"/>
  <c r="G47" i="51"/>
  <c r="C5" i="48"/>
  <c r="P20" i="46"/>
  <c r="W13" i="46" s="1"/>
  <c r="W19" i="46" s="1"/>
  <c r="W22" i="46" s="1"/>
  <c r="AS23" i="52" l="1"/>
  <c r="AS35" i="52" s="1"/>
  <c r="AS37" i="52" s="1"/>
  <c r="N60" i="51" s="1"/>
  <c r="D22" i="48" s="1"/>
  <c r="D23" i="48" s="1"/>
  <c r="AP43" i="47"/>
  <c r="BC23" i="52"/>
  <c r="BC35" i="52" s="1"/>
  <c r="BC37" i="52" s="1"/>
  <c r="N61" i="51" s="1"/>
  <c r="D26" i="48" s="1"/>
  <c r="D27" i="48" s="1"/>
  <c r="AP44" i="47"/>
  <c r="W14" i="46"/>
  <c r="C16" i="48"/>
  <c r="C15" i="48"/>
  <c r="AN11" i="46" l="1"/>
  <c r="AN16" i="46" s="1"/>
  <c r="AN18" i="46" s="1"/>
  <c r="CI22" i="52" s="1"/>
  <c r="CI35" i="52" s="1" a="1"/>
  <c r="CI35" i="52" s="1"/>
  <c r="CI37" i="52" s="1"/>
  <c r="G51" i="51" s="1"/>
  <c r="F23" i="52"/>
  <c r="K23" i="52" s="1"/>
  <c r="K35" i="52" s="1"/>
  <c r="K37" i="52" s="1"/>
  <c r="D50" i="51" s="1"/>
  <c r="AJ8" i="60" s="1"/>
  <c r="AG8" i="60" s="1"/>
  <c r="T36" i="51" s="1"/>
  <c r="C29" i="48"/>
  <c r="C30" i="48" s="1"/>
  <c r="F35" i="52"/>
  <c r="F37" i="52" s="1"/>
  <c r="E48" i="51" s="1"/>
  <c r="L23" i="52" l="1"/>
  <c r="L35" i="52" s="1"/>
  <c r="L37" i="52" s="1"/>
  <c r="D51" i="51" s="1"/>
  <c r="R41" i="52" l="1"/>
  <c r="D52" i="51" s="1"/>
  <c r="AR116" i="59" a="1"/>
  <c r="AR116" i="59" s="1"/>
  <c r="AJ5" i="26" a="1"/>
  <c r="AK5" i="26" s="1"/>
  <c r="L29" i="27" a="1"/>
  <c r="L29" i="27" s="1"/>
  <c r="C11" i="27" l="1"/>
  <c r="AL5" i="26"/>
  <c r="AJ5" i="26"/>
  <c r="AS116" i="59"/>
  <c r="AT116" i="59" s="1"/>
  <c r="AR121" i="59" s="1"/>
  <c r="AR122" i="59" s="1"/>
  <c r="M29" i="27"/>
  <c r="D11" i="27" s="1"/>
  <c r="R26" i="27" l="1"/>
  <c r="R18" i="27"/>
  <c r="R21" i="27"/>
  <c r="R19" i="27"/>
  <c r="F15" i="27"/>
  <c r="F16" i="27"/>
  <c r="R22" i="27"/>
  <c r="R24" i="27"/>
  <c r="R20" i="27"/>
  <c r="R25" i="27"/>
  <c r="R23" i="27"/>
  <c r="S21" i="27" l="1"/>
  <c r="S18" i="27"/>
  <c r="S23" i="27"/>
  <c r="S25" i="27"/>
  <c r="S20" i="27"/>
  <c r="S24" i="27"/>
  <c r="S22" i="27"/>
  <c r="S19" i="27"/>
  <c r="S26" i="27"/>
  <c r="U28" i="27" l="1" a="1"/>
  <c r="D12" i="27" l="1"/>
  <c r="U28" i="27"/>
  <c r="U24" i="27" l="1"/>
  <c r="V24" i="27" s="1"/>
  <c r="X24" i="27" s="1"/>
  <c r="U18" i="27"/>
  <c r="V18" i="27" s="1"/>
  <c r="X18" i="27" s="1"/>
  <c r="U20" i="27"/>
  <c r="V20" i="27" s="1"/>
  <c r="X20" i="27" s="1"/>
  <c r="C12" i="27"/>
  <c r="E12" i="27" s="1"/>
  <c r="F12" i="27" s="1"/>
  <c r="U19" i="27"/>
  <c r="V19" i="27" s="1"/>
  <c r="X19" i="27" s="1"/>
  <c r="U23" i="27"/>
  <c r="V23" i="27" s="1"/>
  <c r="X23" i="27" s="1"/>
  <c r="U22" i="27"/>
  <c r="V22" i="27" s="1"/>
  <c r="X22" i="27" s="1"/>
  <c r="U21" i="27"/>
  <c r="V21" i="27" s="1"/>
  <c r="X21" i="27" s="1"/>
  <c r="U26" i="27"/>
  <c r="V26" i="27" s="1"/>
  <c r="X26" i="27" s="1"/>
  <c r="U25" i="27"/>
  <c r="V25" i="27" s="1"/>
  <c r="X25" i="27" s="1"/>
  <c r="H16" i="27" l="1"/>
  <c r="H15" i="27"/>
  <c r="X28" i="27" a="1"/>
  <c r="X28" i="27" s="1"/>
  <c r="C33" i="27" l="1"/>
  <c r="C32" i="27"/>
  <c r="C35" i="27" s="1"/>
  <c r="G35" i="27" l="1"/>
  <c r="F35" i="27"/>
  <c r="M39" i="27"/>
  <c r="BE26" i="9" s="1"/>
  <c r="Q39" i="27"/>
  <c r="BI26" i="9" s="1"/>
  <c r="P39" i="27"/>
  <c r="BH26" i="9" s="1"/>
  <c r="O39" i="27"/>
  <c r="BG26" i="9" s="1"/>
  <c r="R39" i="27"/>
  <c r="BJ26" i="9" s="1"/>
  <c r="BM26" i="9"/>
  <c r="BM35" i="9" s="1" a="1"/>
  <c r="BM35" i="9" s="1"/>
  <c r="BM37" i="9" s="1"/>
  <c r="N62" i="2" s="1"/>
  <c r="N39" i="27"/>
  <c r="BF26" i="9" s="1"/>
  <c r="S39" i="27"/>
  <c r="BK26" i="9" s="1"/>
  <c r="L39" i="27"/>
  <c r="BJ16" i="9" l="1"/>
  <c r="BK35" i="9" a="1"/>
  <c r="BK35" i="9" s="1"/>
  <c r="BK37" i="9" s="1"/>
  <c r="L62" i="2" s="1"/>
  <c r="BF16" i="9"/>
  <c r="BG35" i="9" a="1"/>
  <c r="BG35" i="9" s="1"/>
  <c r="BG37" i="9" s="1"/>
  <c r="G62" i="2" s="1"/>
  <c r="BG16" i="9"/>
  <c r="BH35" i="9" a="1"/>
  <c r="BH35" i="9" s="1"/>
  <c r="BH37" i="9" s="1"/>
  <c r="H62" i="2" s="1"/>
  <c r="BE16" i="9"/>
  <c r="BF35" i="9" a="1"/>
  <c r="BF35" i="9" s="1"/>
  <c r="BF37" i="9" s="1"/>
  <c r="F62" i="2" s="1"/>
  <c r="BH16" i="9"/>
  <c r="BI35" i="9" a="1"/>
  <c r="BI35" i="9" s="1"/>
  <c r="BI37" i="9" s="1"/>
  <c r="I62" i="2" s="1"/>
  <c r="BI16" i="9"/>
  <c r="BJ35" i="9" a="1"/>
  <c r="BJ35" i="9" s="1"/>
  <c r="BJ37" i="9" s="1"/>
  <c r="K62" i="2" s="1"/>
  <c r="BD16" i="9"/>
  <c r="BE35" i="9" a="1"/>
  <c r="BE35" i="9" s="1"/>
  <c r="BE37" i="9" s="1"/>
  <c r="E62" i="2" s="1"/>
  <c r="T39" i="27" a="1"/>
  <c r="T39" i="27" s="1"/>
  <c r="BL26" i="9" s="1"/>
  <c r="U39" i="27" a="1"/>
  <c r="U39" i="27" s="1"/>
  <c r="W39" i="27" s="1"/>
  <c r="BD26" i="9"/>
  <c r="BN26" i="9"/>
  <c r="BL16" i="9"/>
  <c r="BO26" i="9"/>
  <c r="BK16" i="9" l="1"/>
  <c r="BL35" i="9" a="1"/>
  <c r="BL35" i="9" s="1"/>
  <c r="BL37" i="9" s="1"/>
  <c r="M62" i="2" s="1"/>
  <c r="BN16" i="9"/>
  <c r="BO35" i="9" a="1"/>
  <c r="BO35" i="9" s="1"/>
  <c r="BO37" i="9" s="1"/>
  <c r="N64" i="2" s="1"/>
  <c r="BM16" i="9"/>
  <c r="BN35" i="9" a="1"/>
  <c r="BN35" i="9" s="1"/>
  <c r="BN37" i="9" s="1"/>
  <c r="N63" i="2" s="1"/>
  <c r="BC16" i="9"/>
  <c r="BD35" i="9" a="1"/>
  <c r="BD35" i="9" s="1"/>
  <c r="BD37" i="9" s="1"/>
  <c r="D62" i="2" s="1"/>
  <c r="L42" i="48" a="1"/>
  <c r="L42" i="48" s="1"/>
  <c r="C11" i="48" l="1"/>
  <c r="M42" i="48"/>
  <c r="D11" i="48" s="1"/>
  <c r="R27" i="48" l="1"/>
  <c r="S27" i="48" s="1"/>
  <c r="R32" i="48"/>
  <c r="S32" i="48" s="1"/>
  <c r="R31" i="48"/>
  <c r="S31" i="48" s="1"/>
  <c r="R26" i="48"/>
  <c r="S26" i="48" s="1"/>
  <c r="R25" i="48"/>
  <c r="S25" i="48" s="1"/>
  <c r="R24" i="48"/>
  <c r="S24" i="48" s="1"/>
  <c r="R35" i="48"/>
  <c r="S35" i="48" s="1"/>
  <c r="R28" i="48"/>
  <c r="S28" i="48" s="1"/>
  <c r="R33" i="48"/>
  <c r="S33" i="48" s="1"/>
  <c r="R30" i="48"/>
  <c r="S30" i="48" s="1"/>
  <c r="R23" i="48"/>
  <c r="S23" i="48" s="1"/>
  <c r="R38" i="48"/>
  <c r="S38" i="48" s="1"/>
  <c r="R29" i="48"/>
  <c r="S29" i="48" s="1"/>
  <c r="R37" i="48"/>
  <c r="R36" i="48"/>
  <c r="F15" i="48"/>
  <c r="F16" i="48"/>
  <c r="R34" i="48"/>
  <c r="S34" i="48" l="1"/>
  <c r="S36" i="48"/>
  <c r="S37" i="48"/>
  <c r="U42" i="48" s="1" a="1"/>
  <c r="V42" i="48" l="1"/>
  <c r="U42" i="48"/>
  <c r="U23" i="48" l="1"/>
  <c r="U38" i="48"/>
  <c r="U37" i="48"/>
  <c r="U36" i="48"/>
  <c r="U35" i="48"/>
  <c r="U32" i="48"/>
  <c r="U31" i="48"/>
  <c r="U30" i="48"/>
  <c r="U25" i="48"/>
  <c r="U29" i="48"/>
  <c r="U27" i="48"/>
  <c r="U28" i="48"/>
  <c r="U26" i="48"/>
  <c r="U33" i="48"/>
  <c r="U24" i="48"/>
  <c r="U34" i="48"/>
  <c r="V38" i="48" l="1"/>
  <c r="X38" i="48" s="1"/>
  <c r="D12" i="48"/>
  <c r="C12" i="48"/>
  <c r="V37" i="48"/>
  <c r="X37" i="48" s="1"/>
  <c r="V23" i="48"/>
  <c r="X23" i="48" s="1"/>
  <c r="V35" i="48"/>
  <c r="X35" i="48" s="1"/>
  <c r="V36" i="48"/>
  <c r="X36" i="48" s="1"/>
  <c r="V28" i="48"/>
  <c r="X28" i="48" s="1"/>
  <c r="V34" i="48"/>
  <c r="X34" i="48" s="1"/>
  <c r="V33" i="48"/>
  <c r="X33" i="48" s="1"/>
  <c r="V30" i="48"/>
  <c r="X30" i="48" s="1"/>
  <c r="V29" i="48"/>
  <c r="X29" i="48" s="1"/>
  <c r="V26" i="48"/>
  <c r="X26" i="48" s="1"/>
  <c r="V25" i="48"/>
  <c r="X25" i="48" s="1"/>
  <c r="V32" i="48"/>
  <c r="X32" i="48" s="1"/>
  <c r="V27" i="48"/>
  <c r="X27" i="48" s="1"/>
  <c r="V24" i="48"/>
  <c r="X24" i="48" s="1"/>
  <c r="V31" i="48"/>
  <c r="X31" i="48" s="1"/>
  <c r="H16" i="48" l="1"/>
  <c r="X42" i="48" a="1"/>
  <c r="X42" i="48" s="1"/>
  <c r="H15" i="48" l="1"/>
  <c r="C33" i="48" s="1"/>
  <c r="C32" i="48" l="1"/>
  <c r="C35" i="48"/>
  <c r="O50" i="48" s="1"/>
  <c r="BG23" i="52" s="1"/>
  <c r="R50" i="48" l="1"/>
  <c r="BJ23" i="52" s="1"/>
  <c r="BI13" i="52" s="1"/>
  <c r="Q50" i="48"/>
  <c r="BI23" i="52" s="1"/>
  <c r="BH13" i="52" s="1"/>
  <c r="BI35" i="52" s="1" a="1"/>
  <c r="BI35" i="52" s="1"/>
  <c r="BI37" i="52" s="1"/>
  <c r="I66" i="51" s="1"/>
  <c r="G35" i="48"/>
  <c r="N50" i="48"/>
  <c r="BF23" i="52" s="1"/>
  <c r="BE13" i="52" s="1"/>
  <c r="BF35" i="52" s="1" a="1"/>
  <c r="BF35" i="52" s="1"/>
  <c r="BF37" i="52" s="1"/>
  <c r="F66" i="51" s="1"/>
  <c r="F35" i="48"/>
  <c r="M50" i="48"/>
  <c r="BE23" i="52" s="1"/>
  <c r="BD13" i="52" s="1"/>
  <c r="L50" i="48"/>
  <c r="S50" i="48"/>
  <c r="BK23" i="52" s="1"/>
  <c r="BJ13" i="52" s="1"/>
  <c r="P50" i="48"/>
  <c r="BH23" i="52" s="1"/>
  <c r="BG13" i="52" s="1"/>
  <c r="BH35" i="52" s="1" a="1"/>
  <c r="BH35" i="52" s="1"/>
  <c r="BH37" i="52" s="1"/>
  <c r="H66" i="51" s="1"/>
  <c r="BF13" i="52"/>
  <c r="BG35" i="52" s="1" a="1"/>
  <c r="BG35" i="52" s="1"/>
  <c r="BG37" i="52" s="1"/>
  <c r="G66" i="51" s="1"/>
  <c r="BJ35" i="52" l="1" a="1"/>
  <c r="BJ35" i="52" s="1"/>
  <c r="BJ37" i="52" s="1"/>
  <c r="K66" i="51" s="1"/>
  <c r="BD23" i="52"/>
  <c r="BD35" i="52" s="1" a="1"/>
  <c r="BD35" i="52" s="1"/>
  <c r="BD37" i="52" s="1"/>
  <c r="D66" i="51" s="1"/>
  <c r="BE35" i="52" a="1"/>
  <c r="BE35" i="52" s="1"/>
  <c r="BE37" i="52" s="1"/>
  <c r="E66" i="51" s="1"/>
  <c r="T50" i="48" a="1"/>
  <c r="T50" i="48" s="1"/>
  <c r="BL23" i="52" s="1"/>
  <c r="U50" i="48" a="1"/>
  <c r="U50" i="48" s="1"/>
  <c r="BM23" i="52" s="1"/>
  <c r="BK35" i="52" a="1"/>
  <c r="BK35" i="52" s="1"/>
  <c r="BK37" i="52" s="1"/>
  <c r="L66" i="51" s="1"/>
  <c r="BL13" i="52" a="1"/>
  <c r="BK13" i="52" a="1"/>
  <c r="BC13" i="52" l="1"/>
  <c r="BK13" i="52" s="1"/>
  <c r="W50" i="48"/>
  <c r="BL35" i="52" a="1"/>
  <c r="BL35" i="52" s="1"/>
  <c r="BL37" i="52" s="1"/>
  <c r="M66" i="51" s="1"/>
  <c r="BO23" i="52"/>
  <c r="BO35" i="52" s="1" a="1"/>
  <c r="BO35" i="52" s="1"/>
  <c r="BO37" i="52" s="1"/>
  <c r="BN23" i="52"/>
  <c r="BM35" i="52" a="1"/>
  <c r="BM35" i="52" s="1"/>
  <c r="BM37" i="52" s="1"/>
  <c r="N66" i="51" s="1"/>
  <c r="BL13" i="52" l="1"/>
  <c r="BM13" i="52" s="1"/>
  <c r="BN35" i="52" a="1"/>
  <c r="BN35" i="52" s="1"/>
  <c r="BN37" i="52" s="1"/>
  <c r="N67" i="51" s="1"/>
  <c r="BN13" i="52" l="1"/>
  <c r="W38" i="64" l="1" a="1"/>
  <c r="X38" i="64"/>
  <c r="Y38" i="64"/>
  <c r="W29" i="65" a="1"/>
  <c r="W29" i="65"/>
  <c r="X29" i="65"/>
  <c r="Y29" i="65"/>
  <c r="AC29" i="65"/>
  <c r="AC39" i="65"/>
  <c r="W34" i="65" a="1"/>
  <c r="W34" i="65"/>
  <c r="X34" i="65"/>
  <c r="BE60" i="66" a="1"/>
  <c r="BF60" i="66"/>
  <c r="BG60" i="66"/>
  <c r="BE60" i="66"/>
  <c r="Y34" i="65"/>
  <c r="AC35" i="65"/>
  <c r="AC40" i="65"/>
  <c r="AC30" i="65"/>
  <c r="J90" i="67" a="1"/>
  <c r="J90" i="67"/>
  <c r="K90" i="67"/>
  <c r="L90" i="67"/>
  <c r="P111" i="67"/>
  <c r="P105" i="67"/>
  <c r="P117" i="67"/>
  <c r="W39" i="65" a="1"/>
  <c r="X39" i="65"/>
  <c r="Y39" i="65"/>
  <c r="W39" i="65"/>
  <c r="AC31" i="65"/>
  <c r="AC36" i="65"/>
  <c r="AC41" i="65"/>
  <c r="W38" i="64"/>
  <c r="J90" i="66" a="1"/>
  <c r="J90" i="66"/>
  <c r="K90" i="66"/>
  <c r="L90" i="66"/>
  <c r="P117" i="66"/>
  <c r="P111" i="66"/>
  <c r="P105" i="66"/>
  <c r="J83" i="67" a="1"/>
  <c r="J83" i="67"/>
  <c r="K83" i="67"/>
  <c r="L83" i="67"/>
  <c r="P110" i="67"/>
  <c r="P104" i="67"/>
  <c r="P116" i="67"/>
  <c r="W44" i="64" a="1"/>
  <c r="X44" i="64" s="1"/>
  <c r="Y44" i="64" s="1"/>
  <c r="AC34" i="65"/>
  <c r="J83" i="66" a="1"/>
  <c r="J83" i="66"/>
  <c r="K83" i="66"/>
  <c r="L83" i="66"/>
  <c r="P110" i="66"/>
  <c r="N113" i="66" a="1"/>
  <c r="N113" i="66"/>
  <c r="O113" i="66"/>
  <c r="P113" i="66"/>
  <c r="G107" i="66"/>
  <c r="P104" i="66"/>
  <c r="N107" i="66" a="1"/>
  <c r="N107" i="66"/>
  <c r="O107" i="66"/>
  <c r="P107" i="66"/>
  <c r="G106" i="66"/>
  <c r="P116" i="66"/>
  <c r="N119" i="66" a="1"/>
  <c r="N119" i="66"/>
  <c r="O119" i="66"/>
  <c r="P119" i="66"/>
  <c r="G108" i="66"/>
  <c r="J97" i="67" a="1"/>
  <c r="J97" i="67"/>
  <c r="K97" i="67"/>
  <c r="L97" i="67"/>
  <c r="P106" i="67"/>
  <c r="P112" i="67"/>
  <c r="P118" i="67"/>
  <c r="AK33" i="67" a="1"/>
  <c r="AK33" i="67"/>
  <c r="AL33" i="67"/>
  <c r="AM33" i="67"/>
  <c r="AG87" i="67"/>
  <c r="T45" i="65"/>
  <c r="T46" i="65"/>
  <c r="T47" i="65"/>
  <c r="N119" i="67" a="1"/>
  <c r="O119" i="67"/>
  <c r="P119" i="67"/>
  <c r="N119" i="67"/>
  <c r="G108" i="67"/>
  <c r="N107" i="67" a="1"/>
  <c r="O107" i="67"/>
  <c r="P107" i="67"/>
  <c r="N107" i="67"/>
  <c r="G106" i="67"/>
  <c r="N113" i="67" a="1"/>
  <c r="O113" i="67"/>
  <c r="P113" i="67"/>
  <c r="N113" i="67"/>
  <c r="G107" i="67"/>
  <c r="AB96" i="67" l="1"/>
  <c r="AG88" i="67"/>
  <c r="AG89" i="67" s="1"/>
  <c r="Z86" i="67" s="1"/>
  <c r="AG86" i="67" s="1"/>
  <c r="AB95" i="67" s="1"/>
  <c r="AB97" i="67" s="1"/>
  <c r="W44" i="64"/>
  <c r="T14" i="64" s="1"/>
  <c r="X96" i="67" l="1"/>
  <c r="AI103" i="67" s="1"/>
  <c r="AI104" i="67" s="1"/>
  <c r="Y17" i="64"/>
  <c r="Y18" i="64" s="1"/>
  <c r="T17" i="64"/>
  <c r="T18" i="64" s="1"/>
  <c r="AI111" i="67" l="1"/>
  <c r="AI113" i="67" s="1"/>
  <c r="AI114" i="67" s="1"/>
  <c r="T22" i="64"/>
  <c r="T24" i="64" s="1"/>
  <c r="T25" i="64" s="1"/>
  <c r="T19" i="64"/>
  <c r="Y22" i="64"/>
  <c r="Y24" i="64" s="1"/>
  <c r="Y25" i="64" s="1"/>
  <c r="Y19" i="64"/>
  <c r="W45" i="65" a="1"/>
  <c r="X45" i="65" s="1"/>
  <c r="Y45" i="65" s="1"/>
  <c r="W45" i="65" l="1"/>
  <c r="T14" i="65" s="1"/>
  <c r="E24" i="68" l="1"/>
  <c r="T17" i="65"/>
  <c r="Y17" i="65"/>
  <c r="Y18" i="65" l="1"/>
  <c r="Y20" i="65"/>
  <c r="X13" i="65"/>
  <c r="X12" i="65"/>
  <c r="T20" i="65"/>
  <c r="T18" i="65"/>
  <c r="J27" i="68"/>
  <c r="E27" i="68"/>
  <c r="E28" i="68" l="1"/>
  <c r="E30" i="68" s="1"/>
  <c r="U18" i="68"/>
  <c r="U25" i="68"/>
  <c r="J28" i="68"/>
  <c r="T23" i="65"/>
  <c r="T25" i="65" s="1"/>
  <c r="T26" i="65" s="1"/>
  <c r="T19" i="65"/>
  <c r="E29" i="68" s="1"/>
  <c r="E54" i="68" s="1"/>
  <c r="Y23" i="65"/>
  <c r="Y25" i="65" s="1"/>
  <c r="Y26" i="65" s="1"/>
  <c r="Y19" i="65"/>
  <c r="J29" i="68" s="1"/>
  <c r="J54" i="68" s="1"/>
  <c r="J30" i="68" l="1"/>
  <c r="U29" i="68" s="1"/>
  <c r="U21" i="68"/>
  <c r="U28" i="68"/>
  <c r="U20" i="68"/>
  <c r="U27" i="68"/>
  <c r="J34" i="68"/>
  <c r="J36" i="68" s="1"/>
  <c r="J37" i="68" s="1"/>
  <c r="J52" i="68"/>
  <c r="E34" i="68"/>
  <c r="E36" i="68" s="1"/>
  <c r="E37" i="68" s="1"/>
  <c r="U19" i="68"/>
  <c r="E52" i="68"/>
  <c r="E31" i="68" l="1"/>
  <c r="J55" i="68"/>
  <c r="J56" i="68" s="1"/>
  <c r="U31" i="68" s="1" a="1"/>
  <c r="U31" i="68" s="1"/>
  <c r="U30" i="68"/>
  <c r="U22" i="68"/>
  <c r="E55" i="68"/>
  <c r="E56" i="68" s="1"/>
  <c r="U23" i="68" l="1" a="1"/>
  <c r="U23" i="68" s="1"/>
  <c r="V23" i="68" s="1"/>
  <c r="M23" i="68" s="1"/>
  <c r="H95" i="51" s="1"/>
  <c r="O12" i="68"/>
  <c r="F94" i="51" s="1"/>
  <c r="V28" i="68"/>
  <c r="R28" i="68" s="1"/>
  <c r="M100" i="51" s="1"/>
  <c r="V20" i="68"/>
  <c r="R20" i="68" s="1"/>
  <c r="M92" i="51" s="1"/>
  <c r="V22" i="68"/>
  <c r="R22" i="68" s="1"/>
  <c r="M94" i="51" s="1"/>
  <c r="V17" i="68"/>
  <c r="R17" i="68" s="1"/>
  <c r="M89" i="51" s="1"/>
  <c r="V19" i="68"/>
  <c r="R19" i="68" s="1"/>
  <c r="M91" i="51" s="1"/>
  <c r="V18" i="68"/>
  <c r="R18" i="68" s="1"/>
  <c r="M90" i="51" s="1"/>
  <c r="V27" i="68"/>
  <c r="R27" i="68" s="1"/>
  <c r="M99" i="51" s="1"/>
  <c r="V30" i="68"/>
  <c r="R30" i="68" s="1"/>
  <c r="M102" i="51" s="1"/>
  <c r="V25" i="68" l="1"/>
  <c r="R25" i="68" s="1"/>
  <c r="M97" i="51" s="1"/>
  <c r="V26" i="68"/>
  <c r="R26" i="68" s="1"/>
  <c r="M98" i="51" s="1"/>
  <c r="V29" i="68"/>
  <c r="R29" i="68" s="1"/>
  <c r="M101" i="51" s="1"/>
  <c r="V31" i="68"/>
  <c r="V21" i="68"/>
  <c r="R21" i="68" s="1"/>
  <c r="M93" i="51" s="1"/>
  <c r="M31" i="68" l="1"/>
  <c r="H103" i="51" s="1"/>
  <c r="R31" i="68"/>
  <c r="J106" i="66" a="1"/>
  <c r="J106" i="66" s="1"/>
  <c r="K106" i="66" l="1"/>
  <c r="L106" i="66" s="1"/>
  <c r="J106" i="67" l="1" a="1"/>
  <c r="J106" i="67" s="1"/>
  <c r="K106" i="67" l="1"/>
  <c r="L106" i="67" s="1"/>
  <c r="X97" i="67" s="1"/>
  <c r="AC101" i="67" s="1"/>
  <c r="X102" i="67" l="1"/>
  <c r="AC103" i="67"/>
  <c r="AC105" i="67"/>
  <c r="AC104" i="67" l="1"/>
  <c r="AC111" i="67"/>
  <c r="AC113" i="67" s="1"/>
  <c r="AC114" i="67" s="1"/>
  <c r="X103" i="67"/>
  <c r="X105" i="67"/>
  <c r="X106" i="67"/>
  <c r="X108" i="67" s="1"/>
  <c r="X111" i="67" l="1"/>
  <c r="X113" i="67" s="1"/>
  <c r="X114" i="67" s="1"/>
  <c r="X104" i="67"/>
  <c r="O12" i="69" l="1"/>
  <c r="F118" i="51" s="1"/>
  <c r="AG87" i="66" l="1"/>
  <c r="AB96" i="66" s="1"/>
  <c r="AG88" i="66" l="1"/>
  <c r="AG89" i="66" s="1"/>
  <c r="Z86" i="66" s="1"/>
  <c r="E17" i="69" s="1"/>
  <c r="AG86" i="66" l="1"/>
  <c r="G17" i="69" s="1"/>
  <c r="AB95" i="66" l="1"/>
  <c r="AB97" i="66" s="1"/>
  <c r="X96" i="66" s="1"/>
  <c r="E29" i="69"/>
  <c r="E30" i="69" l="1"/>
  <c r="U14" i="69" s="1"/>
  <c r="V14" i="69" s="1"/>
  <c r="O14" i="69" s="1"/>
  <c r="F119" i="51" s="1"/>
  <c r="U13" i="69"/>
  <c r="V13" i="69" s="1"/>
  <c r="O13" i="69" s="1"/>
  <c r="X97" i="66"/>
  <c r="AI103" i="66"/>
  <c r="E31" i="69" l="1"/>
  <c r="AC101" i="66"/>
  <c r="X102" i="66"/>
  <c r="AI104" i="66"/>
  <c r="AI111" i="66"/>
  <c r="AI113" i="66" s="1"/>
  <c r="AI114" i="66" s="1"/>
  <c r="E34" i="69" l="1"/>
  <c r="X105" i="66"/>
  <c r="X106" i="66"/>
  <c r="X108" i="66" s="1"/>
  <c r="X103" i="66"/>
  <c r="J34" i="69"/>
  <c r="J63" i="69" s="1"/>
  <c r="AC105" i="66"/>
  <c r="AC103" i="66"/>
  <c r="U28" i="69" l="1"/>
  <c r="E35" i="69"/>
  <c r="E37" i="69" s="1"/>
  <c r="X111" i="66"/>
  <c r="X113" i="66" s="1"/>
  <c r="X114" i="66" s="1"/>
  <c r="X104" i="66"/>
  <c r="E36" i="69" s="1"/>
  <c r="J35" i="69"/>
  <c r="J37" i="69" s="1"/>
  <c r="AC111" i="66"/>
  <c r="AC113" i="66" s="1"/>
  <c r="AC114" i="66" s="1"/>
  <c r="AC104" i="66"/>
  <c r="J36" i="69" s="1"/>
  <c r="U21" i="69"/>
  <c r="E63" i="69"/>
  <c r="U30" i="69" l="1"/>
  <c r="J59" i="69"/>
  <c r="U32" i="69"/>
  <c r="J41" i="69"/>
  <c r="J43" i="69" s="1"/>
  <c r="U31" i="69"/>
  <c r="J61" i="69"/>
  <c r="E61" i="69"/>
  <c r="U23" i="69"/>
  <c r="U24" i="69"/>
  <c r="E41" i="69"/>
  <c r="E43" i="69" s="1"/>
  <c r="U22" i="69"/>
  <c r="E59" i="69"/>
  <c r="E44" i="69" l="1"/>
  <c r="E62" i="69" s="1"/>
  <c r="E64" i="69" s="1"/>
  <c r="U26" i="69" s="1" a="1"/>
  <c r="U26" i="69" s="1"/>
  <c r="U25" i="69"/>
  <c r="U33" i="69"/>
  <c r="J44" i="69"/>
  <c r="J62" i="69" s="1"/>
  <c r="J64" i="69" s="1"/>
  <c r="U34" i="69" s="1" a="1"/>
  <c r="U34" i="69" s="1"/>
  <c r="V31" i="69" l="1"/>
  <c r="R31" i="69" s="1"/>
  <c r="M123" i="51" s="1"/>
  <c r="V28" i="69"/>
  <c r="R28" i="69" s="1"/>
  <c r="M120" i="51" s="1"/>
  <c r="V29" i="69"/>
  <c r="R29" i="69" s="1"/>
  <c r="M121" i="51" s="1"/>
  <c r="V32" i="69"/>
  <c r="R32" i="69" s="1"/>
  <c r="M124" i="51" s="1"/>
  <c r="V30" i="69"/>
  <c r="R30" i="69" s="1"/>
  <c r="M122" i="51" s="1"/>
  <c r="V33" i="69"/>
  <c r="R33" i="69" s="1"/>
  <c r="M125" i="51" s="1"/>
  <c r="V34" i="69"/>
  <c r="M34" i="69" s="1"/>
  <c r="H126" i="51" s="1"/>
  <c r="V22" i="69"/>
  <c r="R22" i="69" s="1"/>
  <c r="M114" i="51" s="1"/>
  <c r="V26" i="69"/>
  <c r="M26" i="69" s="1"/>
  <c r="H118" i="51" s="1"/>
  <c r="V25" i="69"/>
  <c r="R25" i="69" s="1"/>
  <c r="M117" i="51" s="1"/>
  <c r="V24" i="69"/>
  <c r="R24" i="69" s="1"/>
  <c r="M116" i="51" s="1"/>
  <c r="V21" i="69"/>
  <c r="R21" i="69" s="1"/>
  <c r="M113" i="51" s="1"/>
  <c r="V23" i="69"/>
  <c r="R23" i="69" s="1"/>
  <c r="M115" i="51" s="1"/>
  <c r="V20" i="69"/>
  <c r="R20" i="69" s="1"/>
  <c r="M112" i="5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<sst xmlns="http://schemas.openxmlformats.org/spreadsheetml/2006/main" count="10802" uniqueCount="2670">
  <si>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</si>
  <si>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</si>
  <si>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</si>
  <si>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</si>
  <si>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</si>
  <si>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</si>
  <si>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</si>
  <si>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</si>
  <si>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</si>
  <si>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</si>
  <si>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</si>
  <si>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</si>
  <si>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</si>
  <si>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</si>
  <si>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</si>
  <si>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</si>
  <si>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</si>
  <si>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</si>
  <si>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</si>
  <si>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</si>
  <si>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</si>
  <si>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</si>
  <si>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</si>
  <si>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</si>
  <si>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</si>
  <si>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</si>
  <si>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</si>
  <si>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</si>
  <si>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</si>
  <si>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</si>
  <si>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</si>
  <si>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</si>
  <si>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</si>
  <si>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</si>
  <si>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</si>
  <si>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</si>
  <si>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</si>
  <si>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</si>
  <si>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</si>
  <si>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</si>
  <si>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</si>
  <si>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</si>
  <si>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</si>
  <si>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</si>
  <si>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</si>
  <si>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</si>
  <si>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</si>
  <si>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</si>
  <si>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</si>
  <si>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</si>
  <si>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</si>
  <si>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</si>
  <si>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</si>
  <si>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</si>
  <si>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</si>
  <si>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</si>
  <si>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</si>
  <si>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</si>
  <si>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</si>
  <si>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</si>
  <si>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</si>
  <si>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</si>
  <si>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</si>
  <si>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</si>
  <si>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</si>
  <si>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</si>
  <si>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</si>
  <si>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</si>
  <si>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</si>
  <si>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</si>
  <si>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</si>
  <si>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</si>
  <si>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</si>
  <si>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</si>
  <si>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</si>
  <si>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</si>
  <si>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</si>
  <si>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</si>
  <si>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</si>
  <si>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</si>
  <si>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</si>
  <si>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</si>
  <si>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</si>
  <si>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</si>
  <si>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</si>
  <si>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</si>
  <si>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</si>
  <si>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</si>
  <si>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</si>
  <si>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</si>
  <si>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</si>
  <si>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</si>
  <si>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</si>
  <si>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</si>
  <si>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</si>
  <si>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</si>
  <si>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</si>
  <si>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</si>
  <si>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</si>
  <si>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</si>
  <si>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</si>
  <si>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</si>
  <si>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</si>
  <si>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</si>
  <si>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</si>
  <si>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</si>
  <si>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</si>
  <si>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</si>
  <si>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</si>
  <si>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</si>
  <si>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</si>
  <si>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</si>
  <si>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</si>
  <si>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</si>
  <si>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</si>
  <si>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</si>
  <si>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</si>
  <si>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</si>
  <si>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</si>
  <si>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</si>
  <si>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</si>
  <si>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</si>
  <si>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</si>
  <si>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</si>
  <si>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</si>
  <si>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</si>
  <si>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</si>
  <si>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</si>
  <si>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</si>
  <si>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</si>
  <si>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</si>
  <si>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</si>
  <si>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</si>
  <si>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</si>
  <si>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</si>
  <si>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</si>
  <si>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</si>
  <si>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</si>
  <si>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</si>
  <si>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</si>
  <si>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</si>
  <si>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</si>
  <si>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</si>
  <si>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</si>
  <si>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</si>
  <si>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</si>
  <si>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</si>
  <si>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</si>
  <si>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</si>
  <si>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</si>
  <si>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</si>
  <si>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</si>
  <si>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</si>
  <si>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</si>
  <si>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</si>
  <si>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</si>
  <si>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</si>
  <si>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</si>
  <si>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</si>
  <si>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</si>
  <si>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</si>
  <si>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</si>
  <si>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</si>
  <si>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</si>
  <si>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</si>
  <si>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</si>
  <si>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</si>
  <si>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</si>
  <si>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</si>
  <si>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</si>
  <si>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</si>
  <si>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</si>
  <si>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</si>
  <si>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</si>
  <si>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</si>
  <si>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</si>
  <si>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</si>
  <si>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</si>
  <si>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</si>
  <si>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</si>
  <si>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</si>
  <si>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</si>
  <si>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</si>
  <si>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</si>
  <si>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</si>
  <si>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</si>
  <si>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</si>
  <si>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</si>
  <si>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</si>
  <si>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</si>
  <si>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</si>
  <si>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</si>
  <si>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</si>
  <si>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</si>
  <si>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</si>
  <si>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</si>
  <si>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</si>
  <si>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</si>
  <si>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</si>
  <si>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</si>
  <si>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</si>
  <si>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</si>
  <si>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</si>
  <si>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</si>
  <si>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</si>
  <si>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</si>
  <si>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</si>
  <si>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</si>
  <si>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</si>
  <si>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</si>
  <si>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</si>
  <si>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</si>
  <si>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</si>
  <si>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</si>
  <si>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</si>
  <si>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</si>
  <si>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</si>
  <si>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</si>
  <si>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</si>
  <si>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</si>
  <si>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</si>
  <si>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</si>
  <si>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</si>
  <si>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</si>
  <si>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</si>
  <si>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</si>
  <si>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</si>
  <si>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</si>
  <si>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</si>
  <si>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</si>
  <si>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</si>
  <si>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</si>
  <si>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</si>
  <si>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</si>
  <si>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</si>
  <si>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</si>
  <si>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</si>
  <si>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</si>
  <si>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</si>
  <si>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</si>
  <si>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</si>
  <si>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</si>
  <si>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</si>
  <si>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</si>
  <si>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</si>
  <si>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</si>
  <si>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</si>
  <si>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</si>
  <si>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</si>
  <si>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</si>
  <si>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</si>
  <si>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</si>
  <si>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</si>
  <si>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</si>
  <si>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</si>
  <si>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</si>
  <si>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</si>
  <si>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</si>
  <si>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</si>
  <si>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</si>
  <si>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</si>
  <si>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</si>
  <si>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</si>
  <si>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</si>
  <si>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</si>
  <si>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</si>
  <si>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</si>
  <si>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</si>
  <si>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</si>
  <si>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</si>
  <si>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</si>
  <si>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</si>
  <si>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</si>
  <si>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</si>
  <si>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</si>
  <si>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</si>
  <si>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</si>
  <si>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</si>
  <si>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</si>
  <si>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</si>
  <si>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</si>
  <si>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</si>
  <si>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</si>
  <si>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</si>
  <si>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</si>
  <si>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</si>
  <si>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</si>
  <si>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</si>
  <si>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</si>
  <si>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</si>
  <si>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</si>
  <si>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</si>
  <si>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</si>
  <si>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</si>
  <si>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</si>
  <si>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</si>
  <si>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</si>
  <si>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</si>
  <si>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</si>
  <si>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</si>
  <si>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</si>
  <si>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</si>
  <si>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</si>
  <si>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</si>
  <si>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</si>
  <si>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</si>
  <si>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</si>
  <si>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</si>
  <si>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</si>
  <si>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</si>
  <si>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</si>
  <si>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</si>
  <si>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</si>
  <si>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</si>
  <si>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</si>
  <si>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</si>
  <si>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</si>
  <si>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</si>
  <si>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</si>
  <si>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</si>
  <si>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</si>
  <si>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</si>
  <si>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</si>
  <si>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</si>
  <si>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</si>
  <si>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</si>
  <si>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</si>
  <si>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</si>
  <si>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</si>
  <si>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</si>
  <si>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</si>
  <si>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</si>
  <si>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</si>
  <si>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</si>
  <si>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</si>
  <si>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</si>
  <si>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</si>
  <si>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</si>
  <si>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</si>
  <si>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</si>
  <si>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</si>
  <si>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</si>
  <si>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</si>
  <si>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</si>
  <si>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</si>
  <si>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</si>
  <si>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</si>
  <si>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</si>
  <si>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</si>
  <si>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</si>
  <si>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</si>
  <si>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</si>
  <si>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</si>
  <si>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</si>
  <si>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</si>
  <si>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</si>
  <si>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</si>
  <si>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</si>
  <si>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</si>
  <si>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</si>
  <si>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</si>
  <si>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</si>
  <si>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</si>
  <si>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</si>
  <si>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</si>
  <si>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</si>
  <si>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</si>
  <si>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</si>
  <si>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</si>
  <si>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</si>
  <si>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</si>
  <si>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</si>
  <si>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</si>
  <si>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</si>
  <si>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</si>
  <si>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</si>
  <si>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</si>
  <si>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</si>
  <si>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</si>
  <si>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</si>
  <si>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</si>
  <si>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</si>
  <si>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</si>
  <si>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</si>
  <si>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</si>
  <si>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</si>
  <si>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</si>
  <si>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</si>
  <si>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</si>
  <si>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</si>
  <si>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</si>
  <si>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</si>
  <si>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</si>
  <si>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</si>
  <si>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</si>
  <si>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</si>
  <si>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</si>
  <si>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</si>
  <si>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</si>
  <si>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</si>
  <si>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</si>
  <si>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</si>
  <si>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</si>
  <si>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</si>
  <si>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</si>
  <si>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</si>
  <si>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</si>
  <si>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</si>
  <si>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</si>
  <si>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</si>
  <si>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</si>
  <si>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</si>
  <si>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</si>
  <si>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</si>
  <si>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</si>
  <si>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</si>
  <si>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</si>
  <si>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</si>
  <si>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</si>
  <si>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</si>
  <si>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</si>
  <si>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</si>
  <si>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</si>
  <si>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</si>
  <si>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</si>
  <si>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</si>
  <si>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</si>
  <si>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</si>
  <si>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</si>
  <si>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</si>
  <si>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</si>
  <si>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</si>
  <si>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</si>
  <si>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</si>
  <si>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</si>
  <si>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</si>
  <si>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</si>
  <si>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</si>
  <si>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</si>
  <si>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</si>
  <si>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</si>
  <si>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</si>
  <si>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</si>
  <si>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</si>
  <si>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</si>
  <si>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</si>
  <si>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</si>
  <si>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</si>
  <si>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</si>
  <si>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</si>
  <si>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</si>
  <si>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</si>
  <si>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</si>
  <si>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</si>
  <si>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</si>
  <si>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</si>
  <si>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</si>
  <si>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</si>
  <si>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</si>
  <si>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</si>
  <si>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</si>
  <si>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</si>
  <si>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</si>
  <si>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</si>
  <si>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</si>
  <si>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</si>
  <si>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</si>
  <si>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</si>
  <si>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</si>
  <si>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</si>
  <si>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</si>
  <si>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</si>
  <si>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</si>
  <si>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</si>
  <si>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</si>
  <si>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</si>
  <si>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</si>
  <si>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</si>
  <si>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</si>
  <si>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</si>
  <si>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</si>
  <si>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</si>
  <si>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</si>
  <si>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</si>
  <si>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</si>
  <si>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</si>
  <si>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</si>
  <si>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</si>
  <si>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</si>
  <si>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</si>
  <si>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</si>
  <si>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</si>
  <si>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</si>
  <si>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</si>
  <si>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</si>
  <si>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</si>
  <si>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</si>
  <si>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</si>
  <si>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</si>
  <si>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</si>
  <si>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</si>
  <si>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</si>
  <si>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</si>
  <si>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</si>
  <si>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</si>
  <si>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</si>
  <si>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</si>
  <si>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</si>
  <si>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</si>
  <si>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</si>
  <si>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</si>
  <si>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</si>
  <si>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</si>
  <si>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</si>
  <si>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</si>
  <si>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</si>
  <si>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</si>
  <si>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</si>
  <si>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</si>
  <si>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</si>
  <si>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</si>
  <si>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</si>
  <si>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</si>
  <si>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</si>
  <si>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</si>
  <si>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</si>
  <si>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</si>
  <si>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</si>
  <si>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</si>
  <si>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</si>
  <si>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</si>
  <si>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</si>
  <si>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</si>
  <si>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</si>
  <si>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</si>
  <si>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</si>
  <si>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</si>
  <si>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</si>
  <si>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</si>
  <si>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</si>
  <si>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</si>
  <si>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</si>
  <si>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</si>
  <si>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</si>
  <si>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</si>
  <si>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</si>
  <si>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</si>
  <si>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</si>
  <si>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</si>
  <si>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</si>
  <si>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</si>
  <si>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</si>
  <si>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</si>
  <si>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</si>
  <si>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</si>
  <si>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</si>
  <si>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</si>
  <si>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</si>
  <si>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</si>
  <si>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</si>
  <si>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</si>
  <si>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</si>
  <si>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</si>
  <si>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</si>
  <si>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</si>
  <si>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</si>
  <si>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</si>
  <si>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</si>
  <si>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</si>
  <si>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</si>
  <si>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</si>
  <si>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</si>
  <si>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</si>
  <si>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</si>
  <si>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</si>
  <si>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</si>
  <si>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</si>
  <si>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</si>
  <si>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</si>
  <si>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</si>
  <si>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</si>
  <si>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</si>
  <si>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</si>
  <si>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</si>
  <si>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</si>
  <si>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</si>
  <si>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</si>
  <si>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</si>
  <si>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</si>
  <si>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</si>
  <si>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</si>
  <si>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</si>
  <si>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</si>
  <si>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</si>
  <si>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</si>
  <si>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</si>
  <si>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</si>
  <si>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</si>
  <si>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</si>
  <si>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</si>
  <si>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</si>
  <si>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</si>
  <si>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</si>
  <si>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</si>
  <si>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</si>
  <si>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</si>
  <si>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</si>
  <si>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</si>
  <si>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</si>
  <si>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</si>
  <si>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</si>
  <si>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</si>
  <si>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</si>
  <si>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</si>
  <si>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</si>
  <si>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</si>
  <si>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</si>
  <si>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</si>
  <si>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</si>
  <si>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</si>
  <si>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</si>
  <si>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</si>
  <si>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</si>
  <si>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</si>
  <si>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</si>
  <si>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</si>
  <si>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</si>
  <si>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</si>
  <si>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</si>
  <si>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</si>
  <si>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</si>
  <si>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</si>
  <si>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</si>
  <si>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</si>
  <si>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</si>
  <si>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</si>
  <si>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</si>
  <si>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</si>
  <si>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</si>
  <si>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</si>
  <si>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</si>
  <si>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</si>
  <si>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</si>
  <si>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</si>
  <si>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</si>
  <si>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</si>
  <si>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</si>
  <si>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</si>
  <si>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</si>
  <si>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</si>
  <si>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</si>
  <si>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</si>
  <si>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</si>
  <si>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</si>
  <si>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</si>
  <si>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</si>
  <si>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</si>
  <si>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</si>
  <si>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</si>
  <si>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</si>
  <si>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</si>
  <si>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</si>
  <si>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</si>
  <si>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</si>
  <si>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</si>
  <si>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</si>
  <si>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</si>
  <si>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</si>
  <si>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</si>
  <si>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</si>
  <si>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</si>
  <si>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</si>
  <si>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</si>
  <si>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</si>
  <si>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</si>
  <si>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</si>
  <si>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</si>
  <si>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</si>
  <si>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</si>
  <si>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</si>
  <si>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</si>
  <si>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</si>
  <si>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</si>
  <si>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</si>
  <si>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</si>
  <si>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</si>
  <si>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</si>
  <si>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</si>
  <si>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</si>
  <si>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</si>
  <si>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</si>
  <si>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</si>
  <si>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</si>
  <si>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</si>
  <si>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</si>
  <si>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</si>
  <si>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</si>
  <si>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</si>
  <si>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</si>
  <si>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</si>
  <si>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</si>
  <si>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</si>
  <si>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</si>
  <si>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</si>
  <si>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</si>
  <si>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</si>
  <si>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</si>
  <si>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</si>
  <si>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</si>
  <si>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</si>
  <si>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</si>
  <si>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</si>
  <si>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</si>
  <si>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</si>
  <si>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</si>
  <si>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</si>
  <si>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</si>
  <si>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</si>
  <si>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</si>
  <si>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</si>
  <si>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</si>
  <si>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</si>
  <si>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</si>
  <si>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</si>
  <si>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</si>
  <si>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</si>
  <si>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</si>
  <si>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</si>
  <si>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</si>
  <si>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</si>
  <si>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</si>
  <si>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</si>
  <si>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</si>
  <si>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</si>
  <si>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</si>
  <si>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</si>
  <si>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</si>
  <si>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</si>
  <si>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</si>
  <si>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</si>
  <si>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</si>
  <si>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</si>
  <si>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</si>
  <si>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</si>
  <si>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</si>
  <si>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</si>
  <si>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</si>
  <si>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</si>
  <si>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</si>
  <si>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</si>
  <si>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</si>
  <si>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</si>
  <si>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</si>
  <si>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</si>
  <si>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</si>
  <si>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</si>
  <si>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</si>
  <si>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</si>
  <si>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</si>
  <si>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</si>
  <si>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</si>
  <si>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</si>
  <si>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</si>
  <si>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</si>
  <si>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</si>
  <si>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</si>
  <si>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</si>
  <si>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</si>
  <si>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</si>
  <si>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</si>
  <si>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</si>
  <si>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</si>
  <si>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</si>
  <si>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</si>
  <si>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</si>
  <si>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</si>
  <si>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</si>
  <si>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</si>
  <si>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</si>
  <si>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</si>
  <si>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</si>
  <si>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</si>
  <si>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</si>
  <si>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</si>
  <si>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</si>
  <si>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</si>
  <si>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</si>
  <si>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</si>
  <si>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</si>
  <si>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</si>
  <si>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</si>
  <si>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</si>
  <si>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</si>
  <si>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</si>
  <si>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</si>
  <si>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</si>
  <si>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</si>
  <si>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</si>
  <si>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</si>
  <si>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</si>
  <si>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</si>
  <si>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</si>
  <si>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</si>
  <si>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</si>
  <si>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</si>
  <si>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</si>
  <si>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</si>
  <si>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</si>
  <si>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</si>
  <si>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</si>
  <si>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</si>
  <si>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</si>
  <si>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</si>
  <si>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</si>
  <si>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</si>
  <si>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</si>
  <si>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</si>
  <si>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</si>
  <si>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</si>
  <si>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</si>
  <si>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</si>
  <si>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</si>
  <si>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</si>
  <si>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</si>
  <si>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</si>
  <si>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</si>
  <si>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</si>
  <si>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</si>
  <si>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</si>
  <si>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</si>
  <si>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</si>
  <si>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</si>
  <si>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</si>
  <si>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</si>
  <si>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</si>
  <si>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</si>
  <si>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</si>
  <si>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</si>
  <si>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</si>
  <si>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</si>
  <si>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</si>
  <si>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</si>
  <si>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</si>
  <si>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</si>
  <si>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</si>
  <si>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</si>
  <si>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</si>
  <si>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</si>
  <si>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</si>
  <si>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</si>
  <si>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</si>
  <si>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</si>
  <si>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</si>
  <si>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</si>
  <si>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</si>
  <si>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</si>
  <si>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</si>
  <si>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</si>
  <si>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</si>
  <si>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</si>
  <si>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</si>
  <si>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</si>
  <si>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</si>
  <si>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</si>
  <si>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</si>
  <si>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</si>
  <si>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</si>
  <si>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</si>
  <si>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</si>
  <si>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</si>
  <si>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</si>
  <si>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</si>
  <si>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</si>
  <si>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</si>
  <si>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</si>
  <si>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</si>
  <si>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</si>
  <si>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</si>
  <si>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</si>
  <si>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</si>
  <si>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</si>
  <si>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</si>
  <si>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</si>
  <si>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</si>
  <si>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</si>
  <si>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</si>
  <si>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</si>
  <si>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</si>
  <si>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</si>
  <si>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</si>
  <si>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</si>
  <si>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</si>
  <si>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</si>
  <si>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</si>
  <si>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</si>
  <si>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</si>
  <si>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</si>
  <si>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</si>
  <si>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</si>
  <si>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</si>
  <si>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</si>
  <si>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</si>
  <si>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</si>
  <si>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</si>
  <si>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</si>
  <si>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</si>
  <si>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</si>
  <si>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</si>
  <si>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</si>
  <si>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</si>
  <si>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</si>
  <si>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</si>
  <si>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</si>
  <si>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</si>
  <si>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</si>
  <si>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</si>
  <si>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</si>
  <si>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</si>
  <si>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</si>
  <si>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</si>
  <si>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</si>
  <si>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</si>
  <si>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</si>
  <si>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</si>
  <si>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</si>
  <si>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</si>
  <si>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</si>
  <si>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</si>
  <si>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</si>
  <si>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</si>
  <si>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</si>
  <si>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</si>
  <si>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</si>
  <si>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</si>
  <si>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</si>
  <si>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</si>
  <si>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</si>
  <si>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</si>
  <si>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</si>
  <si>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</si>
  <si>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</si>
  <si>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</si>
  <si>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</si>
  <si>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</si>
  <si>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</si>
  <si>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</si>
  <si>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</si>
  <si>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</si>
  <si>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</si>
  <si>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</si>
  <si>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</si>
  <si>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</si>
  <si>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</si>
  <si>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</si>
  <si>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</si>
  <si>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</si>
  <si>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</si>
  <si>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</si>
  <si>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</si>
  <si>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</si>
  <si>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</si>
  <si>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</si>
  <si>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</si>
  <si>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</si>
  <si>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</si>
  <si>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</si>
  <si>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</si>
  <si>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</si>
  <si>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</si>
  <si>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</si>
  <si>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</si>
  <si>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</si>
  <si>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</si>
  <si>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</si>
  <si>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</si>
  <si>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</si>
  <si>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</si>
  <si>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</si>
  <si>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</si>
  <si>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</si>
  <si>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</si>
  <si>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</si>
  <si>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</si>
  <si>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</si>
  <si>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</si>
  <si>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</si>
  <si>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</si>
  <si>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</si>
  <si>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</si>
  <si>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</si>
  <si>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</si>
  <si>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</si>
  <si>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</si>
  <si>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</si>
  <si>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</si>
  <si>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</si>
  <si>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</si>
  <si>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</si>
  <si>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</si>
  <si>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</si>
  <si>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</si>
  <si>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</si>
  <si>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</si>
  <si>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</si>
  <si>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</si>
  <si>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</si>
  <si>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</si>
  <si>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</si>
  <si>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</si>
  <si>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</si>
  <si>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</si>
  <si>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</si>
  <si>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</si>
  <si>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</si>
  <si>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</si>
  <si>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</si>
  <si>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</si>
  <si>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</si>
  <si>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</si>
  <si>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</si>
  <si>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</si>
  <si>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</si>
  <si>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</si>
  <si>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</si>
  <si>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</si>
  <si>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</si>
  <si>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</si>
  <si>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</si>
  <si>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</si>
  <si>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</si>
  <si>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</si>
  <si>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</si>
  <si>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</si>
  <si>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</si>
  <si>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</si>
  <si>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</si>
  <si>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</si>
  <si>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</si>
  <si>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</si>
  <si>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</si>
  <si>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</si>
  <si>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</si>
  <si>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</si>
  <si>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</si>
  <si>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</si>
  <si>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</si>
  <si>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</si>
  <si>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</si>
  <si>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</si>
  <si>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</si>
  <si>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</si>
  <si>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</si>
  <si>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</si>
  <si>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</si>
  <si>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</si>
  <si>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</si>
  <si>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</si>
  <si>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</si>
  <si>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</si>
  <si>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</si>
  <si>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</si>
  <si>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</si>
  <si>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</si>
  <si>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</si>
  <si>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</si>
  <si>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</si>
  <si>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</si>
  <si>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</si>
  <si>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</si>
  <si>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</si>
  <si>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</si>
  <si>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</si>
  <si>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</si>
  <si>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</si>
  <si>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</si>
  <si>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</si>
  <si>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</si>
  <si>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</si>
  <si>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</si>
  <si>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</si>
  <si>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</si>
  <si>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</si>
  <si>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</si>
  <si>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</si>
  <si>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</si>
  <si>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</si>
  <si>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</si>
  <si>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</si>
  <si>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</si>
  <si>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</si>
  <si>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</si>
  <si>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</si>
  <si>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</si>
  <si>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</si>
  <si>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</si>
  <si>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</si>
  <si>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</si>
  <si>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</si>
  <si>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</si>
  <si>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</si>
  <si>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</si>
  <si>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</si>
  <si>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</si>
  <si>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</si>
  <si>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</si>
  <si>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</si>
  <si>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</si>
  <si>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</si>
  <si>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</si>
  <si>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</si>
  <si>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</si>
  <si>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</si>
  <si>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</si>
  <si>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</si>
  <si>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</si>
  <si>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</si>
  <si>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</si>
  <si>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</si>
  <si>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</si>
  <si>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</si>
  <si>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</si>
  <si>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</si>
  <si>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</si>
  <si>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</si>
  <si>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</si>
  <si>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</si>
  <si>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</si>
  <si>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</si>
  <si>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</si>
  <si>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</si>
  <si>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</si>
  <si>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</si>
  <si>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</si>
  <si>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</si>
  <si>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</si>
  <si>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</si>
  <si>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</si>
  <si>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</si>
  <si>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</si>
  <si>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</si>
  <si>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</si>
  <si>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</si>
  <si>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</si>
  <si>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</si>
  <si>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</si>
  <si>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</si>
  <si>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</si>
  <si>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</si>
  <si>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</si>
  <si>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</si>
  <si>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</si>
  <si>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</si>
  <si>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</si>
  <si>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</si>
  <si>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</si>
  <si>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</si>
  <si>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</si>
  <si>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</si>
  <si>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</si>
  <si>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</si>
  <si>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</si>
  <si>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</si>
  <si>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</si>
  <si>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</si>
  <si>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</si>
  <si>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</si>
  <si>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</si>
  <si>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</si>
  <si>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</si>
  <si>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</si>
  <si>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</si>
  <si>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</si>
  <si>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</si>
  <si>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</si>
  <si>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</si>
  <si>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</si>
  <si>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</si>
  <si>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</si>
  <si>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</si>
  <si>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</si>
  <si>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</si>
  <si>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</si>
  <si>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</si>
  <si>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</si>
  <si>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</si>
  <si>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</si>
  <si>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</si>
  <si>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</si>
  <si>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</si>
  <si>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</si>
  <si>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</si>
  <si>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</si>
  <si>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</si>
  <si>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</si>
  <si>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</si>
  <si>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</si>
  <si>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</si>
  <si>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</si>
  <si>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</si>
  <si>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</si>
  <si>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</si>
  <si>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</si>
  <si>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</si>
  <si>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</si>
  <si>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</si>
  <si>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</si>
  <si>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</si>
  <si>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</si>
  <si>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</si>
  <si>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</si>
  <si>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</si>
  <si>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</si>
  <si>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</si>
  <si>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</si>
  <si>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</si>
  <si>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</si>
  <si>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</si>
  <si>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</si>
  <si>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</si>
  <si>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</si>
  <si>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</si>
  <si>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</si>
  <si>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</si>
  <si>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</si>
  <si>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</si>
  <si>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</si>
  <si>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</si>
  <si>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</si>
  <si>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</si>
  <si>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</si>
  <si>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</si>
  <si>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</si>
  <si>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</si>
  <si>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</si>
  <si>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</si>
  <si>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</si>
  <si>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</si>
  <si>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</si>
  <si>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</si>
  <si>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</si>
  <si>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</si>
  <si>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</si>
  <si>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</si>
  <si>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</si>
  <si>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</si>
  <si>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</si>
  <si>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</si>
  <si>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</si>
  <si>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</si>
  <si>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</si>
  <si>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</si>
  <si>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</si>
  <si>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</si>
  <si>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</si>
  <si>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</si>
  <si>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</si>
  <si>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</si>
  <si>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</si>
  <si>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</si>
  <si>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</si>
  <si>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</si>
  <si>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</si>
  <si>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</si>
  <si>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</si>
  <si>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</si>
  <si>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</si>
  <si>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</si>
  <si>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</si>
  <si>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</si>
  <si>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</si>
  <si>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</si>
  <si>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</si>
  <si>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</si>
  <si>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</si>
  <si>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</si>
  <si>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</si>
  <si>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</si>
  <si>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</si>
  <si>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</si>
  <si>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</si>
  <si>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</si>
  <si>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</si>
  <si>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</si>
  <si>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</si>
  <si>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</si>
  <si>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</si>
  <si>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</si>
  <si>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</si>
  <si>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</si>
  <si>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</si>
  <si>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</si>
  <si>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</si>
  <si>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</si>
  <si>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</si>
  <si>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</si>
  <si>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</si>
  <si>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</si>
  <si>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</si>
  <si>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</si>
  <si>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</si>
  <si>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</si>
  <si>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</si>
  <si>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</si>
  <si>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</si>
  <si>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</si>
  <si>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</si>
  <si>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</si>
  <si>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</si>
  <si>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</si>
  <si>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</si>
  <si>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</si>
  <si>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</si>
  <si>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</si>
  <si>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</si>
  <si>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</si>
  <si>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</si>
  <si>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</si>
  <si>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</si>
  <si>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</si>
  <si>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</si>
  <si>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</si>
  <si>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</si>
  <si>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</si>
  <si>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</si>
  <si>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</si>
  <si>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</si>
  <si>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</si>
  <si>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</si>
  <si>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</si>
  <si>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</si>
  <si>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</si>
  <si>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</si>
  <si>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</si>
  <si>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</si>
  <si>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</si>
  <si>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</si>
  <si>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</si>
  <si>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</si>
  <si>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</si>
  <si>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</si>
  <si>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</si>
  <si>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</si>
  <si>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</si>
  <si>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</si>
  <si>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</si>
  <si>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</si>
  <si>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</si>
  <si>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</si>
  <si>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</si>
  <si>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</si>
  <si>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</si>
  <si>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</si>
  <si>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</si>
  <si>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</si>
  <si>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</si>
  <si>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</si>
  <si>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</si>
  <si>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</si>
  <si>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</si>
  <si>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</si>
  <si>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</si>
  <si>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</si>
  <si>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</si>
  <si>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</si>
  <si>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</si>
  <si>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</si>
  <si>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</si>
  <si>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</si>
  <si>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</si>
  <si>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</si>
  <si>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</si>
  <si>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</si>
  <si>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</si>
  <si>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</si>
  <si>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</si>
  <si>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</si>
  <si>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</si>
  <si>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</si>
  <si>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</si>
  <si>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</si>
  <si>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</si>
  <si>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</si>
  <si>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</si>
  <si>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</si>
  <si>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</si>
  <si>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</si>
  <si>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</si>
  <si>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</si>
  <si>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</si>
  <si>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</si>
  <si>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</si>
  <si>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</si>
  <si>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</si>
  <si>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</si>
  <si>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</si>
  <si>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</si>
  <si>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</si>
  <si>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</si>
  <si>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</si>
  <si>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</si>
  <si>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</si>
  <si>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</si>
  <si>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</si>
  <si>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</si>
  <si>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</si>
  <si>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</si>
  <si>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</si>
  <si>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</si>
  <si>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</si>
  <si>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</si>
  <si>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</si>
  <si>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</si>
  <si>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</si>
  <si>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</si>
  <si>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</si>
  <si>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</si>
  <si>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</si>
  <si>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</si>
  <si>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</si>
  <si>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</si>
  <si>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</si>
  <si>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</si>
  <si>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</si>
  <si>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</si>
  <si>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</si>
  <si>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</si>
  <si>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</si>
  <si>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</si>
  <si>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</si>
  <si>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</si>
  <si>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</si>
  <si>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</si>
  <si>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</si>
  <si>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</si>
  <si>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</si>
  <si>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</si>
  <si>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</si>
  <si>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</si>
  <si>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</si>
  <si>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Obiekt:</t>
  </si>
  <si>
    <t>Projektant:</t>
  </si>
  <si>
    <t>Wybierz model:</t>
  </si>
  <si>
    <t xml:space="preserve">Obudowa tłumiąca dźwięk: "pakiet dB" (Uwaga! Wymaga ramy szafki) 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</si>
  <si>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</si>
  <si>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</si>
  <si>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</si>
  <si>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</si>
  <si>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</si>
  <si>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</si>
  <si>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</si>
  <si>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</si>
  <si>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</si>
  <si>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</si>
  <si>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</si>
  <si>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</si>
  <si>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</si>
  <si>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</si>
  <si>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Napięcie sterowania:</t>
  </si>
  <si>
    <t>Wentylator wyciągowy:</t>
  </si>
  <si>
    <t>Całkowita moc:</t>
  </si>
  <si>
    <t>Poziomy mocy akustycznej w kanałach przyłączeniowych</t>
  </si>
  <si>
    <t>Kanał przyłączeniowy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</si>
  <si>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</si>
  <si>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</si>
  <si>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</si>
  <si>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</si>
  <si>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</si>
  <si>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</si>
  <si>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</si>
  <si>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</si>
  <si>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</si>
  <si>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</si>
  <si>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</si>
  <si>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</si>
  <si>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</si>
  <si>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</si>
  <si>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</si>
  <si>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</si>
  <si>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</si>
  <si>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</si>
  <si>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</si>
  <si>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</si>
  <si>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</si>
  <si>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</si>
  <si>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</si>
  <si>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</si>
  <si>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</si>
  <si>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Obliczanie rocznej sprawności odzysku ciepła z powietrza wywiewanego z wentylacji</t>
  </si>
  <si>
    <t>Obliczenia zgodnie z Publikacją Ministerstwa Środowiska YM 122</t>
  </si>
  <si>
    <t>= wprowadzana komórka</t>
  </si>
  <si>
    <t>Czas korzystania z powyższego oddzielnego wyciągu powietrza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</si>
  <si>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</si>
  <si>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</si>
  <si>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</si>
  <si>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</si>
  <si>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</si>
  <si>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</si>
  <si>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</si>
  <si>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</si>
  <si>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</si>
  <si>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</si>
  <si>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</si>
  <si>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</si>
  <si>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</si>
  <si>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</si>
  <si>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</si>
  <si>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</si>
  <si>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</si>
  <si>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</si>
  <si>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</si>
  <si>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Wprowadź rozmiar i wartości docelowe:</t>
  </si>
  <si>
    <t>Rozpocznij od wprowadzenia temperatury wody zasilającej lub powrotnej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</si>
  <si>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</si>
  <si>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</si>
  <si>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</si>
  <si>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</si>
  <si>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</si>
  <si>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>Natężenie przepływu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</si>
  <si>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</si>
  <si>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</si>
  <si>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</si>
  <si>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</si>
  <si>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</si>
  <si>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</si>
  <si>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</si>
  <si>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</si>
  <si>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</si>
  <si>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</si>
  <si>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</si>
  <si>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</si>
  <si>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</si>
  <si>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Zdefiniowana wartość wydajności nie została osiągnięta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</si>
  <si>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</si>
  <si>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</si>
  <si>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</si>
  <si>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</si>
  <si>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</si>
  <si>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</si>
  <si>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</si>
  <si>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</si>
  <si>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</si>
  <si>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</si>
  <si>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</si>
  <si>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</si>
  <si>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</si>
  <si>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</si>
  <si>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</si>
  <si>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</si>
  <si>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</si>
  <si>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</si>
  <si>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</si>
  <si>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</si>
  <si>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</si>
  <si>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</si>
  <si>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</si>
  <si>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</si>
  <si>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</si>
  <si>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</si>
  <si>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</si>
  <si>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</si>
  <si>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</si>
  <si>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</si>
  <si>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</si>
  <si>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</si>
  <si>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</si>
  <si>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</si>
  <si>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</si>
  <si>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</si>
  <si>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</si>
  <si>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</si>
  <si>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</si>
  <si>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</si>
  <si>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</si>
  <si>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</si>
  <si>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</si>
  <si>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</si>
  <si>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</si>
  <si>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</si>
  <si>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</si>
  <si>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</si>
  <si>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</si>
  <si>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</si>
  <si>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</si>
  <si>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</si>
  <si>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</si>
  <si>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</si>
  <si>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</si>
  <si>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</si>
  <si>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</si>
  <si>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</si>
  <si>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</si>
  <si>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</si>
  <si>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</si>
  <si>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</si>
  <si>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</si>
  <si>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</si>
  <si>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</si>
  <si>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</si>
  <si>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</si>
  <si>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</si>
  <si>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</si>
  <si>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</si>
  <si>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</si>
  <si>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</si>
  <si>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</si>
  <si>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</si>
  <si>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</si>
  <si>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</si>
  <si>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</si>
  <si>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</si>
  <si>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</si>
  <si>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</si>
  <si>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</si>
  <si>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</si>
  <si>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</si>
  <si>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</si>
  <si>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</si>
  <si>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</si>
  <si>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</si>
  <si>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</si>
  <si>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</si>
  <si>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</si>
  <si>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</si>
  <si>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</si>
  <si>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</si>
  <si>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</si>
  <si>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</si>
  <si>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</si>
  <si>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</si>
  <si>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</si>
  <si>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</si>
  <si>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</si>
  <si>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</si>
  <si>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</si>
  <si>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</si>
  <si>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</si>
  <si>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</si>
  <si>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</si>
  <si>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</si>
  <si>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</si>
  <si>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</si>
  <si>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</si>
  <si>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</si>
  <si>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</si>
  <si>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</si>
  <si>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</si>
  <si>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</si>
  <si>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</si>
  <si>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</si>
  <si>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</si>
  <si>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</si>
  <si>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</si>
  <si>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</si>
  <si>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</si>
  <si>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</si>
  <si>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</si>
  <si>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</si>
  <si>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</si>
  <si>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</si>
  <si>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</si>
  <si>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</si>
  <si>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</si>
  <si>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</si>
  <si>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</si>
  <si>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</si>
  <si>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</si>
  <si>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</si>
  <si>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</si>
  <si>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</si>
  <si>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</si>
  <si>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</si>
  <si>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</si>
  <si>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</si>
  <si>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</si>
  <si>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</si>
  <si>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</si>
  <si>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</si>
  <si>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</si>
  <si>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</si>
  <si>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</si>
  <si>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</si>
  <si>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</si>
  <si>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</si>
  <si>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</si>
  <si>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</si>
  <si>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</si>
  <si>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</si>
  <si>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</si>
  <si>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</si>
  <si>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</si>
  <si>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</si>
  <si>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</si>
  <si>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</si>
  <si>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</si>
  <si>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</si>
  <si>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</si>
  <si>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</si>
  <si>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</si>
  <si>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</si>
  <si>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</si>
  <si>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</si>
  <si>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</si>
  <si>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</si>
  <si>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</si>
  <si>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</si>
  <si>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</si>
  <si>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</si>
  <si>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</si>
  <si>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</si>
  <si>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</si>
  <si>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</si>
  <si>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</si>
  <si>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</si>
  <si>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</si>
  <si>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</si>
  <si>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</si>
  <si>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</si>
  <si>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</si>
  <si>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</si>
  <si>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</si>
  <si>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</si>
  <si>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</si>
  <si>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</si>
  <si>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</si>
  <si>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</si>
  <si>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</si>
  <si>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</si>
  <si>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</si>
  <si>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</si>
  <si>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</si>
  <si>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</si>
  <si>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</si>
  <si>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</si>
  <si>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</si>
  <si>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</si>
  <si>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</si>
  <si>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</si>
  <si>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</si>
  <si>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</si>
  <si>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</si>
  <si>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</si>
  <si>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</si>
  <si>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</si>
  <si>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</si>
  <si>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</si>
  <si>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</si>
  <si>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</si>
  <si>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</si>
  <si>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</si>
  <si>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</si>
  <si>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</si>
  <si>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</si>
  <si>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</si>
  <si>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</si>
  <si>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</si>
  <si>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</si>
  <si>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</si>
  <si>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</si>
  <si>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</si>
  <si>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</si>
  <si>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</si>
  <si>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</si>
  <si>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</si>
  <si>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</si>
  <si>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</si>
  <si>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</si>
  <si>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</si>
  <si>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</si>
  <si>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</si>
  <si>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</si>
  <si>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</si>
  <si>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</si>
  <si>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</si>
  <si>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</si>
  <si>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</si>
  <si>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</si>
  <si>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</si>
  <si>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</si>
  <si>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</si>
  <si>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</si>
  <si>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</si>
  <si>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</si>
  <si>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</si>
  <si>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</si>
  <si>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</si>
  <si>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</si>
  <si>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</si>
  <si>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</si>
  <si>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</si>
  <si>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</si>
  <si>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</si>
  <si>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</si>
  <si>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</si>
  <si>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</si>
  <si>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</si>
  <si>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</si>
  <si>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</si>
  <si>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</si>
  <si>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</si>
  <si>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</si>
  <si>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</si>
  <si>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</si>
  <si>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</si>
  <si>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</si>
  <si>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</si>
  <si>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</si>
  <si>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</si>
  <si>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</si>
  <si>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</si>
  <si>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</si>
  <si>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</si>
  <si>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</si>
  <si>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</si>
  <si>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</si>
  <si>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</si>
  <si>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</si>
  <si>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</si>
  <si>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</si>
  <si>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</si>
  <si>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</si>
  <si>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</si>
  <si>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</si>
  <si>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</si>
  <si>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</si>
  <si>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</si>
  <si>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</si>
  <si>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</si>
  <si>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</si>
  <si>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</si>
  <si>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</si>
  <si>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</si>
  <si>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</si>
  <si>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</si>
  <si>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</si>
  <si>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</si>
  <si>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</si>
  <si>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</si>
  <si>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</si>
  <si>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</si>
  <si>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</si>
  <si>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</si>
  <si>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</si>
  <si>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</si>
  <si>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</si>
  <si>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</si>
  <si>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</si>
  <si>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</si>
  <si>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</si>
  <si>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</si>
  <si>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</si>
  <si>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</si>
  <si>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</si>
  <si>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</si>
  <si>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</si>
  <si>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</si>
  <si>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</si>
  <si>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</si>
  <si>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</si>
  <si>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</si>
  <si>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</si>
  <si>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</si>
  <si>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</si>
  <si>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</si>
  <si>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</si>
  <si>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</si>
  <si>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</si>
  <si>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</si>
  <si>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</si>
  <si>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</si>
  <si>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</si>
  <si>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</si>
  <si>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</si>
  <si>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</si>
  <si>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</si>
  <si>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</si>
  <si>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</si>
  <si>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</si>
  <si>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</si>
  <si>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</si>
  <si>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</si>
  <si>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</si>
  <si>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</si>
  <si>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</si>
  <si>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</si>
  <si>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</si>
  <si>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</si>
  <si>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</si>
  <si>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</si>
  <si>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</si>
  <si>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</si>
  <si>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</si>
  <si>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</si>
  <si>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</si>
  <si>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</si>
  <si>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</si>
  <si>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</si>
  <si>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</si>
  <si>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</si>
  <si>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</si>
  <si>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</si>
  <si>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</si>
  <si>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</si>
  <si>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</si>
  <si>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</si>
  <si>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</si>
  <si>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</si>
  <si>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</si>
  <si>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</si>
  <si>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</si>
  <si>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</si>
  <si>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</si>
  <si>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</si>
  <si>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</si>
  <si>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</si>
  <si>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</si>
  <si>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</si>
  <si>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</si>
  <si>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</si>
  <si>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</si>
  <si>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</si>
  <si>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</si>
  <si>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</si>
  <si>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</si>
  <si>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</si>
  <si>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</si>
  <si>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</si>
  <si>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</si>
  <si>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</si>
  <si>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</si>
  <si>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</si>
  <si>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</si>
  <si>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</si>
  <si>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</si>
  <si>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</si>
  <si>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</si>
  <si>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</si>
  <si>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</si>
  <si>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</si>
  <si>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</si>
  <si>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</si>
  <si>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</si>
  <si>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</si>
  <si>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</si>
  <si>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</si>
  <si>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</si>
  <si>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</si>
  <si>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</si>
  <si>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</si>
  <si>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</si>
  <si>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</si>
  <si>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</si>
  <si>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</si>
  <si>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</si>
  <si>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</si>
  <si>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</si>
  <si>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</si>
  <si>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</si>
  <si>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</si>
  <si>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</si>
  <si>
    <t>(A ) Konetyyppi</t>
  </si>
  <si>
    <t>( BBB ) Konekoko</t>
  </si>
  <si>
    <t>005, 500dm³/s…1800m³/h   (Kone: Airfi Model C5 Electric, 230VAC 50Hz 16A, max ottoteho 2 kW  /  Airfi Model C5 Water, 230VAC 50Hz 16A, max ottoteho 2 kW )</t>
  </si>
  <si>
    <t>0xx, xxxdm³/s…xxxxm³/h (Future version)</t>
  </si>
  <si>
    <r>
      <t>1 = R = oikea (jäteilma oikeassa reunassa huoltosuunnasta katsoen)</t>
    </r>
    <r>
      <rPr>
        <u/>
        <sz val="11"/>
        <color theme="1"/>
        <rFont val="Calibri"/>
        <family val="2"/>
        <scheme val="minor"/>
      </rPr>
      <t>, Vakiotoimitus, jos ei muuta pyydetty</t>
    </r>
  </si>
  <si>
    <t>2 = L  = vasen (jäteilma vasemmassa reunassa huoltosuunnasta katsoen)</t>
  </si>
  <si>
    <t>5 = ISO ePM10 50% (M5 taso)</t>
  </si>
  <si>
    <t>6 = ISO ePM1 65%,  (Vakiotoimitus C-koneissa, jos ei valittu muuta) (aiempi luokitus F7 taso)</t>
  </si>
  <si>
    <t>7 = ISO ePM1 85% (F8/F9 taso)</t>
  </si>
  <si>
    <t>5 = ISO ePM10 50%,  (Vakiotoimitus C-koneissa, jos ei valittu muuta) (aiempi luokitus M5-taso)</t>
  </si>
  <si>
    <t>6 = ISO ePM1 65% (F7-taso)</t>
  </si>
  <si>
    <r>
      <t xml:space="preserve">61 = Water-  soveltuu esim. 50/30 vedelle (mitoita ohjelmassa), </t>
    </r>
    <r>
      <rPr>
        <u/>
        <sz val="11"/>
        <color theme="1"/>
        <rFont val="Calibri"/>
        <family val="2"/>
        <scheme val="minor"/>
      </rPr>
      <t>Vakiotoimitus mallissa C5 Water jos ei muuta pyydetty</t>
    </r>
  </si>
  <si>
    <t>1 = Electric, Vakiona valitun teholuokan mukaiset varusteet (Huom! Electric malleissa jälkilämmityksen oma sähkönsyöttö)</t>
  </si>
  <si>
    <r>
      <t>0 = ei sisäistä jäähdytystä.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  <r>
      <rPr>
        <sz val="10"/>
        <color theme="1"/>
        <rFont val="Century Gothic"/>
        <family val="2"/>
      </rPr>
      <t xml:space="preserve"> </t>
    </r>
  </si>
  <si>
    <t>7 = Jäähdytys suorahöyrystyspatteri DX-1,   (mitoita ohjelmassa), toimitus sisältää patterin, ei toimilaitteita</t>
  </si>
  <si>
    <r>
      <t xml:space="preserve">0 = Ei jäähdytyksen toimilaitteita tai venttiileitä.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</si>
  <si>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r>
      <t xml:space="preserve">0 = Ei suodatinvahteja. 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</si>
  <si>
    <t xml:space="preserve">1 = Suodatinvahti tulo </t>
  </si>
  <si>
    <t>2 = Suodatinvahti poisto</t>
  </si>
  <si>
    <t>3 = Suodatinvahti tulo ja poisto</t>
  </si>
  <si>
    <r>
      <t xml:space="preserve">0 = Ei vakiopainesäätöä.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</si>
  <si>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Vakiopainesäätö tulo ja poisto (vakiopainesäädön mittauspisteet letkutetaan työmaalla)</t>
  </si>
  <si>
    <r>
      <rPr>
        <sz val="11"/>
        <rFont val="Calibri"/>
        <family val="2"/>
        <scheme val="minor"/>
      </rPr>
      <t>0 = Ei ilmamäärämittausta</t>
    </r>
    <r>
      <rPr>
        <u/>
        <sz val="11"/>
        <rFont val="Calibri"/>
        <family val="2"/>
        <scheme val="minor"/>
      </rPr>
      <t xml:space="preserve">. Vakiotoimitus jos ei muuta pyydetty. </t>
    </r>
  </si>
  <si>
    <t>2 = Sulkupellit sekä jousipalautteiset toimilaitteet (1kpl Ulkoilma + 1 kpl jäteilma), valmiiksi tehtaalla sähköisesti kytketty . Eristetyt säleet , CAT 4 luokka.</t>
  </si>
  <si>
    <t>3 = Sulkupelti sekä jousipalautteinen toimilaite Ulkoilma (1kpl) , valmiiksi tehtaalla sähköisesti kytketty . Eristetyt säleet , CAT 4 luokka.</t>
  </si>
  <si>
    <t>4 = Sulkupelti sekä jousipalautteinen toimilaite Jäteilma (1kpl), valmiiksi tehtaalla sähköisesti kytketty . Eristetyt säleet , CAT 4 luokka.</t>
  </si>
  <si>
    <t>5 = Sulkupellit (1kpl Ulkoilma + 1 kpl jäteilma), EI TOIMILAITTEITA.  CAT 4 luokka.</t>
  </si>
  <si>
    <t>6 = Sulkupelti Ulkoilma (1kpl), EI TOIMILAITETTA.  CAT 4 luokka.</t>
  </si>
  <si>
    <t>7 = Sulkupelti Jäteilma (1kpl), EI TOIMILAITETTA. CAT 4 luokka.</t>
  </si>
  <si>
    <r>
      <t xml:space="preserve">0 = Ei sensoreita. </t>
    </r>
    <r>
      <rPr>
        <u/>
        <sz val="11"/>
        <color theme="1"/>
        <rFont val="Calibri"/>
        <family val="2"/>
        <scheme val="minor"/>
      </rPr>
      <t>Vakiotoimitus jos ei muuta pyydetty.</t>
    </r>
    <r>
      <rPr>
        <sz val="10"/>
        <color theme="1"/>
        <rFont val="Century Gothic"/>
        <family val="2"/>
      </rPr>
      <t xml:space="preserve"> </t>
    </r>
  </si>
  <si>
    <t>1 = RH - lähetin</t>
  </si>
  <si>
    <t>2 = CO2 - lähetin</t>
  </si>
  <si>
    <t>3 = RH + CO2 - lähetin</t>
  </si>
  <si>
    <t>2 = Rivilitinversio, toimilaitteet johdotettu riviliittimelle. Sisältää mm. 5 kpl lämpötila-anturi NTC, ja vesimallissa lisäksi 1 kpl jäätymissuoja-anturi NTC. Sekä koodiavaimen valintojen mukaisesti lähettimet. Toimitus ei sisällä ohjaussäätimiä.</t>
  </si>
  <si>
    <t>( P ) Energiamittaus **</t>
  </si>
  <si>
    <t>1 = Energiamittari käyttösähkö (puhallinenergia ja automaatio)</t>
  </si>
  <si>
    <t xml:space="preserve">( Q ) Ohjaus1- toimitus irrallaan, asennus työmaalla </t>
  </si>
  <si>
    <t>( RR ) Ohjaus2- toimitus irrallaan, asennus työmaalla</t>
  </si>
  <si>
    <t>01 =Uno White</t>
  </si>
  <si>
    <t>03 =Sento White</t>
  </si>
  <si>
    <t>04 = Sento Black</t>
  </si>
  <si>
    <t xml:space="preserve">07 =Mille Wifi </t>
  </si>
  <si>
    <t>( S ) Lisäinfo</t>
  </si>
  <si>
    <t>Airfi: program doborowy urządzeń wentylacyjnych</t>
  </si>
  <si>
    <t>Nagrzewnica wodna</t>
  </si>
  <si>
    <t>Powietrze nawiewane</t>
  </si>
  <si>
    <t>Powietrze wywiewane</t>
  </si>
  <si>
    <t>Obliczenie zapasu wydajności jednostki:</t>
  </si>
  <si>
    <t>Maksymalny zapas wydajności:</t>
  </si>
  <si>
    <t>Wprowadź żądaną wartość zapasu wydajności:</t>
  </si>
  <si>
    <t>Wartość zapasu wydajności [%]:</t>
  </si>
  <si>
    <t>Wentylator nawiewny:</t>
  </si>
  <si>
    <t>Moc wentylatora:</t>
  </si>
  <si>
    <t>Uwaga: Powyższe wartości obejmują również zużycie energii przez elektronikę urządzenia.</t>
  </si>
  <si>
    <t>Punkt pracy w przypadku użycia programu TURBO:</t>
  </si>
  <si>
    <t>Nawiew</t>
  </si>
  <si>
    <t>Czerpnia</t>
  </si>
  <si>
    <t>Wywiew</t>
  </si>
  <si>
    <t>Wyrzutnia</t>
  </si>
  <si>
    <t>Bypass okapu kuchennego</t>
  </si>
  <si>
    <t>Poziom mocy akustycznej generowany do otoczenia</t>
  </si>
  <si>
    <t>Przez obudowę</t>
  </si>
  <si>
    <t>Silnik i układ sterowania</t>
  </si>
  <si>
    <t>Zimny</t>
  </si>
  <si>
    <t xml:space="preserve">Umiarkowany </t>
  </si>
  <si>
    <t>Ciepły</t>
  </si>
  <si>
    <t>Dobór nagrzewnicy wodnej</t>
  </si>
  <si>
    <t>Temperatura powietrza na wejściu</t>
  </si>
  <si>
    <t>Temperatura powietrza na wyjściu</t>
  </si>
  <si>
    <t xml:space="preserve">Dobór nagrzewnicy w zależności od temperatury wody zasilającej </t>
  </si>
  <si>
    <t xml:space="preserve">Dobór nagrzewnicy w zależności od temperatury wody powrotnej </t>
  </si>
  <si>
    <t>Spadek ciśnienia po stronie cieczy w nagrzewnicy</t>
  </si>
  <si>
    <t>Przepływ powietrza nawiewanego przez wymiennik odzysku ciepła</t>
  </si>
  <si>
    <t>Przepływ powietrza wywiewanego przez wymiennik odzysku ciepła</t>
  </si>
  <si>
    <t>Stosunek przepływu powietrza nawiewanego i wywiewanego przez wymiennik odzysku ciepła</t>
  </si>
  <si>
    <t>Dodatkowy przepływ powietrza wywiewanego trafiający na wymiennik odzysku ciepła</t>
  </si>
  <si>
    <t>Stosunek przepływów powietrza nawiewanego i wywiewanego dla całego systemu wentylacyjnego</t>
  </si>
  <si>
    <t>Sprawność wymiennika odzysku ciepła (EN 308)</t>
  </si>
  <si>
    <t>Wybierz strefę klimatyczną (miasto)</t>
  </si>
  <si>
    <t>Minimalna temperatura powietrza wyrzucanego</t>
  </si>
  <si>
    <t>Korjattu Airfi:lta 25.9.2024 saadun kommenttiexcelin perusteella (37/152 korjattua --&gt; 25% pielessä)</t>
  </si>
  <si>
    <t>Lisätty tilaajan 3.11.2023 antamat muutostoiveet (Kielivalinnan vaikutus HS-laskentaan, tilavuusvirran syötön yksiköihin ja tulostuksen teksteihin + pieniä muita korjauksia)</t>
  </si>
  <si>
    <t>C5</t>
  </si>
  <si>
    <t>4-8V</t>
  </si>
  <si>
    <t>8V - 10V</t>
  </si>
  <si>
    <t>ÄÄNI</t>
  </si>
  <si>
    <t>TILAVUUSVIRTA</t>
  </si>
  <si>
    <t>TEHO</t>
  </si>
  <si>
    <t>2-8V</t>
  </si>
  <si>
    <t>** C-series **</t>
  </si>
  <si>
    <t>( D ) Koneen Automatiikka</t>
  </si>
  <si>
    <t>( E ) Suodatus TULO</t>
  </si>
  <si>
    <t>( F ) Suodatus POISTO</t>
  </si>
  <si>
    <t xml:space="preserve">( GG ) Jälkilämmityspatteri, sisäinen </t>
  </si>
  <si>
    <t>( H ) Jälkilämmityksen ohjaus, sisäinen</t>
  </si>
  <si>
    <t>( I ) Jäähdytyspatteri, sisäinen</t>
  </si>
  <si>
    <t>( J ) Jäähdytyksen ohjaus, sisäinen jäähdytyspatteri</t>
  </si>
  <si>
    <t>( K ) Suodatinvahti*</t>
  </si>
  <si>
    <t>( L ) Vakiopainesäätö*</t>
  </si>
  <si>
    <t xml:space="preserve">( M ) Ilmamäärämittaus* </t>
  </si>
  <si>
    <t>( N ) Jousipalautteiset sulkupellit</t>
  </si>
  <si>
    <t>( O ) Mittausanturit, sisäinen *</t>
  </si>
  <si>
    <t>62 = Water- matalille lämpötiloille, esim. 35/25 - 35/30 (mitoita ohjelmassa)</t>
  </si>
  <si>
    <t xml:space="preserve">5 = Toim.alk.Q2/2025, Water , Jälkilämmityksen 2-tieventtiili ja toimilaite - patterin 50/30 mukaan (toimitus irrallaan, kytkentä ja asennus PU). Sähköisesti Plug&amp;Play valmis. </t>
  </si>
  <si>
    <r>
      <t xml:space="preserve">1 = Jäähdytys neste, patteriteho 1 ,esim. 7/12 - 10/15 (mitoita ohjelmassa). </t>
    </r>
    <r>
      <rPr>
        <u/>
        <sz val="11"/>
        <color theme="1"/>
        <rFont val="Calibri"/>
        <family val="2"/>
        <scheme val="minor"/>
      </rPr>
      <t>Vakiotoimitus C-sarjassa jos valittu jäähdytyspatteri ja ei muuta pyydetty</t>
    </r>
  </si>
  <si>
    <t>005</t>
  </si>
  <si>
    <t>0xx</t>
  </si>
  <si>
    <t>R</t>
  </si>
  <si>
    <t>00</t>
  </si>
  <si>
    <t>KOODI</t>
  </si>
  <si>
    <t>L</t>
  </si>
  <si>
    <t>Vaihtoehtovalikot 1</t>
  </si>
  <si>
    <t>Vaihtoehtovalikot 2</t>
  </si>
  <si>
    <t>GG valinta sähkö</t>
  </si>
  <si>
    <t>GG valinta 61</t>
  </si>
  <si>
    <t>Vaihtoehtovalikot 3</t>
  </si>
  <si>
    <t>GG valinta 62</t>
  </si>
  <si>
    <t>Huom. Vaihtuu valinnan mukaan</t>
  </si>
  <si>
    <t>I valinta 1</t>
  </si>
  <si>
    <t>I valinta 0,6 tai 7</t>
  </si>
  <si>
    <t xml:space="preserve"> ** C series future version **</t>
  </si>
  <si>
    <t>230 V, 50 Hz, max 2 kW</t>
  </si>
  <si>
    <t>Ilman
massavirta</t>
  </si>
  <si>
    <t>Kenno (mitattu)</t>
  </si>
  <si>
    <t>Kenno (valmistajalta)</t>
  </si>
  <si>
    <t>Kone (Airfi C5)</t>
  </si>
  <si>
    <t>Laskentaohjelmaan</t>
  </si>
  <si>
    <t>Recutech ohjelmasta</t>
  </si>
  <si>
    <t>EHDOTUS</t>
  </si>
  <si>
    <t xml:space="preserve">alla kuvakaappaukset että jää jälki mihin perustuu </t>
  </si>
  <si>
    <t>ZENNER  -  Mitattu tuloilman lämpötilahyötysuhde 1:1</t>
  </si>
  <si>
    <t>Lämmöntalteenottokennon hyötysuhde (EN308)*</t>
  </si>
  <si>
    <t>Kenno EN308</t>
  </si>
  <si>
    <t>* Komponenttitoimittajan ilmoittama EN308-arvo</t>
  </si>
  <si>
    <t>Ehdot,  ei voi laskea ilmavirroille alle   200 dm³/s tätä konetta C5</t>
  </si>
  <si>
    <t>Ehdot,  ei voi laskea yli maksimikäyrän tätä konetta C5</t>
  </si>
  <si>
    <t>Ehdot, ns Paine-ero tulo --- ei saa laittaa arvoksi yli 500 Pa  tulopuolelle (tehostuskäyrä voi laskea vapaasti)</t>
  </si>
  <si>
    <t>Ehdot, ns Paine-ero--- ei saa laittaa arvoksi yli 500 Pa  poistopuolelle (tehostuskäyrä voi laskea vapaasti)</t>
  </si>
  <si>
    <t>Airfi: C-sarjan ilmanvaihtokoneen valintaohjelma</t>
  </si>
  <si>
    <t>Airfi: C series air handling unit selection program</t>
  </si>
  <si>
    <t>Valitse malli erillisellä välilehdellä</t>
  </si>
  <si>
    <t>Toimintapisteen tarkistus:</t>
  </si>
  <si>
    <t>Onko ohjausjännite alle 10 V</t>
  </si>
  <si>
    <t>Onko ohjausjännite yli 2 V</t>
  </si>
  <si>
    <t>Onko paine alle 500 Pa</t>
  </si>
  <si>
    <t>Onko tilavuusvirta yli minimitilavuusvirran?</t>
  </si>
  <si>
    <t>Vanha tarkastus</t>
  </si>
  <si>
    <t>Onko tilavuusvirta alle 10 V verkkokäyrän</t>
  </si>
  <si>
    <t>Kaikki kunnossa?</t>
  </si>
  <si>
    <t>Rajoitus huomioitu</t>
  </si>
  <si>
    <t>W vähennetty idle</t>
  </si>
  <si>
    <t>W vähennetty idel</t>
  </si>
  <si>
    <t>W (huom. oli mukana mittaustuloksissa)</t>
  </si>
  <si>
    <t>Airfi: C-sarjan koneiden laitekoodin valinta</t>
  </si>
  <si>
    <t>Valitse vaihtoehto jokaisesta alla olevasta liukuvalikosta</t>
  </si>
  <si>
    <t>Spektrikorjaukset (verkkokäyrän mukaan valinta)</t>
  </si>
  <si>
    <t>Lähin</t>
  </si>
  <si>
    <t>Mitattu</t>
  </si>
  <si>
    <t>Laskuri</t>
  </si>
  <si>
    <t>LWAtot</t>
  </si>
  <si>
    <t>Ero</t>
  </si>
  <si>
    <t>Airfi C5-koneen laskentaohjelman validointipisteitä</t>
  </si>
  <si>
    <t>Laskentaohjelmaversio 7.0 beta</t>
  </si>
  <si>
    <t>24.10.2024 / JK</t>
  </si>
  <si>
    <t>25.10.2024 (JU+JK), vertailuilmavirran kennon arvo</t>
  </si>
  <si>
    <t>7.0 beta 1</t>
  </si>
  <si>
    <t>Airfi laskentaohjelma_v7.0 beta 1.xlsx</t>
  </si>
  <si>
    <r>
      <t xml:space="preserve">Korjattu puolankielistä sanastoa kommenttiexcelin perusteella (25.9.2024 saatu). </t>
    </r>
    <r>
      <rPr>
        <b/>
        <sz val="9"/>
        <color theme="1"/>
        <rFont val="Century Gothic"/>
        <family val="2"/>
      </rPr>
      <t>Lisätty alustava C-sarjan laskentaohjelma + koodiavain.</t>
    </r>
    <r>
      <rPr>
        <sz val="9"/>
        <color theme="1"/>
        <rFont val="Century Gothic"/>
        <family val="2"/>
      </rPr>
      <t xml:space="preserve"> Palautettu alustavana kommenteille, ei vielä kaikkia ominaisuuksia eikä patterimitoituksia tai SFPint-laskentaa. Korjattu Model 350 SFPint-laskennan hyötysuhdearvo (referenssi ilmavirran EN 308)</t>
    </r>
  </si>
  <si>
    <t>Valinnat</t>
  </si>
  <si>
    <t>H</t>
  </si>
  <si>
    <t>I</t>
  </si>
  <si>
    <t>J</t>
  </si>
  <si>
    <t>M</t>
  </si>
  <si>
    <t>N</t>
  </si>
  <si>
    <t>O</t>
  </si>
  <si>
    <t>Q</t>
  </si>
  <si>
    <t>S</t>
  </si>
  <si>
    <t>Suodatin</t>
  </si>
  <si>
    <t>Kenno</t>
  </si>
  <si>
    <t>Muu reitti</t>
  </si>
  <si>
    <t>Eri komponenttien painehäviöt</t>
  </si>
  <si>
    <t>Potenssi</t>
  </si>
  <si>
    <t>2. aste</t>
  </si>
  <si>
    <t>Puhallin</t>
  </si>
  <si>
    <t>Puhaltimen paine-eron laskenta</t>
  </si>
  <si>
    <t>Suodatinvaihtoehdot</t>
  </si>
  <si>
    <t>ISO ePM10 50% (M5)</t>
  </si>
  <si>
    <t>ISO ePM1 65% (F7)</t>
  </si>
  <si>
    <t>ISO ePM1 85% (F8/F9)</t>
  </si>
  <si>
    <t>7.0 beta 2</t>
  </si>
  <si>
    <t>Post heating water</t>
  </si>
  <si>
    <t>D valinta 1</t>
  </si>
  <si>
    <t>D valinta 2</t>
  </si>
  <si>
    <t>Perusrakenne:</t>
  </si>
  <si>
    <t>PERUSRAKENNE:</t>
  </si>
  <si>
    <t>SUODATUS:</t>
  </si>
  <si>
    <t>PATTERIT:</t>
  </si>
  <si>
    <t>TARVIKKEET:</t>
  </si>
  <si>
    <t>OHJAUKSET:</t>
  </si>
  <si>
    <t>BBB</t>
  </si>
  <si>
    <t>GG</t>
  </si>
  <si>
    <t>RR</t>
  </si>
  <si>
    <t>Koodiavain:</t>
  </si>
  <si>
    <t>Valinta:</t>
  </si>
  <si>
    <t>Suodatus:</t>
  </si>
  <si>
    <t>Patterit:</t>
  </si>
  <si>
    <t>Tarvikkeet:</t>
  </si>
  <si>
    <t>Ohjaukset:</t>
  </si>
  <si>
    <t>Koodi:</t>
  </si>
  <si>
    <t>Sisältökuvaus:</t>
  </si>
  <si>
    <t>Suodattimen painehäviöt</t>
  </si>
  <si>
    <t>Suodattimia kolme vaihtoehtoehtoa, hienoin (F8), keskimmäinen (F7) ja karkein (M5)</t>
  </si>
  <si>
    <t>Mitattu tulopuoli keskimmäisellä (F7)</t>
  </si>
  <si>
    <t>ePM 65% F7</t>
  </si>
  <si>
    <t>qV korj</t>
  </si>
  <si>
    <t>ePM 85% F8</t>
  </si>
  <si>
    <t>ePM10 50% M5</t>
  </si>
  <si>
    <t>Valintaohjelmassa valittu suodatin</t>
  </si>
  <si>
    <r>
      <t>y = Ax</t>
    </r>
    <r>
      <rPr>
        <vertAlign val="superscript"/>
        <sz val="10"/>
        <color theme="1"/>
        <rFont val="Century Gothic"/>
        <family val="2"/>
      </rPr>
      <t>B</t>
    </r>
  </si>
  <si>
    <t>Toimintapiste:</t>
  </si>
  <si>
    <t>F8</t>
  </si>
  <si>
    <t>F7</t>
  </si>
  <si>
    <t>M5</t>
  </si>
  <si>
    <t>Muutos</t>
  </si>
  <si>
    <t>Puhallinkäyrät:</t>
  </si>
  <si>
    <t>Alkuperäinen suodatin (F7)</t>
  </si>
  <si>
    <t>Hieno suodatin F8</t>
  </si>
  <si>
    <t>Karkea suodatin M5</t>
  </si>
  <si>
    <t>Valittu puhallinkäyrä</t>
  </si>
  <si>
    <t>Alkuperäinen suodatin (M5)</t>
  </si>
  <si>
    <t>Hienoin suodatin F8</t>
  </si>
  <si>
    <t>Hieno suodatin F7</t>
  </si>
  <si>
    <t>Tarkastuksia</t>
  </si>
  <si>
    <t>Mittaus F7</t>
  </si>
  <si>
    <t>Hieno F8, lask</t>
  </si>
  <si>
    <t>F8 suodatin</t>
  </si>
  <si>
    <t>Airfi laskentaohjelma_v7.0 beta 2.xlsx</t>
  </si>
  <si>
    <t xml:space="preserve">Valitut suodattimet: </t>
  </si>
  <si>
    <t xml:space="preserve">Tulo: </t>
  </si>
  <si>
    <t xml:space="preserve">Poisto: </t>
  </si>
  <si>
    <t>Mitoituspiste:</t>
  </si>
  <si>
    <t>EN 1314-7</t>
  </si>
  <si>
    <t>Nimellisilmavirta</t>
  </si>
  <si>
    <t>Selected model:</t>
  </si>
  <si>
    <t>Vald modell:</t>
  </si>
  <si>
    <t>Ausgewähltes Modell:</t>
  </si>
  <si>
    <t>Wybrany model:</t>
  </si>
  <si>
    <t>Valitud mudel:</t>
  </si>
  <si>
    <t>Pasirinktas modelis:</t>
  </si>
  <si>
    <t xml:space="preserve">
Izvēlētais modelis:</t>
  </si>
  <si>
    <r>
      <t>EN 308 @ q</t>
    </r>
    <r>
      <rPr>
        <vertAlign val="subscript"/>
        <sz val="10"/>
        <color theme="1"/>
        <rFont val="Century Gothic"/>
        <family val="2"/>
      </rPr>
      <t>nom</t>
    </r>
  </si>
  <si>
    <r>
      <t>LTO-kojeen nimellisilmavirta (q</t>
    </r>
    <r>
      <rPr>
        <vertAlign val="subscript"/>
        <sz val="10"/>
        <color theme="1"/>
        <rFont val="Century Gothic"/>
        <family val="2"/>
      </rPr>
      <t>nom</t>
    </r>
    <r>
      <rPr>
        <sz val="10"/>
        <color theme="1"/>
        <rFont val="Century Gothic"/>
        <family val="2"/>
      </rPr>
      <t>)</t>
    </r>
  </si>
  <si>
    <t>Korjaus, jos valittu  M5</t>
  </si>
  <si>
    <t>2 = Jäähdytys neste , patteriteho 2. esim. 10/18 -kaukokylmä/maajärjestelmä   (mitoita ohjelmassa)</t>
  </si>
  <si>
    <t>JK+JU</t>
  </si>
  <si>
    <t>Tehty Pulkkasen viestin mukaiset muutokset (excel + sähköposti 21.11.2024): mm. koodiavaimen jaksottelu ja kooditulostus viereen ja muita pieniä muutoksia koodiavaimen teksteihin. Poistettu C-sarjan SEC-laskenta (puhelinkeskustelu 26.11.2024). Lisätty SFPint-laskenta ja suodattimen vaikutus painehäviöihin. 350-kojeen SFP_int_limit -laskenta päivitetty (kiinteä arvot).</t>
  </si>
  <si>
    <t>2 = C = Commercial AHU, LTO-Vastavirtasiirrin</t>
  </si>
  <si>
    <r>
      <t xml:space="preserve">00 = Oletus (ei valittu),  </t>
    </r>
    <r>
      <rPr>
        <u/>
        <sz val="11"/>
        <color theme="1"/>
        <rFont val="Calibri"/>
        <family val="2"/>
        <scheme val="minor"/>
      </rPr>
      <t>Vakiotoimitus jos ei muuta pyydetty)</t>
    </r>
  </si>
  <si>
    <t>8 = Mille Wire (vakiona toimituksessa C-sarjan koneissa 1 kpl)</t>
  </si>
  <si>
    <t>2 = Lisäaikapainike  (asennus ja johdotus SU)</t>
  </si>
  <si>
    <r>
      <t xml:space="preserve">9 = </t>
    </r>
    <r>
      <rPr>
        <u/>
        <sz val="11"/>
        <color theme="1"/>
        <rFont val="Calibri"/>
        <family val="2"/>
        <scheme val="minor"/>
      </rPr>
      <t>Toimitus listauksen mukaisesti</t>
    </r>
  </si>
  <si>
    <t>7.0 beta 3</t>
  </si>
  <si>
    <t>Lisätty koodiavaimen valintatulostus C-series -välilehdelle. C-sarjan kohde- ja suunnittelijan syöte ainoastaan C-selectioniin, josta haetaan C-series -välilehdelle.</t>
  </si>
  <si>
    <t>Airfi laskentaohjelma_v7.0 beta 3.xlsx</t>
  </si>
  <si>
    <t>7.0 beta 4</t>
  </si>
  <si>
    <t>Airfi laskentaohjelma_v7.0 beta 4.xlsx</t>
  </si>
  <si>
    <t>7.1.2025 sähköpostin mukaisesti</t>
  </si>
  <si>
    <t>riviliitinvalinta pakottaa tähän 0</t>
  </si>
  <si>
    <t>Sähköposti 7.1.2025</t>
  </si>
  <si>
    <t>Lisätty patterimitoitus C-sarjaan, muokattu koodiavainta 7.1.2025 mailin mukaisesti (riviliitinvalinnan pakotukset koodin kohtien O, Q ja RR valintoihin).</t>
  </si>
  <si>
    <r>
      <rPr>
        <b/>
        <sz val="15"/>
        <color rgb="FF000000"/>
        <rFont val="Arial"/>
        <family val="2"/>
      </rPr>
      <t>TARJOUSNUMEROMME 123718-TK</t>
    </r>
  </si>
  <si>
    <r>
      <rPr>
        <sz val="9"/>
        <color rgb="FF000000"/>
        <rFont val="Arial"/>
        <family val="2"/>
      </rPr>
      <t>RIVI</t>
    </r>
  </si>
  <si>
    <t>Mitoituspiste</t>
  </si>
  <si>
    <r>
      <rPr>
        <sz val="9"/>
        <color rgb="FF000000"/>
        <rFont val="Arial"/>
        <family val="2"/>
      </rPr>
      <t>LUKUMÄÄRÄ</t>
    </r>
  </si>
  <si>
    <r>
      <rPr>
        <sz val="9"/>
        <color rgb="FF000000"/>
        <rFont val="Arial"/>
        <family val="2"/>
      </rPr>
      <t>KOJE</t>
    </r>
  </si>
  <si>
    <t>Tiheys</t>
  </si>
  <si>
    <r>
      <t>c</t>
    </r>
    <r>
      <rPr>
        <vertAlign val="subscript"/>
        <sz val="11"/>
        <color rgb="FF000000"/>
        <rFont val="Calibri"/>
        <family val="2"/>
      </rPr>
      <t>p</t>
    </r>
  </si>
  <si>
    <r>
      <rPr>
        <sz val="9"/>
        <color rgb="FF000000"/>
        <rFont val="Arial"/>
        <family val="2"/>
      </rPr>
      <t>KOJENO</t>
    </r>
  </si>
  <si>
    <r>
      <t>T</t>
    </r>
    <r>
      <rPr>
        <vertAlign val="subscript"/>
        <sz val="11"/>
        <color rgb="FF000000"/>
        <rFont val="Calibri"/>
        <family val="2"/>
      </rPr>
      <t>LTO</t>
    </r>
  </si>
  <si>
    <t>kg/m³</t>
  </si>
  <si>
    <t>J/kgK</t>
  </si>
  <si>
    <r>
      <rPr>
        <sz val="9"/>
        <color rgb="FF000000"/>
        <rFont val="Arial"/>
        <family val="2"/>
      </rPr>
      <t>TYYPPI</t>
    </r>
  </si>
  <si>
    <r>
      <t>T</t>
    </r>
    <r>
      <rPr>
        <vertAlign val="subscript"/>
        <sz val="11"/>
        <color rgb="FF000000"/>
        <rFont val="Calibri"/>
        <family val="2"/>
      </rPr>
      <t>TULO</t>
    </r>
  </si>
  <si>
    <r>
      <rPr>
        <sz val="9"/>
        <color rgb="FF000000"/>
        <rFont val="Arial"/>
        <family val="2"/>
      </rPr>
      <t>KÄYTTÖ</t>
    </r>
  </si>
  <si>
    <r>
      <rPr>
        <sz val="9"/>
        <color rgb="FF000000"/>
        <rFont val="Arial"/>
        <family val="2"/>
      </rPr>
      <t>LÄMM</t>
    </r>
  </si>
  <si>
    <r>
      <rPr>
        <sz val="9"/>
        <color rgb="FF000000"/>
        <rFont val="Arial"/>
        <family val="2"/>
      </rPr>
      <t>KÄTISYYS</t>
    </r>
  </si>
  <si>
    <t>Tavoitelämpötilat lämmitysvedelle</t>
  </si>
  <si>
    <r>
      <rPr>
        <sz val="9"/>
        <color rgb="FF000000"/>
        <rFont val="Arial"/>
        <family val="2"/>
      </rPr>
      <t>ASENTO</t>
    </r>
  </si>
  <si>
    <r>
      <t>T</t>
    </r>
    <r>
      <rPr>
        <vertAlign val="subscript"/>
        <sz val="11"/>
        <color rgb="FF000000"/>
        <rFont val="Calibri"/>
        <family val="2"/>
      </rPr>
      <t>MENOVESI</t>
    </r>
  </si>
  <si>
    <r>
      <rPr>
        <sz val="9"/>
        <color rgb="FF000000"/>
        <rFont val="Arial"/>
        <family val="2"/>
      </rPr>
      <t>LAMELLIMATERIAALI</t>
    </r>
  </si>
  <si>
    <r>
      <rPr>
        <sz val="9"/>
        <color rgb="FF000000"/>
        <rFont val="Arial"/>
        <family val="2"/>
      </rPr>
      <t>AL</t>
    </r>
  </si>
  <si>
    <r>
      <rPr>
        <sz val="9"/>
        <color rgb="FF000000"/>
        <rFont val="Arial"/>
        <family val="2"/>
      </rPr>
      <t>CU</t>
    </r>
  </si>
  <si>
    <r>
      <t>T</t>
    </r>
    <r>
      <rPr>
        <vertAlign val="subscript"/>
        <sz val="11"/>
        <color rgb="FF000000"/>
        <rFont val="Calibri"/>
        <family val="2"/>
      </rPr>
      <t>PALUUVESI</t>
    </r>
  </si>
  <si>
    <r>
      <rPr>
        <sz val="9"/>
        <color rgb="FF000000"/>
        <rFont val="Arial"/>
        <family val="2"/>
      </rPr>
      <t>KEHYSMATERIAALI</t>
    </r>
  </si>
  <si>
    <t>dT</t>
  </si>
  <si>
    <r>
      <rPr>
        <sz val="9"/>
        <color rgb="FF000000"/>
        <rFont val="Arial"/>
        <family val="2"/>
      </rPr>
      <t>LIUOS</t>
    </r>
  </si>
  <si>
    <r>
      <rPr>
        <sz val="9"/>
        <color rgb="FF000000"/>
        <rFont val="Arial"/>
        <family val="2"/>
      </rPr>
      <t>Vesi</t>
    </r>
  </si>
  <si>
    <r>
      <rPr>
        <sz val="9"/>
        <color rgb="FF000000"/>
        <rFont val="Arial"/>
        <family val="2"/>
      </rPr>
      <t>PITOISUUS</t>
    </r>
  </si>
  <si>
    <r>
      <rPr>
        <sz val="9"/>
        <color rgb="FF000000"/>
        <rFont val="Arial"/>
        <family val="2"/>
      </rPr>
      <t>%</t>
    </r>
  </si>
  <si>
    <t>Tehontarve</t>
  </si>
  <si>
    <t>kW</t>
  </si>
  <si>
    <t>Tarvittava dT</t>
  </si>
  <si>
    <r>
      <rPr>
        <sz val="9"/>
        <color rgb="FF000000"/>
        <rFont val="Arial"/>
        <family val="2"/>
      </rPr>
      <t>OP.LEVEYS</t>
    </r>
  </si>
  <si>
    <r>
      <rPr>
        <sz val="9"/>
        <color rgb="FF000000"/>
        <rFont val="Arial"/>
        <family val="2"/>
      </rPr>
      <t>mm</t>
    </r>
  </si>
  <si>
    <r>
      <rPr>
        <sz val="9"/>
        <color rgb="FF000000"/>
        <rFont val="Arial"/>
        <family val="2"/>
      </rPr>
      <t>OP.KORKEUS</t>
    </r>
  </si>
  <si>
    <t>Mitoitus menoveden lämpötilan mukaan</t>
  </si>
  <si>
    <t>Mitoitus paluuveden lämpötilan mukaan</t>
  </si>
  <si>
    <r>
      <rPr>
        <sz val="9"/>
        <color rgb="FF000000"/>
        <rFont val="Arial"/>
        <family val="2"/>
      </rPr>
      <t>KEH.LEVEYS</t>
    </r>
  </si>
  <si>
    <r>
      <rPr>
        <sz val="9"/>
        <color rgb="FF000000"/>
        <rFont val="Arial"/>
        <family val="2"/>
      </rPr>
      <t>KEH.KORKEUS</t>
    </r>
  </si>
  <si>
    <r>
      <rPr>
        <sz val="9"/>
        <color rgb="FF000000"/>
        <rFont val="Arial"/>
        <family val="2"/>
      </rPr>
      <t>KEH.SYVYYS</t>
    </r>
  </si>
  <si>
    <r>
      <rPr>
        <sz val="9"/>
        <color rgb="FF000000"/>
        <rFont val="Arial"/>
        <family val="2"/>
      </rPr>
      <t>TEHO</t>
    </r>
  </si>
  <si>
    <r>
      <rPr>
        <sz val="9"/>
        <color rgb="FF000000"/>
        <rFont val="Arial"/>
        <family val="2"/>
      </rPr>
      <t>kW</t>
    </r>
  </si>
  <si>
    <t>Jakotukista</t>
  </si>
  <si>
    <t>kpl</t>
  </si>
  <si>
    <r>
      <rPr>
        <sz val="9"/>
        <color rgb="FF000000"/>
        <rFont val="Arial"/>
        <family val="2"/>
      </rPr>
      <t>ILMAN TILAVUUSVIRTA</t>
    </r>
  </si>
  <si>
    <r>
      <rPr>
        <sz val="9"/>
        <color rgb="FF000000"/>
        <rFont val="Arial"/>
        <family val="2"/>
      </rPr>
      <t>m3/s</t>
    </r>
  </si>
  <si>
    <t>Virtaama, jakautunut</t>
  </si>
  <si>
    <r>
      <rPr>
        <sz val="9"/>
        <color rgb="FF000000"/>
        <rFont val="Arial"/>
        <family val="2"/>
      </rPr>
      <t>ILMAN MASSAVIRTA</t>
    </r>
  </si>
  <si>
    <r>
      <rPr>
        <sz val="9"/>
        <color rgb="FF000000"/>
        <rFont val="Arial"/>
        <family val="2"/>
      </rPr>
      <t>kg/s</t>
    </r>
  </si>
  <si>
    <t>Putken sisähalkaisija</t>
  </si>
  <si>
    <t>mm</t>
  </si>
  <si>
    <r>
      <rPr>
        <sz val="9"/>
        <color rgb="FF000000"/>
        <rFont val="Arial"/>
        <family val="2"/>
      </rPr>
      <t>TULEVA ILMA</t>
    </r>
  </si>
  <si>
    <r>
      <rPr>
        <sz val="9"/>
        <color rgb="FF000000"/>
        <rFont val="Arial"/>
        <family val="2"/>
      </rPr>
      <t>oC</t>
    </r>
  </si>
  <si>
    <r>
      <rPr>
        <sz val="9"/>
        <color rgb="FF000000"/>
        <rFont val="Arial"/>
        <family val="2"/>
      </rPr>
      <t>LÄHTEVÄ ILMA</t>
    </r>
  </si>
  <si>
    <t>Reynolds-luku</t>
  </si>
  <si>
    <r>
      <rPr>
        <sz val="9"/>
        <color rgb="FF000000"/>
        <rFont val="Arial"/>
        <family val="2"/>
      </rPr>
      <t>ILMAN NOPEUS</t>
    </r>
  </si>
  <si>
    <r>
      <rPr>
        <sz val="9"/>
        <color rgb="FF000000"/>
        <rFont val="Arial"/>
        <family val="2"/>
      </rPr>
      <t>m/s</t>
    </r>
  </si>
  <si>
    <r>
      <rPr>
        <sz val="9"/>
        <color rgb="FF000000"/>
        <rFont val="Arial"/>
        <family val="2"/>
      </rPr>
      <t>ILMAN PAINEHÄVIÖ</t>
    </r>
  </si>
  <si>
    <r>
      <rPr>
        <sz val="9"/>
        <color rgb="FF000000"/>
        <rFont val="Arial"/>
        <family val="2"/>
      </rPr>
      <t>Pa</t>
    </r>
  </si>
  <si>
    <t>qW</t>
  </si>
  <si>
    <r>
      <rPr>
        <sz val="9"/>
        <color rgb="FF000000"/>
        <rFont val="Arial"/>
        <family val="2"/>
      </rPr>
      <t>TULEVA NESTE</t>
    </r>
  </si>
  <si>
    <r>
      <rPr>
        <sz val="9"/>
        <color rgb="FF000000"/>
        <rFont val="Arial"/>
        <family val="2"/>
      </rPr>
      <t>LÄHTEVÄ NESTE</t>
    </r>
  </si>
  <si>
    <r>
      <rPr>
        <sz val="9"/>
        <color rgb="FF000000"/>
        <rFont val="Arial"/>
        <family val="2"/>
      </rPr>
      <t>NESTEVIRTA</t>
    </r>
  </si>
  <si>
    <r>
      <rPr>
        <sz val="9"/>
        <color rgb="FF000000"/>
        <rFont val="Arial"/>
        <family val="2"/>
      </rPr>
      <t>l/s</t>
    </r>
  </si>
  <si>
    <r>
      <rPr>
        <sz val="9"/>
        <color rgb="FF000000"/>
        <rFont val="Arial"/>
        <family val="2"/>
      </rPr>
      <t>NESTE NOPEUS</t>
    </r>
  </si>
  <si>
    <r>
      <rPr>
        <sz val="9"/>
        <color rgb="FF000000"/>
        <rFont val="Arial"/>
        <family val="2"/>
      </rPr>
      <t>NESTEEN PAINEHÄVIÖ</t>
    </r>
  </si>
  <si>
    <r>
      <rPr>
        <sz val="9"/>
        <color rgb="FF000000"/>
        <rFont val="Arial"/>
        <family val="2"/>
      </rPr>
      <t>kPa</t>
    </r>
  </si>
  <si>
    <r>
      <rPr>
        <sz val="9"/>
        <color rgb="FF000000"/>
        <rFont val="Arial"/>
        <family val="2"/>
      </rPr>
      <t>PUTKIYHDE</t>
    </r>
  </si>
  <si>
    <r>
      <rPr>
        <sz val="9"/>
        <color rgb="FF000000"/>
        <rFont val="Arial"/>
        <family val="2"/>
      </rPr>
      <t>DN</t>
    </r>
  </si>
  <si>
    <r>
      <rPr>
        <sz val="9"/>
        <color rgb="FF000000"/>
        <rFont val="Arial"/>
        <family val="2"/>
      </rPr>
      <t>25 K</t>
    </r>
  </si>
  <si>
    <r>
      <rPr>
        <sz val="9"/>
        <color rgb="FF000000"/>
        <rFont val="Arial"/>
        <family val="2"/>
      </rPr>
      <t>HYÖTYSUHDE</t>
    </r>
  </si>
  <si>
    <r>
      <rPr>
        <sz val="9"/>
        <color rgb="FF000000"/>
        <rFont val="Arial"/>
        <family val="2"/>
      </rPr>
      <t>RIVISYYS</t>
    </r>
  </si>
  <si>
    <r>
      <rPr>
        <sz val="9"/>
        <color rgb="FF000000"/>
        <rFont val="Arial"/>
        <family val="2"/>
      </rPr>
      <t>LAMELLIJAKO</t>
    </r>
  </si>
  <si>
    <r>
      <rPr>
        <sz val="9"/>
        <color rgb="FF000000"/>
        <rFont val="Arial"/>
        <family val="2"/>
      </rPr>
      <t>NESTETILAVUUS</t>
    </r>
  </si>
  <si>
    <r>
      <rPr>
        <sz val="9"/>
        <color rgb="FF000000"/>
        <rFont val="Arial"/>
        <family val="2"/>
      </rPr>
      <t>l</t>
    </r>
  </si>
  <si>
    <r>
      <rPr>
        <sz val="9"/>
        <color rgb="FF000000"/>
        <rFont val="Arial"/>
        <family val="2"/>
      </rPr>
      <t>2.3</t>
    </r>
  </si>
  <si>
    <r>
      <rPr>
        <sz val="9"/>
        <color rgb="FF000000"/>
        <rFont val="Arial"/>
        <family val="2"/>
      </rPr>
      <t>PAINO</t>
    </r>
  </si>
  <si>
    <r>
      <rPr>
        <sz val="9"/>
        <color rgb="FF000000"/>
        <rFont val="Arial"/>
        <family val="2"/>
      </rPr>
      <t>kg</t>
    </r>
  </si>
  <si>
    <r>
      <rPr>
        <sz val="9"/>
        <color rgb="FF000000"/>
        <rFont val="Arial"/>
        <family val="2"/>
      </rPr>
      <t>ERISTYS</t>
    </r>
  </si>
  <si>
    <t>sisähalk.</t>
  </si>
  <si>
    <t>Mitoitustilavuusvirralla</t>
  </si>
  <si>
    <r>
      <rPr>
        <sz val="9"/>
        <color rgb="FF000000"/>
        <rFont val="Arial"/>
        <family val="2"/>
      </rPr>
      <t>PISARANEROTIN</t>
    </r>
  </si>
  <si>
    <t>jako</t>
  </si>
  <si>
    <r>
      <rPr>
        <sz val="9"/>
        <color rgb="FF000000"/>
        <rFont val="Arial"/>
        <family val="2"/>
      </rPr>
      <t>TIPPUVESIALLAS</t>
    </r>
  </si>
  <si>
    <t>l/s jako</t>
  </si>
  <si>
    <r>
      <rPr>
        <sz val="9"/>
        <color rgb="FF000000"/>
        <rFont val="Arial"/>
        <family val="2"/>
      </rPr>
      <t>PINNOITUS</t>
    </r>
  </si>
  <si>
    <t>m²</t>
  </si>
  <si>
    <r>
      <rPr>
        <sz val="9"/>
        <color rgb="FF000000"/>
        <rFont val="Arial"/>
        <family val="2"/>
      </rPr>
      <t>MAALAUS</t>
    </r>
  </si>
  <si>
    <r>
      <rPr>
        <sz val="9"/>
        <color rgb="FF000000"/>
        <rFont val="Arial"/>
        <family val="2"/>
      </rPr>
      <t>HOPEAPITOISUUS</t>
    </r>
  </si>
  <si>
    <r>
      <rPr>
        <sz val="9"/>
        <color rgb="FF000000"/>
        <rFont val="Arial"/>
        <family val="2"/>
      </rPr>
      <t>JÄÄT.SUOJAMUHVEJA</t>
    </r>
  </si>
  <si>
    <r>
      <rPr>
        <sz val="9"/>
        <color rgb="FF000000"/>
        <rFont val="Arial"/>
        <family val="2"/>
      </rPr>
      <t>kpl</t>
    </r>
  </si>
  <si>
    <r>
      <rPr>
        <b/>
        <sz val="9"/>
        <color rgb="FF000000"/>
        <rFont val="Arial"/>
        <family val="2"/>
      </rPr>
      <t>Tuotekoodit ja huomautukset per positio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</si>
  <si>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EC-HEAT-650-450-2-2-25K-5-R-9.52</t>
    </r>
  </si>
  <si>
    <r>
      <rPr>
        <b/>
        <sz val="7"/>
        <color rgb="FF000000"/>
        <rFont val="Arial"/>
        <family val="2"/>
      </rPr>
      <t>Huom: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</si>
  <si>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</si>
  <si>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</si>
  <si>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EC-HEAT-650-450-2-2-25K-5-R-9.52</t>
    </r>
  </si>
  <si>
    <t>Tulevan ilman tiheys</t>
  </si>
  <si>
    <t>lähtevän ilman tiheys</t>
  </si>
  <si>
    <t>Logaritminen ylilämpötila</t>
  </si>
  <si>
    <t>Aritmeettinen dT</t>
  </si>
  <si>
    <r>
      <rPr>
        <b/>
        <sz val="15"/>
        <color rgb="FF000000"/>
        <rFont val="Arial"/>
        <family val="2"/>
      </rPr>
      <t>TARJOUSNUMEROMME 123720-TK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</si>
  <si>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</si>
  <si>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</si>
  <si>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</si>
  <si>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</si>
  <si>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15"/>
        <color rgb="FF000000"/>
        <rFont val="Arial"/>
        <family val="2"/>
      </rPr>
      <t>TARJOUSNUMEROMME 123729-TK</t>
    </r>
  </si>
  <si>
    <t>JÄ-1</t>
  </si>
  <si>
    <t>Massavirta</t>
  </si>
  <si>
    <t>Tuleva ilm</t>
  </si>
  <si>
    <t>Tuleva kosteus-%</t>
  </si>
  <si>
    <r>
      <rPr>
        <sz val="9"/>
        <color rgb="FF000000"/>
        <rFont val="Arial"/>
        <family val="2"/>
      </rPr>
      <t>JÄÄ.V</t>
    </r>
  </si>
  <si>
    <r>
      <rPr>
        <sz val="9"/>
        <color rgb="FF000000"/>
        <rFont val="Arial"/>
        <family val="2"/>
      </rPr>
      <t>LTO</t>
    </r>
  </si>
  <si>
    <t>Magnus-kaava --&gt;</t>
  </si>
  <si>
    <t>Tuleva kosteussisältö</t>
  </si>
  <si>
    <t>Lähtevä ilm</t>
  </si>
  <si>
    <r>
      <rPr>
        <sz val="9"/>
        <color rgb="FF000000"/>
        <rFont val="Arial"/>
        <family val="2"/>
      </rPr>
      <t>Pysty</t>
    </r>
  </si>
  <si>
    <t>Lähtevä kosteus-%</t>
  </si>
  <si>
    <t>Lähtevä kosteussisältö</t>
  </si>
  <si>
    <t>Latentti teho</t>
  </si>
  <si>
    <t>Etyleenigly</t>
  </si>
  <si>
    <t>Menovesi</t>
  </si>
  <si>
    <t>Paluuvesi</t>
  </si>
  <si>
    <t>Kokonaisteho</t>
  </si>
  <si>
    <t>Tuntuva teho</t>
  </si>
  <si>
    <t>Latentti</t>
  </si>
  <si>
    <t>Tuntuvan osuus kokonaistehosta</t>
  </si>
  <si>
    <t>Tulevan ilman kastepiste</t>
  </si>
  <si>
    <t>Kastepiste vs. vesilämpötilojen lämpötila-alue</t>
  </si>
  <si>
    <r>
      <rPr>
        <sz val="9"/>
        <color rgb="FF000000"/>
        <rFont val="Arial"/>
        <family val="2"/>
      </rPr>
      <t>TUL. SUHT. KOSTEUS</t>
    </r>
  </si>
  <si>
    <r>
      <rPr>
        <sz val="9"/>
        <color rgb="FF000000"/>
        <rFont val="Arial"/>
        <family val="2"/>
      </rPr>
      <t>TULEVA ILM. ENT</t>
    </r>
  </si>
  <si>
    <r>
      <rPr>
        <sz val="9"/>
        <color rgb="FF000000"/>
        <rFont val="Arial"/>
        <family val="2"/>
      </rPr>
      <t>kj/kg</t>
    </r>
  </si>
  <si>
    <r>
      <rPr>
        <sz val="9"/>
        <color rgb="FF000000"/>
        <rFont val="Arial"/>
        <family val="2"/>
      </rPr>
      <t>LÄH. SUHT. KOSTEUS</t>
    </r>
  </si>
  <si>
    <r>
      <rPr>
        <sz val="9"/>
        <color rgb="FF000000"/>
        <rFont val="Arial"/>
        <family val="2"/>
      </rPr>
      <t>LÄHTEVÄ ILM. ENT</t>
    </r>
  </si>
  <si>
    <t>Täysin k.</t>
  </si>
  <si>
    <t>Ositt. k.</t>
  </si>
  <si>
    <t>7/12</t>
  </si>
  <si>
    <t>10/15</t>
  </si>
  <si>
    <t>7/12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</si>
  <si>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</si>
  <si>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2.4 kW</t>
    </r>
  </si>
  <si>
    <t>Tuntuva</t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</si>
  <si>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</si>
  <si>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3.4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</si>
  <si>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</si>
  <si>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4.2 kW</t>
    </r>
  </si>
  <si>
    <t>virtaama</t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</si>
  <si>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</si>
  <si>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5.0 kW</t>
    </r>
  </si>
  <si>
    <t>dT1 = Tilma,in-Tneste,out</t>
  </si>
  <si>
    <t>dT2 = Tilma,out-Tneste,in</t>
  </si>
  <si>
    <t>Logaritminen alilämpötila LMTD</t>
  </si>
  <si>
    <t>Veden keskilämpötila</t>
  </si>
  <si>
    <t>Kastepiste</t>
  </si>
  <si>
    <t>Täysin kondensoiva</t>
  </si>
  <si>
    <t>y</t>
  </si>
  <si>
    <t>Täysin kondensoiva 500 l/s</t>
  </si>
  <si>
    <t>LMTD</t>
  </si>
  <si>
    <t>Kosteus</t>
  </si>
  <si>
    <t>Aputermi</t>
  </si>
  <si>
    <t>Kosteussisältö</t>
  </si>
  <si>
    <t>kg/kg</t>
  </si>
  <si>
    <t>Osittain kond</t>
  </si>
  <si>
    <t>Täysin kondensoiva tilanne</t>
  </si>
  <si>
    <t>Osittain kondensoiva tilanne</t>
  </si>
  <si>
    <t>Täysin kondensoiva 400 l/s</t>
  </si>
  <si>
    <t>dT1</t>
  </si>
  <si>
    <t>dT2</t>
  </si>
  <si>
    <t>Osuus vesilämpötila-alueesta</t>
  </si>
  <si>
    <t>Kosteussisällön lasku</t>
  </si>
  <si>
    <t>Täysin kondensoiva 300 l/s</t>
  </si>
  <si>
    <t>Tuntuvan tehon tarve</t>
  </si>
  <si>
    <t>Kokonaistehon tarve</t>
  </si>
  <si>
    <t>Mitoitus tavoitevesien mukaan</t>
  </si>
  <si>
    <t>Mitoitusilmavirralla, täysin kondensoiva</t>
  </si>
  <si>
    <r>
      <rPr>
        <b/>
        <sz val="15"/>
        <color rgb="FF000000"/>
        <rFont val="Arial"/>
        <family val="2"/>
      </rPr>
      <t>TARJOUSNUMEROMME 123732-TK</t>
    </r>
  </si>
  <si>
    <t>JÄ-2</t>
  </si>
  <si>
    <r>
      <rPr>
        <sz val="9"/>
        <color rgb="FF000000"/>
        <rFont val="Arial"/>
        <family val="2"/>
      </rPr>
      <t>Etyleenigly</t>
    </r>
  </si>
  <si>
    <t>10/18</t>
  </si>
  <si>
    <t>10/18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</si>
  <si>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</si>
  <si>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1.7 kW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</si>
  <si>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</si>
  <si>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2.2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</si>
  <si>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</si>
  <si>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3.8 kW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</si>
  <si>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</si>
  <si>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4.6 kW</t>
    </r>
  </si>
  <si>
    <t>s</t>
  </si>
  <si>
    <t>Patterivaihtoehdot</t>
  </si>
  <si>
    <t>61 = Water-  soveltuu esim. 50/30 vedelle (mitoita ohjelmassa), Vakiotoimitus mallissa C5 Water jos ei muuta pyydetty</t>
  </si>
  <si>
    <t>LÄM-1</t>
  </si>
  <si>
    <t>LÄM-2</t>
  </si>
  <si>
    <t>Valitse lämmityspatteri</t>
  </si>
  <si>
    <t>Valittu patteri</t>
  </si>
  <si>
    <t>log</t>
  </si>
  <si>
    <t>Tarkastukset</t>
  </si>
  <si>
    <t>Virtaama alle maksimivirtauksen</t>
  </si>
  <si>
    <t>Tarkastuksen ehtoja</t>
  </si>
  <si>
    <t>Maksimivirtaus</t>
  </si>
  <si>
    <t>Maksimipainehäviö</t>
  </si>
  <si>
    <t>Painehäviö alle maksimin</t>
  </si>
  <si>
    <t>Reynolds-luvun minimi</t>
  </si>
  <si>
    <t>Reynolds yli minimin</t>
  </si>
  <si>
    <t>LÄMMITYSPATTERI</t>
  </si>
  <si>
    <t>Reynolds-luvun laskenta</t>
  </si>
  <si>
    <r>
      <t xml:space="preserve">Mitoitus </t>
    </r>
    <r>
      <rPr>
        <b/>
        <u/>
        <sz val="11"/>
        <color rgb="FF000000"/>
        <rFont val="Calibri"/>
        <family val="2"/>
      </rPr>
      <t>menoveden</t>
    </r>
    <r>
      <rPr>
        <b/>
        <sz val="11"/>
        <color rgb="FF000000"/>
        <rFont val="Calibri"/>
        <family val="2"/>
      </rPr>
      <t xml:space="preserve"> lämpötilan mukaan</t>
    </r>
  </si>
  <si>
    <r>
      <t xml:space="preserve">Mitoitus </t>
    </r>
    <r>
      <rPr>
        <b/>
        <u/>
        <sz val="11"/>
        <color rgb="FF000000"/>
        <rFont val="Calibri"/>
        <family val="2"/>
      </rPr>
      <t>paluuveden</t>
    </r>
    <r>
      <rPr>
        <b/>
        <sz val="11"/>
        <color rgb="FF000000"/>
        <rFont val="Calibri"/>
        <family val="2"/>
      </rPr>
      <t xml:space="preserve"> lämpötilan mukaan</t>
    </r>
  </si>
  <si>
    <t>Ilmapuolen painehäviö</t>
  </si>
  <si>
    <t>TULOSTUKSEEN</t>
  </si>
  <si>
    <t>Säätöventtiili</t>
  </si>
  <si>
    <t>Venttiilin kvs</t>
  </si>
  <si>
    <t>Säätöventtiilin painehäviö</t>
  </si>
  <si>
    <t>Ohjeteksti</t>
  </si>
  <si>
    <t>50/30</t>
  </si>
  <si>
    <t>Valittu vesipatteri</t>
  </si>
  <si>
    <t>Soveltuva alue</t>
  </si>
  <si>
    <t>Ala</t>
  </si>
  <si>
    <t>Ylä</t>
  </si>
  <si>
    <t>Nimellis</t>
  </si>
  <si>
    <t>35/25 - 35/30</t>
  </si>
  <si>
    <t>Menovesi ei soveltuva</t>
  </si>
  <si>
    <t>Paluuvesi ei soveltuva</t>
  </si>
  <si>
    <t>Vesikiertoisen jäähdytyspatterin mitoitus</t>
  </si>
  <si>
    <t>1 = Jäähdytys neste, patteriteho 1 ,esim. 7/12 - 10/15 (mitoita ohjelmassa)</t>
  </si>
  <si>
    <t>Tavoitelämpötilat jäähdytysvedelle</t>
  </si>
  <si>
    <t>Kosteussisällön lasku (kondensio)</t>
  </si>
  <si>
    <t>Tarvittava teho (tuntuva)</t>
  </si>
  <si>
    <t>Patterille tulevan ilman suhteellinen kosteus</t>
  </si>
  <si>
    <t>%RH</t>
  </si>
  <si>
    <t>Paluuvesi soveltuva</t>
  </si>
  <si>
    <t>Menovesi soveltuva</t>
  </si>
  <si>
    <t>Muutos mitattuun konstruktioon</t>
  </si>
  <si>
    <t>Mitattu ilman jäähdytyspatteria</t>
  </si>
  <si>
    <t>Mittauksissa</t>
  </si>
  <si>
    <t>Ei mittauksissa</t>
  </si>
  <si>
    <t>Valitut patterit</t>
  </si>
  <si>
    <t>Lämmitys- ja jäähdytyspatterien vaikutukset</t>
  </si>
  <si>
    <t>Lämmitys</t>
  </si>
  <si>
    <t>Jäähdytys</t>
  </si>
  <si>
    <t>Kokonaismuutos valituilla pattereilla</t>
  </si>
  <si>
    <t>Ei patteria</t>
  </si>
  <si>
    <t>LÄMM</t>
  </si>
  <si>
    <t>JÄÄHD</t>
  </si>
  <si>
    <t>TOT</t>
  </si>
  <si>
    <t>2. asteen sovite, kertoimet</t>
  </si>
  <si>
    <t>Korjatut puhallinkäyrät (sis. Suodatinvalinta ja patterivalinta)</t>
  </si>
  <si>
    <t>Patterit</t>
  </si>
  <si>
    <t>Saapuva</t>
  </si>
  <si>
    <t>Lähtevä</t>
  </si>
  <si>
    <t>&lt;-- massavirta ja veden höyrystymislämpö</t>
  </si>
  <si>
    <t>Virtausnopeus patterin putkireitissä</t>
  </si>
  <si>
    <t>Tarvittava kokonaisjäähdytysteho</t>
  </si>
  <si>
    <t>Tarvittava jäähdytysteho (tuntuva)</t>
  </si>
  <si>
    <t>Kvs tarkistus</t>
  </si>
  <si>
    <t>Alkuperäiset valikot ja kielivalinta</t>
  </si>
  <si>
    <t>SUOMI</t>
  </si>
  <si>
    <t>ENGLANTI</t>
  </si>
  <si>
    <t>Kieli</t>
  </si>
  <si>
    <t>2 = C = Commercial AHU, Counter-Flow Heat Exchanger</t>
  </si>
  <si>
    <t>005, 500dm³/s…1800m³/h   (Device: Airfi Model C5 Electric, 230VAC 50Hz 16A, max input power 2 kW  /  Airfi Model C5 Water, 230VAC 50Hz 16A, max input power 2 kW )</t>
  </si>
  <si>
    <t>2 = L  = left (Exhaus air on the left side when viewed from the service side)</t>
  </si>
  <si>
    <t>1 = Airfi automatiikka, valmiina mm. ModBus RTU/TCP . Monipuoliset kytkentä mahdollisuudet jne… Vakiotoimitus jos ei muuta pyydetty.</t>
  </si>
  <si>
    <t>1 = Airfi automation, pre-configured with, for example, ModBus RTU/TCP. Versatile connection options, etc. Standard delivery unless otherwise specified.</t>
  </si>
  <si>
    <t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t>
  </si>
  <si>
    <t>5 = ISO ePM10 50% (M5 level)</t>
  </si>
  <si>
    <t>7 = ISO ePM1 85% (F8/F9 level)</t>
  </si>
  <si>
    <t>6 = ISO ePM1 65% (F7 level)</t>
  </si>
  <si>
    <t>5 = ISO ePM10 50%,  (Standard delivery in C series unless otherwise specified) (Previous classification: M5 level)</t>
  </si>
  <si>
    <t>6 = ISO ePM1 65%,  (Standard delivery in C series unless otherwise specified) (Previous classification: F7 level)</t>
  </si>
  <si>
    <r>
      <t>12 = Electric, Jälkilämmityspaketti 2: Sulakekoko 400VAC 3x25A, max ottoteho 14,4 kW - Oma jälkilämmityksen syöttö (malleihin C5, Cxx),</t>
    </r>
    <r>
      <rPr>
        <u/>
        <sz val="11"/>
        <color theme="1"/>
        <rFont val="Calibri"/>
        <family val="2"/>
        <scheme val="minor"/>
      </rPr>
      <t xml:space="preserve">  Vakiotoimitus konekoossa C5 Electric jos ei muuta pyydetty</t>
    </r>
  </si>
  <si>
    <t>11 = Electric, Jälkilämmityspaketti 1: Sulakekoko 400VAC 3x16A, max ottoteho 7,2 kW - Oma jälkilämmityksen syöttö (malleihin C5)</t>
  </si>
  <si>
    <t>11 = Electric, Post-heating package 1: Fuse size 400 VAC 3x16A, maximum input power 7.2 kW – Separate power supply for post-heating (for models C5)</t>
  </si>
  <si>
    <t>12 = Electric, Post-heating package 2: Fuse size 400 VAC 3x25A, maximum input power 14.4 kW – Separate power supply for post-heating (for models C5, Cxx). Standard delivery for unit size C5 Electric unless otherwise specified.</t>
  </si>
  <si>
    <t>61 = Water – Suitable for, e.g., 50/30 water (dimensioning in the program). Standard delivery for model C5 Water unless otherwise specified.</t>
  </si>
  <si>
    <t>62 = Water – For low temperatures, e.g., 35/25 – 35/30 (dimensioning in the program).</t>
  </si>
  <si>
    <t xml:space="preserve">
1 = Electric – Standard equipment according to the selected power class (Note: Electric models have a separate power supply for post-heating).</t>
  </si>
  <si>
    <t>3 = Water – Actuators or valves for the water coil are not included in the delivery. Standard delivery for C-series Water models unless otherwise specified.</t>
  </si>
  <si>
    <r>
      <t xml:space="preserve">3 = Water ,  Toimituksessa ei mukana vesipatterin toimilaitteita tai venttiileitä - </t>
    </r>
    <r>
      <rPr>
        <u/>
        <sz val="11"/>
        <color theme="1"/>
        <rFont val="Calibri"/>
        <family val="2"/>
        <scheme val="minor"/>
      </rPr>
      <t xml:space="preserve"> Vakiotoimitus C-sarjan Water -koneissa jos ei muuta pyydetty.</t>
    </r>
  </si>
  <si>
    <t>5 = Available starting Q2/2025, Water – 2-way valve and actuator for post-heating, designed for a coil with 50/30 specifications (delivered separately, connection and installation by the main contractor). Electrically Plug &amp; Play ready.</t>
  </si>
  <si>
    <t>6 = Available starting Q2/2025, Water – 2-way valve and actuator for post-heating, designed for a coil with 35/25 – 35/30 specifications (delivered separately, connection and installation by the main contractor). Electrically Plug &amp; Play ready.</t>
  </si>
  <si>
    <t>7 = Available starting Q3/2025, Water – Post-heating pump unit for 50/30, assembled and insulated (delivered as a separate package, connection and installation by the main contractor). Electrically Plug &amp; Play ready.</t>
  </si>
  <si>
    <t>8 = Available starting Q3/2025, Water – Post-heating pump unit for 35/25 – 35/30, assembled and insulated (delivered as a separate package, connection and installation by the main contractor). Electrically Plug &amp; Play ready.</t>
  </si>
  <si>
    <t>2 = Jäähdytys neste , patteriteho 2. esim. 10/18 -kaukokylmä/maajärjestelmä  (mitoita ohjelmassa)</t>
  </si>
  <si>
    <t>2 = Cooling, liquid – Coil capacity 2, e.g., 10/18 – district cooling/ground cooling system (dimensioning in the program).</t>
  </si>
  <si>
    <t>7 = Cooling, direct expansion coil DX-1 (dimensioning in the program). The delivery includes the coil but no actuators.</t>
  </si>
  <si>
    <t>0 = No cooling actuators or valves. Standard delivery unless otherwise specified.</t>
  </si>
  <si>
    <t xml:space="preserve">6 = Toim. alk. Q2/2025, Water , Jälkilämmityksen 2-tieventtiili ja toimilaite - patterin 35/25 - 35/30 mukaan (toimitus irrallaan, kytkentä ja asennus PU). Sähköisesti Plug&amp;Play valmis. </t>
  </si>
  <si>
    <t>8 = Toim. alk. Q3/2025, Water ,  Jälkilämmityksen pumppuryhmä 35/25 - 35/30 kasattuna ja eristettynä (toimitus erillispakettina, kytkentä ja asennus PU). Sähköisesti Plug&amp;Play valmis</t>
  </si>
  <si>
    <t>7 = Toim. alk. Q3/2025, Water ,  Jälkilämmityksen pumppuryhmä 50/30 kasattuna ja eristettynä (toimitus erillispakettina, kytkentä ja asennus PU). Sähköisesti Plug&amp;Play valmis</t>
  </si>
  <si>
    <t xml:space="preserve">1 = Toim. alk. Q3/2025, Jäähdytyksen 3- tieventtiili ja toimilaite - patterin 7/12 - 10/15 mukaan (toimitus irrallaan, kytkentä ja asennus PU). Sähköisesti Plug&amp;Play valmis. </t>
  </si>
  <si>
    <t xml:space="preserve">6 = Toim. alk. Q3/2025, Jäähdytyksen pumppuryhmä 7/12 - 10/15 kasattuna ja eristettynä (toimitus erillispakettina, kytkentä ja asennus PU). Sähköisesti Plug&amp;Play valmis. </t>
  </si>
  <si>
    <t>1 = Available starting Q3/2025, Cooling – 3-way valve and actuator for a coil with 7/12 – 10/15 specifications (delivered separately, connection and installation by the main contractor). Electrically Plug &amp; Play ready.</t>
  </si>
  <si>
    <t xml:space="preserve">2 = Toim. alk. Q3/2025, Jäähdytyksen 3- tieventtiili ja toimilaite - patterin 10/18 mukaan (toimitus irrallaan, kytkentä ja asennus PU). Sähköisesti Plug&amp;Play valmis. </t>
  </si>
  <si>
    <t>2 = Available starting Q3/2025, Cooling – 3-way valve and actuator for a coil with 10/18 specifications (delivered separately, connection and installation by the main contractor). Electrically Plug &amp; Play ready.</t>
  </si>
  <si>
    <t xml:space="preserve">7 = Toim. alk. Q3/2025, Jäähdytyksen pumppuryhmä 10/18 kasattuna ja eristettynä (toimitus erillispakettina, kytkentä ja asennus PU). Sähköisesti Plug&amp;Play valmis. </t>
  </si>
  <si>
    <t>6 = Available starting Q3/2025, Cooling – Pump unit for 7/12 – 10/15, assembled and insulated (delivered as a separate package, connection and installation by the main contractor). Electrically Plug &amp; Play ready.</t>
  </si>
  <si>
    <t>7 = Available starting Q3/2025, Cooling – Pump unit for 10/18, assembled and insulated (delivered as a separate package, connection and installation by the main contractor). Electrically Plug &amp; Play ready.</t>
  </si>
  <si>
    <t>1 = Supply air filter monitor</t>
  </si>
  <si>
    <t>2 = Exhaust air filter monitor</t>
  </si>
  <si>
    <t>3 = Supply and exhaust air filter monitors</t>
  </si>
  <si>
    <t>0 = No filter monitors. Standard delivery unless otherwise specified.</t>
  </si>
  <si>
    <t>0 = No internal cooling. Standard delivery unless otherwise specified.</t>
  </si>
  <si>
    <t>1 = Cooling, liquid – Coil capacity 1, e.g., 7/12 – 10/15 (dimensioning in the program). Standard delivery in the C-series if a cooling coil is selected and nothing else is specified.</t>
  </si>
  <si>
    <t>1 = Constant pressure regulators for supply and exhaust air (pressure control measurement points to be connected on-site).</t>
  </si>
  <si>
    <t>0 = No air volume flow measurement. Standard delivery unless otherwise specified.</t>
  </si>
  <si>
    <t>1 = Available starting Q2/2025 – Air volume flow measurement for supply and exhaust air.</t>
  </si>
  <si>
    <t>1 = Toim. alk. Q2/2025 - Ilmavirtamittaus tulo- ja poistoilmavirralle</t>
  </si>
  <si>
    <t>0 = No dampers or actuators for exhaust and outdoor air. Standard delivery unless otherwise specified.</t>
  </si>
  <si>
    <r>
      <t xml:space="preserve">0 = Ei  sulkupeltejä eikä toimilaitteita jäte- ja ulkoilmalle.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</si>
  <si>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Dampers with spring-return actuators (1 pc for outdoor air + 1 pc for exhaust air), electrically pre-wired at the factory. CAT4 class.</t>
  </si>
  <si>
    <t>1 = Sulkupellit sekä jousipalautteiset toimilaitteet (1kpl ulkoilma + 1 kpl jäteilma), valmiiksi tehtaalla sähköisesti kytketty . CAT4 luokka.</t>
  </si>
  <si>
    <t>2 = Dampers with spring-return actuators (1 pc for outdoor air + 1 pc for exhaust air), electrically pre-wired at the factory. Insulated blades, CAT4 class.</t>
  </si>
  <si>
    <t>3 = Damper with a spring-return actuator for outdoor air (1 pc), electrically pre-wired at the factory. Insulated blades, CAT4 class.</t>
  </si>
  <si>
    <t>4 = Damper with a spring-return actuator for exhaust air (1 pc), electrically pre-wired at the factory. Insulated blades, CAT4 class.</t>
  </si>
  <si>
    <t>5 = Dampers (1 pc for outdoor air + 1 pc for exhaust air), NO ACTUATORS. CAT4 class.</t>
  </si>
  <si>
    <t>6 = Damper for outdoor air (1 pc), NO ACTUATOR. CAT4 class.</t>
  </si>
  <si>
    <t>7 = Damper for exhaust air (1 pc), NO ACTUATOR. CAT4 class.</t>
  </si>
  <si>
    <t>0 = No sensors. Standard delivery unless otherwise specified.</t>
  </si>
  <si>
    <t>1 = RH transmitter</t>
  </si>
  <si>
    <t>2 = CO2 transmitter</t>
  </si>
  <si>
    <t>3 = RH + CO2 transmitter</t>
  </si>
  <si>
    <t>5 = Toim. alk. 3/2025 , Airfi Multisensor (vain Airfi automatiikassa) ,  säätimeltä valitaan mitä suuretta käytetään.</t>
  </si>
  <si>
    <t>5 = Available starting 3/2025, Airfi Multisensor (only with Airfi automation). The parameter to be used is selected from the controller.</t>
  </si>
  <si>
    <r>
      <t xml:space="preserve">0 = Ei energiamittareita.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</si>
  <si>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0 = No energy meters. Standard delivery unless otherwise specified.</t>
  </si>
  <si>
    <t>1 = Energy meter for operating electricity (fan energy and automation).</t>
  </si>
  <si>
    <t>2 = Energiamittari käyttösähkö  (puhallinenergia ja automaatio) ja lisäksi sähkökoneessa erillinen jälkilämmityksen energian kulutusmittaus.</t>
  </si>
  <si>
    <t>2 = Energy meter for operating electricity (fan energy and automation), with an additional energy consumption measurement for electric post-heating units.</t>
  </si>
  <si>
    <r>
      <t xml:space="preserve">0 = Ei ohjainta,  </t>
    </r>
    <r>
      <rPr>
        <u/>
        <sz val="11"/>
        <color theme="1"/>
        <rFont val="Calibri"/>
        <family val="2"/>
        <scheme val="minor"/>
      </rPr>
      <t>Vakiotoimitus riviliitinkoneessa, ei voi valita muuta</t>
    </r>
  </si>
  <si>
    <t>0 = No controller. Standard delivery for terminal block units; no other option available.</t>
  </si>
  <si>
    <t>8 = Mille Wire (standard delivery includes 1 pc in C-series units).</t>
  </si>
  <si>
    <t>00 = Default (not selected). Standard delivery unless otherwise specified.</t>
  </si>
  <si>
    <t>1 = Erikseen selvitetty toiminto, dokumentaatio vaaditaan liitteeksi.</t>
  </si>
  <si>
    <t>1 = Separately specified function; documentation is required as an attachment.</t>
  </si>
  <si>
    <t>2 = Additional time button (installation and wiring by the electrical contractor).</t>
  </si>
  <si>
    <t>9 = Delivery according to the specification list</t>
  </si>
  <si>
    <t>( C ) Kätisyys   - Huom!  Varmista kanavajärjestys</t>
  </si>
  <si>
    <t>Select an option from each dropdown menu below</t>
  </si>
  <si>
    <t>Code Key:</t>
  </si>
  <si>
    <t>Selection:</t>
  </si>
  <si>
    <t>BASIC STRUCTURE:</t>
  </si>
  <si>
    <t>FILTERS:</t>
  </si>
  <si>
    <t>COILS:</t>
  </si>
  <si>
    <t>ACCESSORIES:</t>
  </si>
  <si>
    <t>CONTROLS:</t>
  </si>
  <si>
    <t>Basic structure:</t>
  </si>
  <si>
    <t>Filters:</t>
  </si>
  <si>
    <t>Coils:</t>
  </si>
  <si>
    <t>Accessories:</t>
  </si>
  <si>
    <t>Controls:</t>
  </si>
  <si>
    <r>
      <t>(A)</t>
    </r>
    <r>
      <rPr>
        <sz val="10"/>
        <color theme="1"/>
        <rFont val="Century Gothic"/>
        <family val="2"/>
      </rPr>
      <t xml:space="preserve"> Unit type</t>
    </r>
  </si>
  <si>
    <r>
      <t>(BBB)</t>
    </r>
    <r>
      <rPr>
        <sz val="10"/>
        <color theme="1"/>
        <rFont val="Century Gothic"/>
        <family val="2"/>
      </rPr>
      <t xml:space="preserve"> Unit size</t>
    </r>
  </si>
  <si>
    <r>
      <t>(D)</t>
    </r>
    <r>
      <rPr>
        <sz val="10"/>
        <color theme="1"/>
        <rFont val="Century Gothic"/>
        <family val="2"/>
      </rPr>
      <t xml:space="preserve"> Unit automation</t>
    </r>
  </si>
  <si>
    <r>
      <t>(E)</t>
    </r>
    <r>
      <rPr>
        <sz val="10"/>
        <color theme="1"/>
        <rFont val="Century Gothic"/>
        <family val="2"/>
      </rPr>
      <t xml:space="preserve"> Supply air filtration</t>
    </r>
  </si>
  <si>
    <r>
      <t>(F)</t>
    </r>
    <r>
      <rPr>
        <sz val="10"/>
        <color theme="1"/>
        <rFont val="Century Gothic"/>
        <family val="2"/>
      </rPr>
      <t xml:space="preserve"> Exhaust air filtration</t>
    </r>
  </si>
  <si>
    <r>
      <t>(H)</t>
    </r>
    <r>
      <rPr>
        <sz val="10"/>
        <color theme="1"/>
        <rFont val="Century Gothic"/>
        <family val="2"/>
      </rPr>
      <t xml:space="preserve"> Internal post-heating control</t>
    </r>
  </si>
  <si>
    <r>
      <t>(J)</t>
    </r>
    <r>
      <rPr>
        <sz val="10"/>
        <color theme="1"/>
        <rFont val="Century Gothic"/>
        <family val="2"/>
      </rPr>
      <t xml:space="preserve"> Internal cooling control (cooling coil)</t>
    </r>
  </si>
  <si>
    <r>
      <t>(K)</t>
    </r>
    <r>
      <rPr>
        <sz val="10"/>
        <color theme="1"/>
        <rFont val="Century Gothic"/>
        <family val="2"/>
      </rPr>
      <t xml:space="preserve"> Filter monitor*</t>
    </r>
  </si>
  <si>
    <r>
      <t>(O)</t>
    </r>
    <r>
      <rPr>
        <sz val="10"/>
        <color theme="1"/>
        <rFont val="Century Gothic"/>
        <family val="2"/>
      </rPr>
      <t xml:space="preserve"> Internal measurement sensors*</t>
    </r>
  </si>
  <si>
    <r>
      <t>(P)</t>
    </r>
    <r>
      <rPr>
        <sz val="10"/>
        <color theme="1"/>
        <rFont val="Century Gothic"/>
        <family val="2"/>
      </rPr>
      <t xml:space="preserve"> Energy meter**</t>
    </r>
  </si>
  <si>
    <r>
      <t>(Q)</t>
    </r>
    <r>
      <rPr>
        <sz val="10"/>
        <color theme="1"/>
        <rFont val="Century Gothic"/>
        <family val="2"/>
      </rPr>
      <t xml:space="preserve"> Control 1 – delivered separately, installed on-site</t>
    </r>
  </si>
  <si>
    <r>
      <t>(RR)</t>
    </r>
    <r>
      <rPr>
        <sz val="10"/>
        <color theme="1"/>
        <rFont val="Century Gothic"/>
        <family val="2"/>
      </rPr>
      <t xml:space="preserve"> Control 2 – delivered separately, installed on-site</t>
    </r>
  </si>
  <si>
    <r>
      <t>(S)</t>
    </r>
    <r>
      <rPr>
        <sz val="10"/>
        <color theme="1"/>
        <rFont val="Century Gothic"/>
        <family val="2"/>
      </rPr>
      <t xml:space="preserve"> Additional information</t>
    </r>
  </si>
  <si>
    <t>( C ) Kätisyys - Huom!  Varmista kanavajärjestys</t>
  </si>
  <si>
    <r>
      <t>(C)</t>
    </r>
    <r>
      <rPr>
        <sz val="10"/>
        <color theme="1"/>
        <rFont val="Century Gothic"/>
        <family val="2"/>
      </rPr>
      <t xml:space="preserve"> Unit orientation – </t>
    </r>
    <r>
      <rPr>
        <i/>
        <sz val="10"/>
        <color theme="1"/>
        <rFont val="Century Gothic"/>
        <family val="2"/>
      </rPr>
      <t>Note! Ensure the ductwork configuration</t>
    </r>
  </si>
  <si>
    <t>( D ) Koneen automatiikka</t>
  </si>
  <si>
    <r>
      <t>(GG)</t>
    </r>
    <r>
      <rPr>
        <sz val="10"/>
        <color theme="1"/>
        <rFont val="Century Gothic"/>
        <family val="2"/>
      </rPr>
      <t xml:space="preserve"> Internal post-heating</t>
    </r>
  </si>
  <si>
    <r>
      <t>(I)</t>
    </r>
    <r>
      <rPr>
        <sz val="10"/>
        <color theme="1"/>
        <rFont val="Century Gothic"/>
        <family val="2"/>
      </rPr>
      <t xml:space="preserve"> Internal cooling</t>
    </r>
  </si>
  <si>
    <r>
      <t>(L)</t>
    </r>
    <r>
      <rPr>
        <sz val="10"/>
        <color theme="1"/>
        <rFont val="Century Gothic"/>
        <family val="2"/>
      </rPr>
      <t xml:space="preserve"> Constant pressure regulator*</t>
    </r>
  </si>
  <si>
    <r>
      <t>(M)</t>
    </r>
    <r>
      <rPr>
        <sz val="10"/>
        <color theme="1"/>
        <rFont val="Century Gothic"/>
        <family val="2"/>
      </rPr>
      <t xml:space="preserve"> Air volume flow measurement*</t>
    </r>
  </si>
  <si>
    <r>
      <t>(N)</t>
    </r>
    <r>
      <rPr>
        <sz val="10"/>
        <color theme="1"/>
        <rFont val="Century Gothic"/>
        <family val="2"/>
      </rPr>
      <t xml:space="preserve"> Spring-return dampers</t>
    </r>
  </si>
  <si>
    <t>Code:</t>
  </si>
  <si>
    <t>Content description:</t>
  </si>
  <si>
    <t>The selection program is made by Zenner Engineers. The program is based on laboratory measurements according to SFS-EN 13141-7.</t>
  </si>
  <si>
    <t>7.1</t>
  </si>
  <si>
    <t>C-sarjan valintakoodi- ja mitoitusvälilehdet FIN/ENG. Sähköpostin 20.1.2025 mukaiset muutokset.</t>
  </si>
  <si>
    <t>Airfi laskentaohjelma_v7.1</t>
  </si>
  <si>
    <t>Value out of range. Check input parameters.</t>
  </si>
  <si>
    <t>VESIKIERTOISTEN LÄMMITYS- JA JÄÄHDYTYSPATTERIEN MITOITUS</t>
  </si>
  <si>
    <t>DIMENSIONING OF WATER-BASED HEATING AND COOLING COILS</t>
  </si>
  <si>
    <t>Dimensioning of water-based heating coil</t>
  </si>
  <si>
    <t xml:space="preserve">
Flow rate in the coil's pipe circuit</t>
  </si>
  <si>
    <t>Cooling coil dimensioning by inlet water temperature</t>
  </si>
  <si>
    <t>Cooling coil dimensioning by outlet water temperature</t>
  </si>
  <si>
    <t>Dimensioning of water-based cooling coil</t>
  </si>
  <si>
    <t>Inlet air relative humidity</t>
  </si>
  <si>
    <t>Required cooling capacity (sensible)</t>
  </si>
  <si>
    <t>Required total cooling capacity</t>
  </si>
  <si>
    <t>Valitussa mallissa ei vesikiertoista lämmityspatteria</t>
  </si>
  <si>
    <t>Valitussa mallissa ei vesikiertoista jäähdytyspatteria</t>
  </si>
  <si>
    <t>The selected model does not include a water-based heating coil.</t>
  </si>
  <si>
    <t>The selected model does not include a water-based cooling coil.</t>
  </si>
  <si>
    <t>Huom. soveltuva alue</t>
  </si>
  <si>
    <t>Value not applicable</t>
  </si>
  <si>
    <t>Valittu patterimalli soveltuu lämmitysvesille ~</t>
  </si>
  <si>
    <t>The selected coil model is suitable for heating water ~</t>
  </si>
  <si>
    <t>Valittu patterimalli soveltuu jäähdytysvesille ~</t>
  </si>
  <si>
    <t>The selected coil model is suitable for cooling water ~</t>
  </si>
  <si>
    <t>Airfi: Device code selection for C-series units</t>
  </si>
  <si>
    <t>Huom. patterimitoitus onnistunut, kun laskelmassa ei ole virheilmoituksia.
Muuta tarvittaessa meno- tai paluuveden lämpötiloja.</t>
  </si>
  <si>
    <t>Note: Coil dimensioning is successful when there are no error messages in the calculation.
Adjust the inlet or outlet water temperatures if necessary.</t>
  </si>
  <si>
    <t>Säätöventtiilin painehäviö (Airfi toteutus)*</t>
  </si>
  <si>
    <t>Control valve pressure loss (Airfi implementation)*</t>
  </si>
  <si>
    <t>Säätöventtiilin valinta ja vaikutukset tulostukseen (v7.1 sähköposti 20.1.2025 mukaisesti)</t>
  </si>
  <si>
    <t>Valintakoodin valinta</t>
  </si>
  <si>
    <t>Patterivalinta:</t>
  </si>
  <si>
    <t>Toimilaitevalinta</t>
  </si>
  <si>
    <t>Kvs</t>
  </si>
  <si>
    <t>Malliteksti</t>
  </si>
  <si>
    <t>* No control valve or actuator / heating group selected.</t>
  </si>
  <si>
    <t>* No control valve or actuator / cooling group selected.</t>
  </si>
  <si>
    <t>Versiosta v7.1 alkaen</t>
  </si>
  <si>
    <t>* Ei valittuna säätöventtiiliä ja toimilaitetta / lämmitysryhmää</t>
  </si>
  <si>
    <t>* Ei valittuna säätöventtiiliä ja toimilaitetta / jäähdytysryhmää</t>
  </si>
  <si>
    <t>Perustieto</t>
  </si>
  <si>
    <t>Perustieto:</t>
  </si>
  <si>
    <t>VALITTU MALLI JA KOODIAVAIN:</t>
  </si>
  <si>
    <t>SELECTED MODEL AND CODE KEY:</t>
  </si>
  <si>
    <t>h / day</t>
  </si>
  <si>
    <t>h / d</t>
  </si>
  <si>
    <t>* Toimituksessa: Jälkilämmityksen pumppuryhmä 35/25 - 35/30 kasattuna ja eristettynä (kvs = 5,7).</t>
  </si>
  <si>
    <t>* Toimituksessa: Jälkilämmityksen 2-tieventtiili ja toimilaite - patterin 35/25 - 35/30 mukaan (kvs = 5,7).</t>
  </si>
  <si>
    <t>* Toimituksessa: Jälkilämmityksen 2-tieventtiili ja toimilaite - patterin 50/30 mukaan (kvs = 1,5).</t>
  </si>
  <si>
    <t>* Toimituksessa: Jälkilämmityksen pumppuryhmä 50/30 kasattuna ja eristettynä (kvs = 1,5).</t>
  </si>
  <si>
    <t>* Included in the delivery: 2-way valve and actuator for post-heating, designed for a coil with 50/30 specifications (kvs = 1.5).</t>
  </si>
  <si>
    <t>* Included in the delivery: Post-heating pump unit for 50/30, assembled and insulated (kvs = 1.5).</t>
  </si>
  <si>
    <t>* Included in the delivery: 2-way valve and actuator for post-heating, designed for a coil with 35/25 – 35/30 specifications (kvs = 5.7).</t>
  </si>
  <si>
    <t>* Included in the delivery: Post-heating pump unit for 35/25 – 35/30, assembled and insulated  (kvs = 5.7).</t>
  </si>
  <si>
    <t>* Included in the delivery: 3-way valve and actuator for cooling, designed for a coil with 7/12 – 10/15 specifications (kvs = 4).</t>
  </si>
  <si>
    <t>* Included in the delivery: Cooling pump unit for 7/12 – 10/15, assembled and insulated  (kvs = 4).</t>
  </si>
  <si>
    <t>* Toimituksessa: Jäähdytyksen 3-tieventtiili ja toimilaite - patterin 7/12 - 10/15 mukaan  (kvs = 4).</t>
  </si>
  <si>
    <t>* Toimituksessa: Jäähdytyksen pumppuryhmä 7/12 - 10/15 kasattuna ja eristettynä  (kvs = 4).</t>
  </si>
  <si>
    <t>* Toimituksessa: Jäähdytyksen pumppuryhmä 10/18 kasattuna ja eristettynä (kvs = 2,5).</t>
  </si>
  <si>
    <t>* Toimituksessa: Jäähdytyksen 3-tieventtiili ja toimilaite - patterin 10/18 mukaan (kvs = 2,5).</t>
  </si>
  <si>
    <t>* Included in the delivery: 3-way valve and actuator for cooling, designed for a coil with 10/18 specifications (kvs = 2.5).</t>
  </si>
  <si>
    <t>* Included in the delivery: Cooling pump unit for 10/18, assembled and insulated (kvs = 2.5).</t>
  </si>
  <si>
    <r>
      <t>1 = R = right (Exhaust air on the right side when viewed from the service side)</t>
    </r>
    <r>
      <rPr>
        <u/>
        <sz val="11"/>
        <rFont val="Calibri"/>
        <family val="2"/>
        <scheme val="minor"/>
      </rPr>
      <t>, Standard delivery unless otherwise specified</t>
    </r>
  </si>
  <si>
    <r>
      <t xml:space="preserve">0 = No constant pressure regulators. </t>
    </r>
    <r>
      <rPr>
        <u/>
        <sz val="11"/>
        <rFont val="Calibri"/>
        <family val="2"/>
        <scheme val="minor"/>
      </rPr>
      <t>Standard delivery unless otherwise specified.</t>
    </r>
  </si>
  <si>
    <t>Rajoitetaan +5 °C alimmillaan (v7.1 muutospyyntö)</t>
  </si>
  <si>
    <t>TK01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</si>
</sst>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  <numFmt numFmtId="172" formatCode="0&quot; g/s&quot;"/>
    <numFmt numFmtId="173" formatCode="0.000\ %"/>
  </numFmts>
  <fonts count="126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 tint="0.499984740745262"/>
      <name val="Century Gothic"/>
      <family val="2"/>
    </font>
    <font>
      <b/>
      <sz val="10"/>
      <color theme="1" tint="0.1499984740745262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3F3F76"/>
      <name val="Calibri"/>
      <family val="2"/>
      <scheme val="minor"/>
    </font>
    <font>
      <vertAlign val="subscript"/>
      <sz val="11"/>
      <color rgb="FF00000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rgb="FFFF0000"/>
      <name val="Calibri"/>
      <family val="2"/>
    </font>
    <font>
      <b/>
      <u/>
      <sz val="11"/>
      <color rgb="FF000000"/>
      <name val="Calibri"/>
      <family val="2"/>
    </font>
    <font>
      <sz val="8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9"/>
      <color theme="1" tint="0.249977111117893"/>
      <name val="Century Gothic"/>
      <family val="2"/>
    </font>
    <font>
      <sz val="8"/>
      <color rgb="FF000000"/>
      <name val="Segoe UI"/>
      <charset val="1"/>
    </font>
  </fonts>
  <fills count="3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5" tint="0.79998168889431442"/>
        <bgColor indexed="64"/>
      </patternFill>
    </fill>
  </fills>
  <borders count="19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indexed="64"/>
      </bottom>
      <diagonal/>
    </border>
    <border>
      <left style="medium">
        <color indexed="64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medium">
        <color indexed="64"/>
      </top>
      <bottom style="thin">
        <color rgb="FFFFAF31"/>
      </bottom>
      <diagonal/>
    </border>
    <border>
      <left style="medium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thin">
        <color rgb="FFFFAF31"/>
      </top>
      <bottom style="thin">
        <color rgb="FFFFAF31"/>
      </bottom>
      <diagonal/>
    </border>
    <border>
      <left style="medium">
        <color indexed="64"/>
      </left>
      <right/>
      <top style="thin">
        <color rgb="FFFFAF31"/>
      </top>
      <bottom style="thin">
        <color rgb="FFFFAF31"/>
      </bottom>
      <diagonal/>
    </border>
    <border>
      <left/>
      <right/>
      <top style="thin">
        <color rgb="FFFFAF31"/>
      </top>
      <bottom style="thin">
        <color rgb="FFFFAF31"/>
      </bottom>
      <diagonal/>
    </border>
    <border>
      <left/>
      <right style="medium">
        <color indexed="64"/>
      </right>
      <top style="thin">
        <color rgb="FFFFAF31"/>
      </top>
      <bottom style="thin">
        <color rgb="FFFFAF31"/>
      </bottom>
      <diagonal/>
    </border>
    <border>
      <left/>
      <right style="thin">
        <color rgb="FFFFAF31"/>
      </right>
      <top/>
      <bottom/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indexed="64"/>
      </right>
      <top style="thin">
        <color rgb="FFFFAF31"/>
      </top>
      <bottom/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indexed="64"/>
      </bottom>
      <diagonal/>
    </border>
    <border>
      <left style="thin">
        <color indexed="64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indexed="64"/>
      </right>
      <top/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 style="thin">
        <color rgb="FFFFAF3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29">
    <xf numFmtId="0" fontId="0" fillId="0" borderId="0"/>
    <xf numFmtId="0" fontId="28" fillId="4" borderId="1" applyNumberFormat="0" applyAlignment="0" applyProtection="0"/>
    <xf numFmtId="0" fontId="29" fillId="17" borderId="2" applyNumberFormat="0" applyAlignment="0" applyProtection="0"/>
    <xf numFmtId="0" fontId="30" fillId="2" borderId="1" applyNumberFormat="0" applyAlignment="0" applyProtection="0"/>
    <xf numFmtId="0" fontId="31" fillId="0" borderId="0" applyNumberFormat="0" applyFill="0" applyBorder="0" applyAlignment="0" applyProtection="0"/>
    <xf numFmtId="0" fontId="33" fillId="3" borderId="35" applyNumberFormat="0" applyFont="0" applyAlignment="0" applyProtection="0"/>
    <xf numFmtId="0" fontId="33" fillId="0" borderId="0"/>
    <xf numFmtId="0" fontId="45" fillId="0" borderId="0" applyNumberFormat="0" applyFill="0" applyBorder="0" applyAlignment="0" applyProtection="0"/>
    <xf numFmtId="9" fontId="33" fillId="0" borderId="0" applyFont="0" applyFill="0" applyBorder="0" applyAlignment="0" applyProtection="0"/>
    <xf numFmtId="0" fontId="47" fillId="14" borderId="0" applyNumberFormat="0" applyBorder="0" applyAlignment="0" applyProtection="0"/>
    <xf numFmtId="0" fontId="49" fillId="16" borderId="54" applyNumberFormat="0" applyAlignment="0" applyProtection="0"/>
    <xf numFmtId="0" fontId="50" fillId="5" borderId="2" applyNumberFormat="0" applyAlignment="0" applyProtection="0"/>
    <xf numFmtId="0" fontId="33" fillId="15" borderId="35" applyNumberFormat="0" applyFont="0" applyAlignment="0" applyProtection="0"/>
    <xf numFmtId="0" fontId="28" fillId="22" borderId="1" applyNumberFormat="0" applyAlignment="0" applyProtection="0"/>
    <xf numFmtId="0" fontId="71" fillId="23" borderId="0" applyNumberFormat="0" applyBorder="0" applyAlignment="0" applyProtection="0"/>
    <xf numFmtId="0" fontId="27" fillId="0" borderId="0"/>
    <xf numFmtId="0" fontId="24" fillId="0" borderId="0"/>
    <xf numFmtId="0" fontId="17" fillId="0" borderId="0"/>
    <xf numFmtId="0" fontId="14" fillId="0" borderId="0"/>
    <xf numFmtId="0" fontId="13" fillId="0" borderId="0"/>
    <xf numFmtId="0" fontId="13" fillId="0" borderId="0"/>
    <xf numFmtId="0" fontId="10" fillId="0" borderId="0"/>
    <xf numFmtId="0" fontId="104" fillId="0" borderId="0"/>
    <xf numFmtId="0" fontId="109" fillId="22" borderId="1" applyNumberFormat="0" applyAlignment="0" applyProtection="0"/>
    <xf numFmtId="0" fontId="111" fillId="2" borderId="1" applyNumberFormat="0" applyAlignment="0" applyProtection="0"/>
    <xf numFmtId="0" fontId="112" fillId="2" borderId="2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5" borderId="35" applyNumberFormat="0" applyFont="0" applyAlignment="0" applyProtection="0"/>
  </cellStyleXfs>
  <cellXfs count="1556">
    <xf numFmtId="0" fontId="0" fillId="0" borderId="0" xfId="0"/>
    <xf numFmtId="0" fontId="33" fillId="0" borderId="0" xfId="0" applyFont="1"/>
    <xf numFmtId="0" fontId="32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32" fillId="0" borderId="0" xfId="0" applyNumberFormat="1" applyFont="1" applyAlignment="1">
      <alignment horizontal="center"/>
    </xf>
    <xf numFmtId="0" fontId="30" fillId="2" borderId="1" xfId="3"/>
    <xf numFmtId="0" fontId="28" fillId="4" borderId="1" xfId="1"/>
    <xf numFmtId="165" fontId="29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32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32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32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28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30" fillId="2" borderId="1" xfId="3" applyNumberFormat="1" applyAlignment="1">
      <alignment horizontal="center"/>
    </xf>
    <xf numFmtId="2" fontId="30" fillId="2" borderId="1" xfId="3" applyNumberFormat="1" applyAlignment="1">
      <alignment horizontal="center"/>
    </xf>
    <xf numFmtId="165" fontId="29" fillId="17" borderId="2" xfId="2" applyNumberFormat="1" applyAlignment="1">
      <alignment horizontal="center"/>
    </xf>
    <xf numFmtId="164" fontId="29" fillId="17" borderId="2" xfId="2" applyNumberFormat="1" applyAlignment="1">
      <alignment horizontal="center"/>
    </xf>
    <xf numFmtId="165" fontId="31" fillId="0" borderId="7" xfId="4" applyNumberFormat="1" applyBorder="1" applyAlignment="1">
      <alignment horizontal="center"/>
    </xf>
    <xf numFmtId="165" fontId="31" fillId="0" borderId="0" xfId="4" applyNumberFormat="1" applyBorder="1" applyAlignment="1">
      <alignment horizontal="center"/>
    </xf>
    <xf numFmtId="165" fontId="31" fillId="0" borderId="8" xfId="4" applyNumberFormat="1" applyBorder="1" applyAlignment="1">
      <alignment horizontal="center"/>
    </xf>
    <xf numFmtId="165" fontId="31" fillId="0" borderId="9" xfId="4" applyNumberFormat="1" applyBorder="1" applyAlignment="1">
      <alignment horizontal="center"/>
    </xf>
    <xf numFmtId="165" fontId="31" fillId="0" borderId="10" xfId="4" applyNumberFormat="1" applyBorder="1" applyAlignment="1">
      <alignment horizontal="center"/>
    </xf>
    <xf numFmtId="165" fontId="31" fillId="0" borderId="11" xfId="4" applyNumberFormat="1" applyBorder="1" applyAlignment="1">
      <alignment horizontal="center"/>
    </xf>
    <xf numFmtId="0" fontId="31" fillId="0" borderId="4" xfId="4" applyBorder="1" applyAlignment="1">
      <alignment horizontal="center"/>
    </xf>
    <xf numFmtId="0" fontId="31" fillId="0" borderId="5" xfId="4" applyBorder="1" applyAlignment="1">
      <alignment horizontal="center"/>
    </xf>
    <xf numFmtId="0" fontId="31" fillId="0" borderId="6" xfId="4" applyBorder="1" applyAlignment="1">
      <alignment horizontal="center"/>
    </xf>
    <xf numFmtId="0" fontId="31" fillId="0" borderId="9" xfId="4" applyBorder="1" applyAlignment="1">
      <alignment horizontal="center"/>
    </xf>
    <xf numFmtId="0" fontId="31" fillId="0" borderId="10" xfId="4" applyBorder="1" applyAlignment="1">
      <alignment horizontal="center"/>
    </xf>
    <xf numFmtId="0" fontId="31" fillId="0" borderId="11" xfId="4" applyBorder="1" applyAlignment="1">
      <alignment horizontal="center"/>
    </xf>
    <xf numFmtId="165" fontId="28" fillId="4" borderId="18" xfId="1" applyNumberFormat="1" applyBorder="1" applyAlignment="1">
      <alignment horizontal="center"/>
    </xf>
    <xf numFmtId="165" fontId="28" fillId="4" borderId="1" xfId="1" applyNumberFormat="1" applyAlignment="1">
      <alignment horizontal="center"/>
    </xf>
    <xf numFmtId="165" fontId="28" fillId="4" borderId="19" xfId="1" applyNumberFormat="1" applyBorder="1" applyAlignment="1">
      <alignment horizontal="center"/>
    </xf>
    <xf numFmtId="165" fontId="28" fillId="4" borderId="20" xfId="1" applyNumberFormat="1" applyBorder="1" applyAlignment="1">
      <alignment horizontal="center"/>
    </xf>
    <xf numFmtId="165" fontId="28" fillId="4" borderId="21" xfId="1" applyNumberFormat="1" applyBorder="1" applyAlignment="1">
      <alignment horizontal="center"/>
    </xf>
    <xf numFmtId="165" fontId="28" fillId="4" borderId="22" xfId="1" applyNumberFormat="1" applyBorder="1" applyAlignment="1">
      <alignment horizontal="center"/>
    </xf>
    <xf numFmtId="0" fontId="33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32" fillId="0" borderId="34" xfId="0" applyFont="1" applyBorder="1"/>
    <xf numFmtId="2" fontId="38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39" fillId="0" borderId="0" xfId="0" applyFont="1"/>
    <xf numFmtId="165" fontId="32" fillId="0" borderId="0" xfId="0" applyNumberFormat="1" applyFont="1"/>
    <xf numFmtId="1" fontId="28" fillId="4" borderId="21" xfId="1" applyNumberFormat="1" applyBorder="1" applyAlignment="1">
      <alignment horizontal="center"/>
    </xf>
    <xf numFmtId="1" fontId="29" fillId="17" borderId="2" xfId="2" applyNumberFormat="1" applyAlignment="1">
      <alignment horizontal="center"/>
    </xf>
    <xf numFmtId="0" fontId="32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40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0" fontId="34" fillId="0" borderId="23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32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28" fillId="4" borderId="1" xfId="1" applyNumberFormat="1" applyAlignment="1">
      <alignment horizontal="center"/>
    </xf>
    <xf numFmtId="1" fontId="32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32" fillId="0" borderId="0" xfId="0" applyNumberFormat="1" applyFont="1" applyAlignment="1">
      <alignment horizontal="center"/>
    </xf>
    <xf numFmtId="1" fontId="28" fillId="4" borderId="42" xfId="1" applyNumberFormat="1" applyBorder="1" applyAlignment="1">
      <alignment horizontal="center"/>
    </xf>
    <xf numFmtId="1" fontId="28" fillId="4" borderId="43" xfId="1" applyNumberFormat="1" applyBorder="1" applyAlignment="1">
      <alignment horizontal="center"/>
    </xf>
    <xf numFmtId="0" fontId="28" fillId="4" borderId="42" xfId="1" applyBorder="1" applyAlignment="1">
      <alignment horizontal="center"/>
    </xf>
    <xf numFmtId="0" fontId="28" fillId="4" borderId="43" xfId="1" applyBorder="1" applyAlignment="1">
      <alignment horizontal="center"/>
    </xf>
    <xf numFmtId="165" fontId="28" fillId="4" borderId="44" xfId="1" applyNumberFormat="1" applyBorder="1" applyAlignment="1">
      <alignment horizontal="center"/>
    </xf>
    <xf numFmtId="165" fontId="28" fillId="4" borderId="45" xfId="1" applyNumberFormat="1" applyBorder="1" applyAlignment="1">
      <alignment horizontal="center"/>
    </xf>
    <xf numFmtId="165" fontId="28" fillId="4" borderId="42" xfId="1" applyNumberFormat="1" applyBorder="1" applyAlignment="1">
      <alignment horizontal="center"/>
    </xf>
    <xf numFmtId="165" fontId="28" fillId="4" borderId="43" xfId="1" applyNumberFormat="1" applyBorder="1" applyAlignment="1">
      <alignment horizontal="center"/>
    </xf>
    <xf numFmtId="165" fontId="28" fillId="4" borderId="46" xfId="1" applyNumberFormat="1" applyBorder="1" applyAlignment="1">
      <alignment horizontal="center"/>
    </xf>
    <xf numFmtId="165" fontId="28" fillId="4" borderId="47" xfId="1" applyNumberFormat="1" applyBorder="1" applyAlignment="1">
      <alignment horizontal="center"/>
    </xf>
    <xf numFmtId="165" fontId="30" fillId="2" borderId="1" xfId="3" applyNumberFormat="1"/>
    <xf numFmtId="165" fontId="32" fillId="0" borderId="34" xfId="0" applyNumberFormat="1" applyFont="1" applyBorder="1" applyAlignment="1">
      <alignment horizontal="center"/>
    </xf>
    <xf numFmtId="166" fontId="30" fillId="2" borderId="1" xfId="3" applyNumberFormat="1" applyAlignment="1">
      <alignment horizontal="center"/>
    </xf>
    <xf numFmtId="2" fontId="29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32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32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38" fillId="6" borderId="7" xfId="0" applyFont="1" applyFill="1" applyBorder="1" applyAlignment="1">
      <alignment horizontal="left"/>
    </xf>
    <xf numFmtId="2" fontId="38" fillId="6" borderId="9" xfId="0" applyNumberFormat="1" applyFont="1" applyFill="1" applyBorder="1" applyAlignment="1">
      <alignment horizontal="left"/>
    </xf>
    <xf numFmtId="0" fontId="32" fillId="6" borderId="7" xfId="0" applyFont="1" applyFill="1" applyBorder="1" applyAlignment="1">
      <alignment horizontal="left"/>
    </xf>
    <xf numFmtId="0" fontId="44" fillId="0" borderId="0" xfId="0" applyFont="1"/>
    <xf numFmtId="0" fontId="46" fillId="0" borderId="0" xfId="7" applyFont="1" applyFill="1" applyBorder="1"/>
    <xf numFmtId="167" fontId="32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32" fillId="0" borderId="4" xfId="0" applyFont="1" applyBorder="1" applyAlignment="1">
      <alignment vertical="center"/>
    </xf>
    <xf numFmtId="0" fontId="41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32" fillId="0" borderId="16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32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32" fillId="0" borderId="57" xfId="0" applyNumberFormat="1" applyFont="1" applyBorder="1" applyAlignment="1">
      <alignment horizontal="center" vertical="center"/>
    </xf>
    <xf numFmtId="1" fontId="32" fillId="0" borderId="56" xfId="0" applyNumberFormat="1" applyFont="1" applyBorder="1" applyAlignment="1">
      <alignment horizontal="center" vertical="center"/>
    </xf>
    <xf numFmtId="1" fontId="32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32" fillId="0" borderId="61" xfId="0" applyNumberFormat="1" applyFont="1" applyBorder="1" applyAlignment="1">
      <alignment horizontal="center" vertical="center"/>
    </xf>
    <xf numFmtId="1" fontId="32" fillId="0" borderId="60" xfId="0" applyNumberFormat="1" applyFont="1" applyBorder="1" applyAlignment="1">
      <alignment horizontal="center" vertical="center"/>
    </xf>
    <xf numFmtId="1" fontId="32" fillId="0" borderId="62" xfId="0" applyNumberFormat="1" applyFont="1" applyBorder="1" applyAlignment="1">
      <alignment horizontal="center" vertical="center"/>
    </xf>
    <xf numFmtId="0" fontId="32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32" fillId="0" borderId="65" xfId="0" applyNumberFormat="1" applyFont="1" applyBorder="1" applyAlignment="1">
      <alignment horizontal="center" vertical="center"/>
    </xf>
    <xf numFmtId="1" fontId="32" fillId="0" borderId="64" xfId="0" applyNumberFormat="1" applyFont="1" applyBorder="1" applyAlignment="1">
      <alignment horizontal="center" vertical="center"/>
    </xf>
    <xf numFmtId="1" fontId="32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52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52" fillId="5" borderId="2" xfId="11" applyNumberFormat="1" applyFont="1" applyAlignment="1">
      <alignment horizontal="center"/>
    </xf>
    <xf numFmtId="1" fontId="52" fillId="5" borderId="2" xfId="11" applyNumberFormat="1" applyFont="1" applyAlignment="1">
      <alignment horizontal="center"/>
    </xf>
    <xf numFmtId="0" fontId="32" fillId="0" borderId="15" xfId="0" applyFont="1" applyBorder="1" applyAlignment="1">
      <alignment horizontal="center" vertical="center"/>
    </xf>
    <xf numFmtId="165" fontId="49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32" fillId="0" borderId="5" xfId="0" applyNumberFormat="1" applyFont="1" applyBorder="1" applyAlignment="1">
      <alignment horizontal="center"/>
    </xf>
    <xf numFmtId="1" fontId="32" fillId="0" borderId="6" xfId="0" applyNumberFormat="1" applyFont="1" applyBorder="1" applyAlignment="1">
      <alignment horizontal="center"/>
    </xf>
    <xf numFmtId="1" fontId="32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49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32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32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32" fillId="0" borderId="10" xfId="0" applyNumberFormat="1" applyFont="1" applyBorder="1" applyAlignment="1">
      <alignment horizontal="center"/>
    </xf>
    <xf numFmtId="1" fontId="32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53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52" fillId="5" borderId="2" xfId="11" applyNumberFormat="1" applyFont="1" applyAlignment="1">
      <alignment horizontal="center" vertical="center"/>
    </xf>
    <xf numFmtId="0" fontId="32" fillId="0" borderId="17" xfId="0" applyFont="1" applyBorder="1" applyAlignment="1">
      <alignment vertical="center"/>
    </xf>
    <xf numFmtId="165" fontId="47" fillId="14" borderId="68" xfId="9" applyNumberFormat="1" applyBorder="1" applyAlignment="1">
      <alignment horizontal="center"/>
    </xf>
    <xf numFmtId="165" fontId="47" fillId="14" borderId="35" xfId="9" applyNumberFormat="1" applyBorder="1" applyAlignment="1">
      <alignment horizontal="center"/>
    </xf>
    <xf numFmtId="170" fontId="47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54" fillId="0" borderId="0" xfId="0" applyFont="1" applyAlignment="1">
      <alignment vertical="top" wrapText="1"/>
    </xf>
    <xf numFmtId="164" fontId="30" fillId="2" borderId="1" xfId="3" applyNumberFormat="1"/>
    <xf numFmtId="0" fontId="39" fillId="0" borderId="82" xfId="0" applyFont="1" applyBorder="1" applyAlignment="1">
      <alignment vertical="center"/>
    </xf>
    <xf numFmtId="0" fontId="39" fillId="0" borderId="83" xfId="0" applyFont="1" applyBorder="1" applyAlignment="1">
      <alignment vertical="center"/>
    </xf>
    <xf numFmtId="0" fontId="40" fillId="0" borderId="6" xfId="0" applyFont="1" applyBorder="1" applyAlignment="1">
      <alignment horizontal="right"/>
    </xf>
    <xf numFmtId="0" fontId="40" fillId="0" borderId="5" xfId="0" applyFont="1" applyBorder="1"/>
    <xf numFmtId="0" fontId="56" fillId="0" borderId="0" xfId="0" applyFont="1" applyAlignment="1">
      <alignment horizontal="left"/>
    </xf>
    <xf numFmtId="2" fontId="33" fillId="0" borderId="34" xfId="6" applyNumberFormat="1" applyBorder="1" applyAlignment="1">
      <alignment horizontal="center"/>
    </xf>
    <xf numFmtId="0" fontId="57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49" fillId="3" borderId="35" xfId="5" applyNumberFormat="1" applyFont="1" applyAlignment="1">
      <alignment horizontal="center" vertical="center"/>
    </xf>
    <xf numFmtId="0" fontId="32" fillId="0" borderId="85" xfId="0" applyFont="1" applyBorder="1"/>
    <xf numFmtId="0" fontId="0" fillId="0" borderId="7" xfId="0" applyBorder="1" applyAlignment="1">
      <alignment vertical="center" wrapText="1"/>
    </xf>
    <xf numFmtId="1" fontId="41" fillId="0" borderId="0" xfId="0" applyNumberFormat="1" applyFont="1" applyAlignment="1">
      <alignment horizontal="center"/>
    </xf>
    <xf numFmtId="0" fontId="59" fillId="0" borderId="0" xfId="0" applyFont="1"/>
    <xf numFmtId="171" fontId="29" fillId="17" borderId="2" xfId="2" applyNumberFormat="1"/>
    <xf numFmtId="164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2" fillId="0" borderId="3" xfId="0" applyFont="1" applyBorder="1"/>
    <xf numFmtId="1" fontId="0" fillId="0" borderId="3" xfId="0" applyNumberFormat="1" applyBorder="1" applyAlignment="1">
      <alignment horizontal="center"/>
    </xf>
    <xf numFmtId="0" fontId="40" fillId="0" borderId="0" xfId="0" applyFont="1" applyAlignment="1">
      <alignment vertical="top"/>
    </xf>
    <xf numFmtId="0" fontId="40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29" fillId="17" borderId="93" xfId="2" applyNumberFormat="1" applyBorder="1"/>
    <xf numFmtId="165" fontId="59" fillId="10" borderId="72" xfId="0" applyNumberFormat="1" applyFont="1" applyFill="1" applyBorder="1"/>
    <xf numFmtId="0" fontId="32" fillId="0" borderId="0" xfId="0" applyFont="1" applyAlignment="1">
      <alignment horizontal="right"/>
    </xf>
    <xf numFmtId="165" fontId="32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32" fillId="10" borderId="0" xfId="0" applyNumberFormat="1" applyFont="1" applyFill="1" applyAlignment="1">
      <alignment horizontal="center"/>
    </xf>
    <xf numFmtId="0" fontId="61" fillId="10" borderId="0" xfId="0" applyFont="1" applyFill="1" applyAlignment="1">
      <alignment horizontal="center"/>
    </xf>
    <xf numFmtId="0" fontId="0" fillId="18" borderId="72" xfId="0" applyFill="1" applyBorder="1"/>
    <xf numFmtId="0" fontId="32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28" fillId="10" borderId="21" xfId="1" applyNumberFormat="1" applyFill="1" applyBorder="1" applyAlignment="1">
      <alignment horizontal="center"/>
    </xf>
    <xf numFmtId="0" fontId="63" fillId="0" borderId="0" xfId="0" applyFont="1" applyAlignment="1">
      <alignment horizontal="right"/>
    </xf>
    <xf numFmtId="0" fontId="63" fillId="0" borderId="0" xfId="0" applyFont="1"/>
    <xf numFmtId="165" fontId="64" fillId="0" borderId="8" xfId="0" applyNumberFormat="1" applyFont="1" applyBorder="1" applyAlignment="1">
      <alignment horizontal="center"/>
    </xf>
    <xf numFmtId="0" fontId="63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65" fillId="19" borderId="76" xfId="0" applyFont="1" applyFill="1" applyBorder="1" applyAlignment="1">
      <alignment horizontal="center" wrapText="1"/>
    </xf>
    <xf numFmtId="0" fontId="65" fillId="19" borderId="77" xfId="0" applyFont="1" applyFill="1" applyBorder="1" applyAlignment="1">
      <alignment horizontal="center" wrapText="1"/>
    </xf>
    <xf numFmtId="0" fontId="65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66" fillId="19" borderId="76" xfId="0" applyFont="1" applyFill="1" applyBorder="1" applyAlignment="1">
      <alignment horizontal="center" wrapText="1"/>
    </xf>
    <xf numFmtId="0" fontId="66" fillId="19" borderId="77" xfId="0" applyFont="1" applyFill="1" applyBorder="1" applyAlignment="1">
      <alignment horizontal="center" wrapText="1"/>
    </xf>
    <xf numFmtId="0" fontId="67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68" fillId="19" borderId="76" xfId="0" applyFont="1" applyFill="1" applyBorder="1" applyAlignment="1">
      <alignment horizontal="center"/>
    </xf>
    <xf numFmtId="0" fontId="68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69" fillId="20" borderId="0" xfId="0" applyFont="1" applyFill="1" applyAlignment="1">
      <alignment horizontal="center"/>
    </xf>
    <xf numFmtId="165" fontId="69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68" fillId="19" borderId="78" xfId="0" applyFont="1" applyFill="1" applyBorder="1" applyAlignment="1">
      <alignment horizontal="center"/>
    </xf>
    <xf numFmtId="0" fontId="68" fillId="19" borderId="80" xfId="0" applyFont="1" applyFill="1" applyBorder="1" applyAlignment="1">
      <alignment horizontal="center"/>
    </xf>
    <xf numFmtId="0" fontId="69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28" fillId="22" borderId="1" xfId="13" applyAlignment="1">
      <alignment horizontal="left"/>
    </xf>
    <xf numFmtId="0" fontId="0" fillId="0" borderId="77" xfId="0" applyBorder="1"/>
    <xf numFmtId="165" fontId="28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39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41" fillId="6" borderId="0" xfId="0" applyFont="1" applyFill="1"/>
    <xf numFmtId="0" fontId="60" fillId="0" borderId="0" xfId="0" applyFont="1"/>
    <xf numFmtId="0" fontId="41" fillId="0" borderId="0" xfId="0" applyFont="1"/>
    <xf numFmtId="0" fontId="0" fillId="10" borderId="79" xfId="0" applyFill="1" applyBorder="1" applyAlignment="1">
      <alignment horizontal="center"/>
    </xf>
    <xf numFmtId="0" fontId="33" fillId="0" borderId="79" xfId="0" applyFont="1" applyBorder="1" applyAlignment="1">
      <alignment horizontal="center"/>
    </xf>
    <xf numFmtId="0" fontId="33" fillId="0" borderId="109" xfId="0" applyFont="1" applyBorder="1"/>
    <xf numFmtId="0" fontId="70" fillId="0" borderId="92" xfId="0" applyFont="1" applyBorder="1" applyAlignment="1">
      <alignment horizontal="center" wrapText="1"/>
    </xf>
    <xf numFmtId="0" fontId="70" fillId="0" borderId="79" xfId="0" applyFont="1" applyBorder="1" applyAlignment="1">
      <alignment horizontal="center" wrapText="1"/>
    </xf>
    <xf numFmtId="0" fontId="70" fillId="0" borderId="109" xfId="0" applyFont="1" applyBorder="1" applyAlignment="1">
      <alignment horizontal="center" wrapText="1"/>
    </xf>
    <xf numFmtId="9" fontId="33" fillId="0" borderId="8" xfId="0" applyNumberFormat="1" applyFont="1" applyBorder="1" applyAlignment="1">
      <alignment horizontal="center"/>
    </xf>
    <xf numFmtId="165" fontId="33" fillId="0" borderId="7" xfId="0" applyNumberFormat="1" applyFont="1" applyBorder="1" applyAlignment="1">
      <alignment horizontal="center"/>
    </xf>
    <xf numFmtId="2" fontId="33" fillId="0" borderId="8" xfId="0" applyNumberFormat="1" applyFont="1" applyBorder="1" applyAlignment="1">
      <alignment horizontal="center"/>
    </xf>
    <xf numFmtId="170" fontId="33" fillId="0" borderId="0" xfId="8" applyNumberFormat="1" applyFont="1" applyFill="1" applyBorder="1" applyAlignment="1">
      <alignment horizontal="center"/>
    </xf>
    <xf numFmtId="170" fontId="33" fillId="0" borderId="0" xfId="8" applyNumberFormat="1" applyFont="1" applyBorder="1" applyAlignment="1">
      <alignment horizontal="center"/>
    </xf>
    <xf numFmtId="170" fontId="32" fillId="0" borderId="110" xfId="8" applyNumberFormat="1" applyFont="1" applyBorder="1" applyAlignment="1">
      <alignment horizontal="center"/>
    </xf>
    <xf numFmtId="170" fontId="32" fillId="0" borderId="111" xfId="8" applyNumberFormat="1" applyFont="1" applyBorder="1" applyAlignment="1">
      <alignment horizontal="center"/>
    </xf>
    <xf numFmtId="170" fontId="32" fillId="0" borderId="112" xfId="8" applyNumberFormat="1" applyFont="1" applyBorder="1" applyAlignment="1">
      <alignment horizontal="center"/>
    </xf>
    <xf numFmtId="0" fontId="33" fillId="0" borderId="78" xfId="0" applyFont="1" applyBorder="1" applyAlignment="1">
      <alignment horizontal="center"/>
    </xf>
    <xf numFmtId="0" fontId="70" fillId="0" borderId="80" xfId="0" applyFont="1" applyBorder="1" applyAlignment="1">
      <alignment horizontal="center" wrapText="1"/>
    </xf>
    <xf numFmtId="0" fontId="33" fillId="0" borderId="76" xfId="0" applyFont="1" applyBorder="1" applyAlignment="1">
      <alignment horizontal="center"/>
    </xf>
    <xf numFmtId="1" fontId="33" fillId="0" borderId="0" xfId="0" applyNumberFormat="1" applyFont="1" applyAlignment="1">
      <alignment horizontal="center"/>
    </xf>
    <xf numFmtId="165" fontId="33" fillId="0" borderId="0" xfId="0" applyNumberFormat="1" applyFont="1" applyAlignment="1">
      <alignment horizontal="center"/>
    </xf>
    <xf numFmtId="9" fontId="33" fillId="0" borderId="109" xfId="0" applyNumberFormat="1" applyFont="1" applyBorder="1" applyAlignment="1">
      <alignment horizontal="center"/>
    </xf>
    <xf numFmtId="165" fontId="33" fillId="0" borderId="92" xfId="0" applyNumberFormat="1" applyFont="1" applyBorder="1" applyAlignment="1">
      <alignment horizontal="center"/>
    </xf>
    <xf numFmtId="165" fontId="33" fillId="0" borderId="79" xfId="0" applyNumberFormat="1" applyFont="1" applyBorder="1" applyAlignment="1">
      <alignment horizontal="center"/>
    </xf>
    <xf numFmtId="2" fontId="33" fillId="0" borderId="109" xfId="0" applyNumberFormat="1" applyFont="1" applyBorder="1" applyAlignment="1">
      <alignment horizontal="center"/>
    </xf>
    <xf numFmtId="170" fontId="33" fillId="0" borderId="92" xfId="8" applyNumberFormat="1" applyFont="1" applyFill="1" applyBorder="1" applyAlignment="1">
      <alignment horizontal="center"/>
    </xf>
    <xf numFmtId="170" fontId="33" fillId="0" borderId="79" xfId="8" applyNumberFormat="1" applyFont="1" applyBorder="1" applyAlignment="1">
      <alignment horizontal="center"/>
    </xf>
    <xf numFmtId="0" fontId="64" fillId="0" borderId="0" xfId="0" applyFont="1"/>
    <xf numFmtId="9" fontId="64" fillId="21" borderId="72" xfId="8" applyFont="1" applyFill="1" applyBorder="1"/>
    <xf numFmtId="0" fontId="33" fillId="0" borderId="78" xfId="0" applyFont="1" applyBorder="1" applyAlignment="1">
      <alignment horizontal="center" wrapText="1"/>
    </xf>
    <xf numFmtId="170" fontId="32" fillId="21" borderId="72" xfId="8" applyNumberFormat="1" applyFont="1" applyFill="1" applyBorder="1"/>
    <xf numFmtId="0" fontId="34" fillId="0" borderId="34" xfId="0" applyFont="1" applyBorder="1"/>
    <xf numFmtId="0" fontId="34" fillId="0" borderId="0" xfId="0" applyFont="1"/>
    <xf numFmtId="1" fontId="61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31" fillId="0" borderId="73" xfId="4" applyBorder="1" applyAlignment="1">
      <alignment horizontal="center"/>
    </xf>
    <xf numFmtId="0" fontId="31" fillId="0" borderId="74" xfId="4" applyBorder="1" applyAlignment="1">
      <alignment horizontal="center"/>
    </xf>
    <xf numFmtId="0" fontId="31" fillId="0" borderId="89" xfId="4" applyBorder="1" applyAlignment="1">
      <alignment horizontal="center"/>
    </xf>
    <xf numFmtId="0" fontId="31" fillId="0" borderId="113" xfId="4" applyBorder="1" applyAlignment="1">
      <alignment horizontal="center"/>
    </xf>
    <xf numFmtId="0" fontId="31" fillId="0" borderId="75" xfId="4" applyBorder="1" applyAlignment="1">
      <alignment horizontal="center"/>
    </xf>
    <xf numFmtId="0" fontId="31" fillId="0" borderId="90" xfId="4" applyBorder="1" applyAlignment="1">
      <alignment horizontal="center"/>
    </xf>
    <xf numFmtId="0" fontId="31" fillId="0" borderId="91" xfId="4" applyBorder="1" applyAlignment="1">
      <alignment horizontal="center"/>
    </xf>
    <xf numFmtId="165" fontId="31" fillId="0" borderId="76" xfId="4" applyNumberFormat="1" applyBorder="1" applyAlignment="1">
      <alignment horizontal="center"/>
    </xf>
    <xf numFmtId="165" fontId="31" fillId="0" borderId="77" xfId="4" applyNumberFormat="1" applyBorder="1" applyAlignment="1">
      <alignment horizontal="center"/>
    </xf>
    <xf numFmtId="165" fontId="31" fillId="0" borderId="78" xfId="4" applyNumberFormat="1" applyBorder="1" applyAlignment="1">
      <alignment horizontal="center"/>
    </xf>
    <xf numFmtId="165" fontId="31" fillId="0" borderId="79" xfId="4" applyNumberFormat="1" applyBorder="1" applyAlignment="1">
      <alignment horizontal="center"/>
    </xf>
    <xf numFmtId="165" fontId="31" fillId="0" borderId="92" xfId="4" applyNumberFormat="1" applyBorder="1" applyAlignment="1">
      <alignment horizontal="center"/>
    </xf>
    <xf numFmtId="165" fontId="31" fillId="0" borderId="109" xfId="4" applyNumberFormat="1" applyBorder="1" applyAlignment="1">
      <alignment horizontal="center"/>
    </xf>
    <xf numFmtId="165" fontId="31" fillId="0" borderId="80" xfId="4" applyNumberFormat="1" applyBorder="1" applyAlignment="1">
      <alignment horizontal="center"/>
    </xf>
    <xf numFmtId="1" fontId="34" fillId="0" borderId="34" xfId="0" applyNumberFormat="1" applyFont="1" applyBorder="1" applyAlignment="1">
      <alignment horizontal="center"/>
    </xf>
    <xf numFmtId="0" fontId="38" fillId="6" borderId="0" xfId="0" applyFont="1" applyFill="1" applyAlignment="1">
      <alignment horizontal="left" wrapText="1"/>
    </xf>
    <xf numFmtId="0" fontId="71" fillId="23" borderId="0" xfId="14"/>
    <xf numFmtId="0" fontId="40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48" fillId="0" borderId="0" xfId="0" applyFont="1"/>
    <xf numFmtId="167" fontId="32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40" fillId="6" borderId="7" xfId="0" applyNumberFormat="1" applyFont="1" applyFill="1" applyBorder="1" applyAlignment="1">
      <alignment vertical="center"/>
    </xf>
    <xf numFmtId="1" fontId="28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32" fillId="0" borderId="106" xfId="0" applyFont="1" applyBorder="1"/>
    <xf numFmtId="0" fontId="72" fillId="0" borderId="0" xfId="0" applyFont="1"/>
    <xf numFmtId="165" fontId="29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29" fillId="17" borderId="118" xfId="2" applyNumberFormat="1" applyBorder="1" applyAlignment="1">
      <alignment horizontal="center"/>
    </xf>
    <xf numFmtId="165" fontId="29" fillId="17" borderId="119" xfId="2" applyNumberFormat="1" applyBorder="1" applyAlignment="1">
      <alignment horizontal="center"/>
    </xf>
    <xf numFmtId="165" fontId="28" fillId="4" borderId="1" xfId="1" applyNumberFormat="1" applyAlignment="1">
      <alignment horizontal="center" vertical="center"/>
    </xf>
    <xf numFmtId="164" fontId="32" fillId="0" borderId="34" xfId="0" applyNumberFormat="1" applyFont="1" applyBorder="1" applyAlignment="1">
      <alignment horizontal="center"/>
    </xf>
    <xf numFmtId="1" fontId="59" fillId="4" borderId="1" xfId="1" applyNumberFormat="1" applyFont="1" applyAlignment="1">
      <alignment horizontal="center"/>
    </xf>
    <xf numFmtId="165" fontId="28" fillId="4" borderId="1" xfId="1" applyNumberFormat="1"/>
    <xf numFmtId="1" fontId="70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28" fillId="4" borderId="120" xfId="1" applyNumberFormat="1" applyBorder="1" applyAlignment="1">
      <alignment horizontal="center"/>
    </xf>
    <xf numFmtId="0" fontId="0" fillId="21" borderId="0" xfId="0" applyFill="1"/>
    <xf numFmtId="0" fontId="32" fillId="21" borderId="0" xfId="0" applyFont="1" applyFill="1"/>
    <xf numFmtId="1" fontId="0" fillId="0" borderId="0" xfId="0" quotePrefix="1" applyNumberFormat="1" applyAlignment="1">
      <alignment horizontal="center"/>
    </xf>
    <xf numFmtId="0" fontId="75" fillId="20" borderId="104" xfId="15" applyFont="1" applyFill="1" applyBorder="1" applyAlignment="1">
      <alignment wrapText="1"/>
    </xf>
    <xf numFmtId="0" fontId="75" fillId="24" borderId="104" xfId="15" applyFont="1" applyFill="1" applyBorder="1"/>
    <xf numFmtId="0" fontId="75" fillId="25" borderId="104" xfId="15" applyFont="1" applyFill="1" applyBorder="1"/>
    <xf numFmtId="0" fontId="75" fillId="26" borderId="104" xfId="15" applyFont="1" applyFill="1" applyBorder="1"/>
    <xf numFmtId="0" fontId="27" fillId="0" borderId="0" xfId="15"/>
    <xf numFmtId="0" fontId="27" fillId="20" borderId="3" xfId="15" applyFill="1" applyBorder="1" applyAlignment="1">
      <alignment wrapText="1"/>
    </xf>
    <xf numFmtId="0" fontId="27" fillId="24" borderId="3" xfId="15" applyFill="1" applyBorder="1"/>
    <xf numFmtId="0" fontId="27" fillId="26" borderId="3" xfId="15" applyFill="1" applyBorder="1"/>
    <xf numFmtId="0" fontId="27" fillId="24" borderId="3" xfId="15" applyFill="1" applyBorder="1" applyAlignment="1">
      <alignment wrapText="1"/>
    </xf>
    <xf numFmtId="0" fontId="27" fillId="20" borderId="3" xfId="15" applyFill="1" applyBorder="1"/>
    <xf numFmtId="0" fontId="27" fillId="20" borderId="3" xfId="15" quotePrefix="1" applyFill="1" applyBorder="1"/>
    <xf numFmtId="0" fontId="27" fillId="20" borderId="3" xfId="15" quotePrefix="1" applyFill="1" applyBorder="1" applyAlignment="1">
      <alignment wrapText="1"/>
    </xf>
    <xf numFmtId="0" fontId="27" fillId="24" borderId="3" xfId="15" quotePrefix="1" applyFill="1" applyBorder="1"/>
    <xf numFmtId="0" fontId="73" fillId="26" borderId="3" xfId="15" applyFont="1" applyFill="1" applyBorder="1"/>
    <xf numFmtId="0" fontId="27" fillId="0" borderId="0" xfId="15" applyAlignment="1">
      <alignment wrapText="1"/>
    </xf>
    <xf numFmtId="0" fontId="74" fillId="0" borderId="0" xfId="15" applyFont="1"/>
    <xf numFmtId="0" fontId="50" fillId="5" borderId="2" xfId="11"/>
    <xf numFmtId="0" fontId="32" fillId="6" borderId="5" xfId="0" applyFont="1" applyFill="1" applyBorder="1" applyAlignment="1">
      <alignment vertical="center" wrapText="1"/>
    </xf>
    <xf numFmtId="0" fontId="32" fillId="6" borderId="0" xfId="0" applyFont="1" applyFill="1" applyAlignment="1">
      <alignment vertical="center" wrapText="1"/>
    </xf>
    <xf numFmtId="0" fontId="32" fillId="6" borderId="7" xfId="0" applyFont="1" applyFill="1" applyBorder="1" applyAlignment="1">
      <alignment vertical="center"/>
    </xf>
    <xf numFmtId="0" fontId="26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70" fillId="25" borderId="3" xfId="0" applyFont="1" applyFill="1" applyBorder="1"/>
    <xf numFmtId="0" fontId="33" fillId="25" borderId="3" xfId="15" applyFont="1" applyFill="1" applyBorder="1"/>
    <xf numFmtId="0" fontId="38" fillId="0" borderId="7" xfId="0" applyFont="1" applyBorder="1"/>
    <xf numFmtId="0" fontId="67" fillId="24" borderId="3" xfId="15" applyFont="1" applyFill="1" applyBorder="1"/>
    <xf numFmtId="0" fontId="27" fillId="26" borderId="3" xfId="15" applyFill="1" applyBorder="1" applyAlignment="1">
      <alignment wrapText="1"/>
    </xf>
    <xf numFmtId="0" fontId="67" fillId="26" borderId="3" xfId="15" applyFont="1" applyFill="1" applyBorder="1" applyAlignment="1">
      <alignment wrapText="1"/>
    </xf>
    <xf numFmtId="0" fontId="67" fillId="24" borderId="3" xfId="15" applyFont="1" applyFill="1" applyBorder="1" applyAlignment="1">
      <alignment wrapText="1"/>
    </xf>
    <xf numFmtId="0" fontId="67" fillId="26" borderId="3" xfId="15" applyFont="1" applyFill="1" applyBorder="1"/>
    <xf numFmtId="0" fontId="27" fillId="26" borderId="3" xfId="15" quotePrefix="1" applyFill="1" applyBorder="1"/>
    <xf numFmtId="0" fontId="67" fillId="25" borderId="3" xfId="0" applyFont="1" applyFill="1" applyBorder="1" applyAlignment="1">
      <alignment wrapText="1"/>
    </xf>
    <xf numFmtId="0" fontId="77" fillId="25" borderId="3" xfId="15" applyFont="1" applyFill="1" applyBorder="1" applyAlignment="1">
      <alignment wrapText="1"/>
    </xf>
    <xf numFmtId="0" fontId="25" fillId="26" borderId="3" xfId="15" applyFont="1" applyFill="1" applyBorder="1" applyAlignment="1">
      <alignment wrapText="1"/>
    </xf>
    <xf numFmtId="0" fontId="25" fillId="24" borderId="3" xfId="15" applyFont="1" applyFill="1" applyBorder="1"/>
    <xf numFmtId="0" fontId="78" fillId="6" borderId="10" xfId="0" applyFont="1" applyFill="1" applyBorder="1" applyAlignment="1">
      <alignment vertical="center"/>
    </xf>
    <xf numFmtId="0" fontId="78" fillId="6" borderId="0" xfId="0" applyFont="1" applyFill="1" applyAlignment="1">
      <alignment horizontal="left"/>
    </xf>
    <xf numFmtId="0" fontId="79" fillId="0" borderId="0" xfId="7" applyFont="1" applyFill="1" applyBorder="1" applyAlignment="1"/>
    <xf numFmtId="0" fontId="79" fillId="0" borderId="0" xfId="7" applyFont="1" applyFill="1" applyBorder="1"/>
    <xf numFmtId="0" fontId="60" fillId="6" borderId="0" xfId="0" applyFont="1" applyFill="1"/>
    <xf numFmtId="0" fontId="51" fillId="6" borderId="0" xfId="0" applyFont="1" applyFill="1"/>
    <xf numFmtId="0" fontId="38" fillId="6" borderId="0" xfId="0" applyFont="1" applyFill="1"/>
    <xf numFmtId="0" fontId="38" fillId="6" borderId="0" xfId="0" applyFont="1" applyFill="1" applyAlignment="1">
      <alignment vertical="top"/>
    </xf>
    <xf numFmtId="165" fontId="80" fillId="3" borderId="35" xfId="5" applyNumberFormat="1" applyFont="1" applyAlignment="1" applyProtection="1">
      <alignment horizontal="center" vertical="center"/>
      <protection locked="0"/>
    </xf>
    <xf numFmtId="0" fontId="51" fillId="6" borderId="4" xfId="0" applyFont="1" applyFill="1" applyBorder="1" applyAlignment="1">
      <alignment horizontal="left"/>
    </xf>
    <xf numFmtId="0" fontId="51" fillId="6" borderId="5" xfId="0" applyFont="1" applyFill="1" applyBorder="1"/>
    <xf numFmtId="0" fontId="51" fillId="6" borderId="6" xfId="0" applyFont="1" applyFill="1" applyBorder="1"/>
    <xf numFmtId="165" fontId="38" fillId="6" borderId="3" xfId="0" applyNumberFormat="1" applyFont="1" applyFill="1" applyBorder="1" applyAlignment="1">
      <alignment horizontal="right"/>
    </xf>
    <xf numFmtId="0" fontId="38" fillId="6" borderId="8" xfId="0" applyFont="1" applyFill="1" applyBorder="1"/>
    <xf numFmtId="164" fontId="38" fillId="6" borderId="3" xfId="0" applyNumberFormat="1" applyFont="1" applyFill="1" applyBorder="1" applyAlignment="1">
      <alignment horizontal="right"/>
    </xf>
    <xf numFmtId="0" fontId="51" fillId="6" borderId="34" xfId="0" applyFont="1" applyFill="1" applyBorder="1"/>
    <xf numFmtId="0" fontId="38" fillId="6" borderId="34" xfId="0" applyFont="1" applyFill="1" applyBorder="1"/>
    <xf numFmtId="165" fontId="38" fillId="6" borderId="34" xfId="0" applyNumberFormat="1" applyFont="1" applyFill="1" applyBorder="1" applyAlignment="1">
      <alignment horizontal="center"/>
    </xf>
    <xf numFmtId="0" fontId="38" fillId="6" borderId="9" xfId="0" applyFont="1" applyFill="1" applyBorder="1" applyAlignment="1">
      <alignment horizontal="left"/>
    </xf>
    <xf numFmtId="0" fontId="38" fillId="6" borderId="10" xfId="0" applyFont="1" applyFill="1" applyBorder="1"/>
    <xf numFmtId="2" fontId="38" fillId="6" borderId="3" xfId="0" applyNumberFormat="1" applyFont="1" applyFill="1" applyBorder="1" applyAlignment="1">
      <alignment horizontal="right"/>
    </xf>
    <xf numFmtId="0" fontId="38" fillId="6" borderId="11" xfId="0" applyFont="1" applyFill="1" applyBorder="1"/>
    <xf numFmtId="0" fontId="38" fillId="6" borderId="6" xfId="0" applyFont="1" applyFill="1" applyBorder="1"/>
    <xf numFmtId="0" fontId="38" fillId="0" borderId="81" xfId="0" applyFont="1" applyBorder="1" applyAlignment="1">
      <alignment vertical="center"/>
    </xf>
    <xf numFmtId="0" fontId="38" fillId="0" borderId="84" xfId="0" applyFont="1" applyBorder="1" applyAlignment="1">
      <alignment vertical="center"/>
    </xf>
    <xf numFmtId="0" fontId="38" fillId="0" borderId="81" xfId="0" applyFont="1" applyBorder="1" applyAlignment="1">
      <alignment horizontal="left" vertical="center"/>
    </xf>
    <xf numFmtId="0" fontId="38" fillId="0" borderId="9" xfId="0" applyFont="1" applyBorder="1" applyAlignment="1">
      <alignment vertical="center"/>
    </xf>
    <xf numFmtId="0" fontId="82" fillId="0" borderId="15" xfId="0" applyFont="1" applyBorder="1" applyAlignment="1">
      <alignment horizontal="center" wrapText="1"/>
    </xf>
    <xf numFmtId="0" fontId="82" fillId="0" borderId="3" xfId="0" applyFont="1" applyBorder="1" applyAlignment="1">
      <alignment horizontal="center" wrapText="1"/>
    </xf>
    <xf numFmtId="0" fontId="82" fillId="0" borderId="16" xfId="0" applyFont="1" applyBorder="1" applyAlignment="1">
      <alignment horizontal="center" wrapText="1"/>
    </xf>
    <xf numFmtId="0" fontId="82" fillId="0" borderId="16" xfId="0" applyFont="1" applyBorder="1" applyAlignment="1">
      <alignment horizontal="center"/>
    </xf>
    <xf numFmtId="0" fontId="82" fillId="0" borderId="3" xfId="0" applyFont="1" applyBorder="1" applyAlignment="1">
      <alignment horizontal="center"/>
    </xf>
    <xf numFmtId="0" fontId="82" fillId="0" borderId="17" xfId="0" applyFont="1" applyBorder="1" applyAlignment="1">
      <alignment horizontal="center"/>
    </xf>
    <xf numFmtId="0" fontId="25" fillId="26" borderId="3" xfId="15" applyFont="1" applyFill="1" applyBorder="1"/>
    <xf numFmtId="0" fontId="60" fillId="6" borderId="5" xfId="0" applyFont="1" applyFill="1" applyBorder="1"/>
    <xf numFmtId="0" fontId="32" fillId="0" borderId="3" xfId="0" applyFont="1" applyBorder="1" applyAlignment="1">
      <alignment horizontal="center" wrapText="1"/>
    </xf>
    <xf numFmtId="171" fontId="30" fillId="2" borderId="1" xfId="3" applyNumberFormat="1" applyAlignment="1">
      <alignment horizontal="center" vertical="center"/>
    </xf>
    <xf numFmtId="0" fontId="32" fillId="13" borderId="0" xfId="0" applyFont="1" applyFill="1"/>
    <xf numFmtId="0" fontId="0" fillId="0" borderId="0" xfId="0" applyAlignment="1">
      <alignment wrapText="1"/>
    </xf>
    <xf numFmtId="0" fontId="29" fillId="17" borderId="2" xfId="2" applyAlignment="1">
      <alignment horizontal="center" vertical="center" wrapText="1"/>
    </xf>
    <xf numFmtId="168" fontId="32" fillId="0" borderId="12" xfId="0" applyNumberFormat="1" applyFont="1" applyBorder="1" applyAlignment="1">
      <alignment horizontal="center"/>
    </xf>
    <xf numFmtId="0" fontId="28" fillId="22" borderId="1" xfId="13" applyAlignment="1" applyProtection="1">
      <alignment horizontal="center"/>
      <protection locked="0"/>
    </xf>
    <xf numFmtId="168" fontId="32" fillId="0" borderId="13" xfId="0" applyNumberFormat="1" applyFont="1" applyBorder="1" applyAlignment="1">
      <alignment horizontal="center"/>
    </xf>
    <xf numFmtId="168" fontId="32" fillId="0" borderId="14" xfId="0" applyNumberFormat="1" applyFont="1" applyBorder="1" applyAlignment="1">
      <alignment horizontal="center"/>
    </xf>
    <xf numFmtId="0" fontId="74" fillId="0" borderId="0" xfId="16" applyFont="1"/>
    <xf numFmtId="0" fontId="24" fillId="0" borderId="0" xfId="16"/>
    <xf numFmtId="0" fontId="24" fillId="0" borderId="0" xfId="16" applyAlignment="1">
      <alignment wrapText="1"/>
    </xf>
    <xf numFmtId="0" fontId="75" fillId="20" borderId="104" xfId="16" applyFont="1" applyFill="1" applyBorder="1" applyAlignment="1">
      <alignment wrapText="1"/>
    </xf>
    <xf numFmtId="0" fontId="75" fillId="24" borderId="104" xfId="16" applyFont="1" applyFill="1" applyBorder="1"/>
    <xf numFmtId="0" fontId="75" fillId="25" borderId="104" xfId="16" applyFont="1" applyFill="1" applyBorder="1"/>
    <xf numFmtId="0" fontId="75" fillId="26" borderId="104" xfId="16" applyFont="1" applyFill="1" applyBorder="1"/>
    <xf numFmtId="0" fontId="24" fillId="20" borderId="14" xfId="16" applyFill="1" applyBorder="1" applyAlignment="1" applyProtection="1">
      <alignment wrapText="1"/>
      <protection locked="0"/>
    </xf>
    <xf numFmtId="0" fontId="24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24" fillId="26" borderId="14" xfId="16" applyFill="1" applyBorder="1" applyProtection="1">
      <protection locked="0"/>
    </xf>
    <xf numFmtId="0" fontId="24" fillId="20" borderId="3" xfId="16" applyFill="1" applyBorder="1" applyAlignment="1" applyProtection="1">
      <alignment wrapText="1"/>
      <protection locked="0"/>
    </xf>
    <xf numFmtId="0" fontId="24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24" fillId="26" borderId="3" xfId="16" applyFill="1" applyBorder="1" applyProtection="1">
      <protection locked="0"/>
    </xf>
    <xf numFmtId="0" fontId="32" fillId="0" borderId="0" xfId="0" applyFont="1" applyAlignment="1">
      <alignment wrapText="1"/>
    </xf>
    <xf numFmtId="0" fontId="32" fillId="0" borderId="0" xfId="0" quotePrefix="1" applyFont="1"/>
    <xf numFmtId="0" fontId="28" fillId="22" borderId="1" xfId="13" applyProtection="1">
      <protection locked="0"/>
    </xf>
    <xf numFmtId="0" fontId="84" fillId="0" borderId="0" xfId="0" applyFont="1"/>
    <xf numFmtId="16" fontId="0" fillId="0" borderId="7" xfId="0" quotePrefix="1" applyNumberFormat="1" applyBorder="1"/>
    <xf numFmtId="0" fontId="50" fillId="5" borderId="2" xfId="11" applyProtection="1">
      <protection locked="0"/>
    </xf>
    <xf numFmtId="0" fontId="32" fillId="6" borderId="5" xfId="0" applyFont="1" applyFill="1" applyBorder="1" applyAlignment="1">
      <alignment horizontal="left" vertical="center" wrapText="1"/>
    </xf>
    <xf numFmtId="0" fontId="38" fillId="6" borderId="0" xfId="0" applyFont="1" applyFill="1" applyAlignment="1">
      <alignment horizontal="left" vertical="center" wrapText="1"/>
    </xf>
    <xf numFmtId="0" fontId="0" fillId="0" borderId="121" xfId="0" applyBorder="1"/>
    <xf numFmtId="0" fontId="23" fillId="20" borderId="3" xfId="15" applyFont="1" applyFill="1" applyBorder="1" applyAlignment="1">
      <alignment wrapText="1"/>
    </xf>
    <xf numFmtId="0" fontId="23" fillId="24" borderId="3" xfId="15" applyFont="1" applyFill="1" applyBorder="1"/>
    <xf numFmtId="0" fontId="23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70" fillId="0" borderId="0" xfId="0" applyFont="1"/>
    <xf numFmtId="1" fontId="34" fillId="0" borderId="0" xfId="0" applyNumberFormat="1" applyFont="1" applyAlignment="1">
      <alignment horizontal="center"/>
    </xf>
    <xf numFmtId="0" fontId="85" fillId="0" borderId="7" xfId="0" applyFont="1" applyBorder="1"/>
    <xf numFmtId="0" fontId="32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32" fillId="0" borderId="81" xfId="0" applyFont="1" applyBorder="1"/>
    <xf numFmtId="0" fontId="51" fillId="6" borderId="5" xfId="0" applyFont="1" applyFill="1" applyBorder="1" applyAlignment="1">
      <alignment horizontal="left"/>
    </xf>
    <xf numFmtId="0" fontId="38" fillId="6" borderId="0" xfId="0" applyFont="1" applyFill="1" applyAlignment="1">
      <alignment horizontal="left"/>
    </xf>
    <xf numFmtId="0" fontId="38" fillId="6" borderId="10" xfId="0" applyFont="1" applyFill="1" applyBorder="1" applyAlignment="1">
      <alignment horizontal="left"/>
    </xf>
    <xf numFmtId="0" fontId="34" fillId="0" borderId="8" xfId="0" applyFont="1" applyBorder="1"/>
    <xf numFmtId="165" fontId="0" fillId="0" borderId="3" xfId="0" applyNumberFormat="1" applyBorder="1" applyAlignment="1">
      <alignment horizontal="center"/>
    </xf>
    <xf numFmtId="0" fontId="34" fillId="0" borderId="9" xfId="0" applyFont="1" applyBorder="1"/>
    <xf numFmtId="0" fontId="70" fillId="0" borderId="10" xfId="0" applyFont="1" applyBorder="1"/>
    <xf numFmtId="1" fontId="34" fillId="0" borderId="10" xfId="0" applyNumberFormat="1" applyFont="1" applyBorder="1" applyAlignment="1">
      <alignment horizontal="center"/>
    </xf>
    <xf numFmtId="0" fontId="34" fillId="0" borderId="11" xfId="0" applyFont="1" applyBorder="1"/>
    <xf numFmtId="0" fontId="51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32" fillId="0" borderId="3" xfId="8" applyFont="1" applyBorder="1" applyAlignment="1">
      <alignment horizontal="center"/>
    </xf>
    <xf numFmtId="165" fontId="32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22" fillId="20" borderId="3" xfId="15" applyFont="1" applyFill="1" applyBorder="1" applyAlignment="1">
      <alignment wrapText="1"/>
    </xf>
    <xf numFmtId="0" fontId="22" fillId="24" borderId="3" xfId="15" applyFont="1" applyFill="1" applyBorder="1"/>
    <xf numFmtId="0" fontId="22" fillId="26" borderId="3" xfId="15" applyFont="1" applyFill="1" applyBorder="1"/>
    <xf numFmtId="0" fontId="0" fillId="25" borderId="3" xfId="0" quotePrefix="1" applyFill="1" applyBorder="1"/>
    <xf numFmtId="0" fontId="53" fillId="0" borderId="7" xfId="0" applyFont="1" applyBorder="1"/>
    <xf numFmtId="0" fontId="22" fillId="24" borderId="3" xfId="15" applyFont="1" applyFill="1" applyBorder="1" applyAlignment="1">
      <alignment wrapText="1"/>
    </xf>
    <xf numFmtId="2" fontId="32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1" fontId="87" fillId="6" borderId="122" xfId="5" applyNumberFormat="1" applyFont="1" applyFill="1" applyBorder="1" applyAlignment="1" applyProtection="1">
      <alignment horizontal="center" vertical="center"/>
    </xf>
    <xf numFmtId="165" fontId="87" fillId="6" borderId="35" xfId="8" applyNumberFormat="1" applyFont="1" applyFill="1" applyBorder="1" applyAlignment="1" applyProtection="1">
      <alignment horizontal="center" vertical="center"/>
    </xf>
    <xf numFmtId="1" fontId="87" fillId="6" borderId="35" xfId="8" applyNumberFormat="1" applyFont="1" applyFill="1" applyBorder="1" applyAlignment="1" applyProtection="1">
      <alignment horizontal="center" vertical="center"/>
    </xf>
    <xf numFmtId="0" fontId="50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32" fillId="27" borderId="14" xfId="0" applyFont="1" applyFill="1" applyBorder="1" applyAlignment="1">
      <alignment horizontal="center"/>
    </xf>
    <xf numFmtId="0" fontId="28" fillId="4" borderId="94" xfId="1" applyBorder="1"/>
    <xf numFmtId="0" fontId="21" fillId="20" borderId="3" xfId="15" applyFont="1" applyFill="1" applyBorder="1" applyAlignment="1">
      <alignment wrapText="1"/>
    </xf>
    <xf numFmtId="0" fontId="21" fillId="24" borderId="3" xfId="15" applyFont="1" applyFill="1" applyBorder="1"/>
    <xf numFmtId="0" fontId="21" fillId="26" borderId="3" xfId="15" applyFont="1" applyFill="1" applyBorder="1"/>
    <xf numFmtId="0" fontId="86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32" fillId="0" borderId="3" xfId="0" applyNumberFormat="1" applyFont="1" applyBorder="1" applyAlignment="1">
      <alignment horizontal="center"/>
    </xf>
    <xf numFmtId="9" fontId="87" fillId="6" borderId="35" xfId="8" applyFont="1" applyFill="1" applyBorder="1" applyAlignment="1" applyProtection="1">
      <alignment horizontal="center" vertical="center"/>
    </xf>
    <xf numFmtId="1" fontId="50" fillId="3" borderId="35" xfId="5" applyNumberFormat="1" applyFont="1" applyAlignment="1" applyProtection="1">
      <alignment horizontal="center" vertical="center"/>
      <protection locked="0"/>
    </xf>
    <xf numFmtId="0" fontId="86" fillId="0" borderId="0" xfId="0" applyFont="1" applyAlignment="1">
      <alignment horizontal="left"/>
    </xf>
    <xf numFmtId="0" fontId="40" fillId="0" borderId="0" xfId="0" applyFont="1"/>
    <xf numFmtId="0" fontId="20" fillId="24" borderId="3" xfId="15" quotePrefix="1" applyFont="1" applyFill="1" applyBorder="1" applyAlignment="1">
      <alignment wrapText="1"/>
    </xf>
    <xf numFmtId="0" fontId="20" fillId="26" borderId="3" xfId="15" quotePrefix="1" applyFont="1" applyFill="1" applyBorder="1"/>
    <xf numFmtId="0" fontId="20" fillId="20" borderId="3" xfId="15" applyFont="1" applyFill="1" applyBorder="1" applyAlignment="1">
      <alignment wrapText="1"/>
    </xf>
    <xf numFmtId="0" fontId="20" fillId="24" borderId="3" xfId="15" applyFont="1" applyFill="1" applyBorder="1" applyAlignment="1">
      <alignment wrapText="1"/>
    </xf>
    <xf numFmtId="171" fontId="28" fillId="22" borderId="1" xfId="13" applyNumberFormat="1" applyAlignment="1">
      <alignment horizontal="center"/>
    </xf>
    <xf numFmtId="0" fontId="20" fillId="24" borderId="3" xfId="15" applyFont="1" applyFill="1" applyBorder="1"/>
    <xf numFmtId="0" fontId="20" fillId="26" borderId="3" xfId="15" applyFont="1" applyFill="1" applyBorder="1"/>
    <xf numFmtId="0" fontId="0" fillId="10" borderId="7" xfId="0" applyFill="1" applyBorder="1"/>
    <xf numFmtId="1" fontId="30" fillId="10" borderId="1" xfId="3" applyNumberFormat="1" applyFill="1" applyAlignment="1">
      <alignment horizontal="center"/>
    </xf>
    <xf numFmtId="0" fontId="0" fillId="10" borderId="8" xfId="0" applyFill="1" applyBorder="1"/>
    <xf numFmtId="0" fontId="29" fillId="10" borderId="2" xfId="2" applyFill="1" applyAlignment="1" applyProtection="1">
      <alignment horizontal="center"/>
      <protection locked="0"/>
    </xf>
    <xf numFmtId="1" fontId="29" fillId="10" borderId="2" xfId="2" applyNumberFormat="1" applyFill="1" applyAlignment="1" applyProtection="1">
      <alignment horizontal="center"/>
      <protection locked="0"/>
    </xf>
    <xf numFmtId="1" fontId="50" fillId="10" borderId="35" xfId="5" applyNumberFormat="1" applyFont="1" applyFill="1" applyAlignment="1" applyProtection="1">
      <alignment horizontal="center" vertical="center"/>
    </xf>
    <xf numFmtId="0" fontId="40" fillId="0" borderId="9" xfId="0" applyFont="1" applyBorder="1"/>
    <xf numFmtId="0" fontId="19" fillId="20" borderId="3" xfId="15" applyFont="1" applyFill="1" applyBorder="1" applyAlignment="1">
      <alignment wrapText="1"/>
    </xf>
    <xf numFmtId="0" fontId="19" fillId="24" borderId="3" xfId="15" applyFont="1" applyFill="1" applyBorder="1"/>
    <xf numFmtId="0" fontId="19" fillId="26" borderId="3" xfId="15" applyFont="1" applyFill="1" applyBorder="1"/>
    <xf numFmtId="0" fontId="18" fillId="20" borderId="3" xfId="16" applyFont="1" applyFill="1" applyBorder="1" applyAlignment="1" applyProtection="1">
      <alignment wrapText="1"/>
      <protection locked="0"/>
    </xf>
    <xf numFmtId="0" fontId="18" fillId="24" borderId="3" xfId="16" applyFont="1" applyFill="1" applyBorder="1" applyProtection="1">
      <protection locked="0"/>
    </xf>
    <xf numFmtId="0" fontId="18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69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69" fillId="24" borderId="3" xfId="0" applyNumberFormat="1" applyFont="1" applyFill="1" applyBorder="1" applyAlignment="1">
      <alignment horizontal="center"/>
    </xf>
    <xf numFmtId="165" fontId="69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74" fillId="24" borderId="3" xfId="0" applyFont="1" applyFill="1" applyBorder="1" applyAlignment="1">
      <alignment horizontal="center"/>
    </xf>
    <xf numFmtId="0" fontId="74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69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39" fillId="0" borderId="73" xfId="0" applyFont="1" applyBorder="1"/>
    <xf numFmtId="0" fontId="0" fillId="10" borderId="100" xfId="0" applyFill="1" applyBorder="1"/>
    <xf numFmtId="0" fontId="0" fillId="28" borderId="0" xfId="0" applyFill="1"/>
    <xf numFmtId="0" fontId="74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89" fillId="28" borderId="0" xfId="0" applyFont="1" applyFill="1"/>
    <xf numFmtId="0" fontId="0" fillId="24" borderId="0" xfId="0" applyFill="1"/>
    <xf numFmtId="0" fontId="0" fillId="24" borderId="77" xfId="0" applyFill="1" applyBorder="1"/>
    <xf numFmtId="0" fontId="90" fillId="10" borderId="0" xfId="0" applyFont="1" applyFill="1"/>
    <xf numFmtId="0" fontId="90" fillId="24" borderId="0" xfId="0" applyFont="1" applyFill="1"/>
    <xf numFmtId="0" fontId="74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74" fillId="0" borderId="0" xfId="0" applyFont="1" applyAlignment="1">
      <alignment horizontal="center"/>
    </xf>
    <xf numFmtId="0" fontId="74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69" fillId="0" borderId="0" xfId="0" applyFont="1" applyAlignment="1">
      <alignment horizontal="center" wrapText="1"/>
    </xf>
    <xf numFmtId="0" fontId="69" fillId="24" borderId="0" xfId="0" applyFont="1" applyFill="1" applyAlignment="1">
      <alignment horizontal="center" wrapText="1"/>
    </xf>
    <xf numFmtId="2" fontId="69" fillId="0" borderId="0" xfId="0" applyNumberFormat="1" applyFont="1" applyAlignment="1">
      <alignment horizontal="center"/>
    </xf>
    <xf numFmtId="2" fontId="69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91" fillId="24" borderId="0" xfId="0" applyFont="1" applyFill="1"/>
    <xf numFmtId="0" fontId="74" fillId="24" borderId="0" xfId="0" applyFont="1" applyFill="1"/>
    <xf numFmtId="0" fontId="69" fillId="24" borderId="0" xfId="0" applyFont="1" applyFill="1"/>
    <xf numFmtId="0" fontId="74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69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73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39" fillId="0" borderId="3" xfId="0" applyFont="1" applyBorder="1" applyAlignment="1">
      <alignment horizontal="center"/>
    </xf>
    <xf numFmtId="165" fontId="39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93" fillId="16" borderId="54" xfId="10" applyFont="1"/>
    <xf numFmtId="0" fontId="17" fillId="20" borderId="3" xfId="15" applyFont="1" applyFill="1" applyBorder="1" applyAlignment="1">
      <alignment wrapText="1"/>
    </xf>
    <xf numFmtId="170" fontId="55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8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41" fillId="0" borderId="0" xfId="0" applyFont="1" applyAlignment="1">
      <alignment horizontal="center"/>
    </xf>
    <xf numFmtId="165" fontId="32" fillId="3" borderId="35" xfId="5" applyNumberFormat="1" applyFont="1" applyAlignment="1" applyProtection="1">
      <alignment horizontal="center"/>
      <protection locked="0"/>
    </xf>
    <xf numFmtId="165" fontId="32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16" fillId="20" borderId="3" xfId="15" applyFont="1" applyFill="1" applyBorder="1" applyAlignment="1">
      <alignment wrapText="1"/>
    </xf>
    <xf numFmtId="0" fontId="16" fillId="24" borderId="3" xfId="15" applyFont="1" applyFill="1" applyBorder="1"/>
    <xf numFmtId="0" fontId="16" fillId="26" borderId="3" xfId="15" applyFont="1" applyFill="1" applyBorder="1"/>
    <xf numFmtId="0" fontId="16" fillId="26" borderId="3" xfId="15" applyFont="1" applyFill="1" applyBorder="1" applyAlignment="1">
      <alignment wrapText="1"/>
    </xf>
    <xf numFmtId="165" fontId="38" fillId="6" borderId="0" xfId="0" applyNumberFormat="1" applyFont="1" applyFill="1" applyAlignment="1">
      <alignment horizontal="center"/>
    </xf>
    <xf numFmtId="0" fontId="15" fillId="20" borderId="3" xfId="15" applyFont="1" applyFill="1" applyBorder="1" applyAlignment="1">
      <alignment wrapText="1"/>
    </xf>
    <xf numFmtId="0" fontId="15" fillId="24" borderId="3" xfId="15" applyFont="1" applyFill="1" applyBorder="1"/>
    <xf numFmtId="0" fontId="15" fillId="26" borderId="3" xfId="15" applyFont="1" applyFill="1" applyBorder="1"/>
    <xf numFmtId="0" fontId="14" fillId="0" borderId="0" xfId="15" applyFont="1"/>
    <xf numFmtId="0" fontId="14" fillId="24" borderId="3" xfId="16" applyFont="1" applyFill="1" applyBorder="1" applyProtection="1">
      <protection locked="0"/>
    </xf>
    <xf numFmtId="0" fontId="14" fillId="26" borderId="3" xfId="16" applyFont="1" applyFill="1" applyBorder="1" applyProtection="1">
      <protection locked="0"/>
    </xf>
    <xf numFmtId="0" fontId="14" fillId="20" borderId="3" xfId="16" applyFont="1" applyFill="1" applyBorder="1" applyAlignment="1" applyProtection="1">
      <alignment wrapText="1"/>
      <protection locked="0"/>
    </xf>
    <xf numFmtId="0" fontId="75" fillId="6" borderId="104" xfId="15" applyFont="1" applyFill="1" applyBorder="1"/>
    <xf numFmtId="0" fontId="15" fillId="6" borderId="3" xfId="15" applyFont="1" applyFill="1" applyBorder="1"/>
    <xf numFmtId="0" fontId="75" fillId="4" borderId="104" xfId="15" applyFont="1" applyFill="1" applyBorder="1"/>
    <xf numFmtId="0" fontId="15" fillId="4" borderId="3" xfId="15" applyFont="1" applyFill="1" applyBorder="1"/>
    <xf numFmtId="0" fontId="75" fillId="30" borderId="104" xfId="15" applyFont="1" applyFill="1" applyBorder="1"/>
    <xf numFmtId="0" fontId="15" fillId="30" borderId="3" xfId="15" applyFont="1" applyFill="1" applyBorder="1"/>
    <xf numFmtId="0" fontId="75" fillId="31" borderId="104" xfId="15" applyFont="1" applyFill="1" applyBorder="1"/>
    <xf numFmtId="0" fontId="15" fillId="31" borderId="3" xfId="15" applyFont="1" applyFill="1" applyBorder="1"/>
    <xf numFmtId="0" fontId="24" fillId="6" borderId="14" xfId="16" applyFill="1" applyBorder="1" applyProtection="1">
      <protection locked="0"/>
    </xf>
    <xf numFmtId="0" fontId="24" fillId="6" borderId="3" xfId="16" applyFill="1" applyBorder="1" applyProtection="1">
      <protection locked="0"/>
    </xf>
    <xf numFmtId="0" fontId="14" fillId="6" borderId="3" xfId="16" applyFont="1" applyFill="1" applyBorder="1" applyProtection="1">
      <protection locked="0"/>
    </xf>
    <xf numFmtId="0" fontId="24" fillId="4" borderId="14" xfId="16" applyFill="1" applyBorder="1" applyProtection="1">
      <protection locked="0"/>
    </xf>
    <xf numFmtId="0" fontId="24" fillId="4" borderId="3" xfId="16" applyFill="1" applyBorder="1" applyProtection="1">
      <protection locked="0"/>
    </xf>
    <xf numFmtId="0" fontId="14" fillId="4" borderId="3" xfId="16" applyFont="1" applyFill="1" applyBorder="1" applyProtection="1">
      <protection locked="0"/>
    </xf>
    <xf numFmtId="0" fontId="24" fillId="30" borderId="14" xfId="16" applyFill="1" applyBorder="1" applyProtection="1">
      <protection locked="0"/>
    </xf>
    <xf numFmtId="0" fontId="24" fillId="30" borderId="3" xfId="16" applyFill="1" applyBorder="1" applyProtection="1">
      <protection locked="0"/>
    </xf>
    <xf numFmtId="0" fontId="14" fillId="30" borderId="3" xfId="16" applyFont="1" applyFill="1" applyBorder="1" applyProtection="1">
      <protection locked="0"/>
    </xf>
    <xf numFmtId="0" fontId="24" fillId="31" borderId="14" xfId="16" applyFill="1" applyBorder="1" applyProtection="1">
      <protection locked="0"/>
    </xf>
    <xf numFmtId="0" fontId="24" fillId="31" borderId="3" xfId="16" applyFill="1" applyBorder="1" applyProtection="1">
      <protection locked="0"/>
    </xf>
    <xf numFmtId="0" fontId="14" fillId="31" borderId="3" xfId="16" applyFont="1" applyFill="1" applyBorder="1" applyProtection="1">
      <protection locked="0"/>
    </xf>
    <xf numFmtId="0" fontId="13" fillId="0" borderId="3" xfId="20" applyBorder="1" applyAlignment="1">
      <alignment wrapText="1"/>
    </xf>
    <xf numFmtId="0" fontId="13" fillId="0" borderId="3" xfId="20" applyBorder="1"/>
    <xf numFmtId="0" fontId="13" fillId="0" borderId="3" xfId="20" quotePrefix="1" applyBorder="1"/>
    <xf numFmtId="0" fontId="13" fillId="0" borderId="3" xfId="20" quotePrefix="1" applyBorder="1" applyAlignment="1">
      <alignment wrapText="1"/>
    </xf>
    <xf numFmtId="0" fontId="13" fillId="4" borderId="3" xfId="20" applyFill="1" applyBorder="1" applyAlignment="1">
      <alignment wrapText="1"/>
    </xf>
    <xf numFmtId="0" fontId="13" fillId="4" borderId="3" xfId="20" applyFill="1" applyBorder="1"/>
    <xf numFmtId="0" fontId="13" fillId="4" borderId="3" xfId="20" quotePrefix="1" applyFill="1" applyBorder="1"/>
    <xf numFmtId="0" fontId="13" fillId="4" borderId="3" xfId="20" quotePrefix="1" applyFill="1" applyBorder="1" applyAlignment="1">
      <alignment wrapText="1"/>
    </xf>
    <xf numFmtId="0" fontId="13" fillId="30" borderId="3" xfId="20" applyFill="1" applyBorder="1" applyAlignment="1">
      <alignment wrapText="1"/>
    </xf>
    <xf numFmtId="0" fontId="13" fillId="30" borderId="3" xfId="20" applyFill="1" applyBorder="1"/>
    <xf numFmtId="0" fontId="13" fillId="30" borderId="3" xfId="20" quotePrefix="1" applyFill="1" applyBorder="1"/>
    <xf numFmtId="0" fontId="13" fillId="30" borderId="3" xfId="20" quotePrefix="1" applyFill="1" applyBorder="1" applyAlignment="1">
      <alignment wrapText="1"/>
    </xf>
    <xf numFmtId="0" fontId="13" fillId="31" borderId="3" xfId="20" applyFill="1" applyBorder="1" applyAlignment="1">
      <alignment wrapText="1"/>
    </xf>
    <xf numFmtId="0" fontId="13" fillId="31" borderId="3" xfId="20" applyFill="1" applyBorder="1"/>
    <xf numFmtId="0" fontId="13" fillId="31" borderId="3" xfId="20" quotePrefix="1" applyFill="1" applyBorder="1"/>
    <xf numFmtId="0" fontId="13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32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32" fillId="0" borderId="86" xfId="0" applyNumberFormat="1" applyFont="1" applyBorder="1" applyAlignment="1">
      <alignment horizontal="center" vertical="center"/>
    </xf>
    <xf numFmtId="0" fontId="32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32" fillId="0" borderId="87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32" fillId="0" borderId="88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32" fillId="0" borderId="17" xfId="0" applyNumberFormat="1" applyFont="1" applyBorder="1" applyAlignment="1">
      <alignment horizontal="center" vertical="center"/>
    </xf>
    <xf numFmtId="0" fontId="32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32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82" fillId="0" borderId="0" xfId="0" applyFont="1" applyAlignment="1">
      <alignment horizontal="center"/>
    </xf>
    <xf numFmtId="0" fontId="38" fillId="0" borderId="81" xfId="0" applyFont="1" applyBorder="1"/>
    <xf numFmtId="0" fontId="82" fillId="0" borderId="5" xfId="0" applyFont="1" applyBorder="1" applyAlignment="1">
      <alignment horizontal="center"/>
    </xf>
    <xf numFmtId="9" fontId="50" fillId="3" borderId="3" xfId="8" applyFont="1" applyFill="1" applyBorder="1" applyAlignment="1" applyProtection="1">
      <alignment horizontal="center" vertical="center"/>
      <protection locked="0"/>
    </xf>
    <xf numFmtId="0" fontId="40" fillId="0" borderId="40" xfId="0" applyFont="1" applyBorder="1" applyAlignment="1">
      <alignment vertical="center"/>
    </xf>
    <xf numFmtId="0" fontId="40" fillId="0" borderId="49" xfId="0" applyFont="1" applyBorder="1" applyAlignment="1">
      <alignment vertical="center"/>
    </xf>
    <xf numFmtId="0" fontId="95" fillId="0" borderId="0" xfId="0" applyFont="1" applyAlignment="1">
      <alignment vertical="top"/>
    </xf>
    <xf numFmtId="0" fontId="12" fillId="20" borderId="3" xfId="15" applyFont="1" applyFill="1" applyBorder="1" applyAlignment="1">
      <alignment wrapText="1"/>
    </xf>
    <xf numFmtId="0" fontId="12" fillId="24" borderId="3" xfId="15" applyFont="1" applyFill="1" applyBorder="1"/>
    <xf numFmtId="0" fontId="12" fillId="26" borderId="3" xfId="15" applyFont="1" applyFill="1" applyBorder="1"/>
    <xf numFmtId="1" fontId="51" fillId="6" borderId="34" xfId="0" applyNumberFormat="1" applyFont="1" applyFill="1" applyBorder="1" applyAlignment="1">
      <alignment horizontal="center"/>
    </xf>
    <xf numFmtId="0" fontId="51" fillId="0" borderId="7" xfId="0" applyFont="1" applyBorder="1"/>
    <xf numFmtId="0" fontId="82" fillId="0" borderId="0" xfId="0" applyFont="1" applyAlignment="1">
      <alignment horizontal="center" vertical="center"/>
    </xf>
    <xf numFmtId="0" fontId="28" fillId="4" borderId="1" xfId="1" applyAlignment="1">
      <alignment horizontal="center"/>
    </xf>
    <xf numFmtId="0" fontId="28" fillId="4" borderId="94" xfId="1" applyBorder="1" applyAlignment="1">
      <alignment horizontal="center"/>
    </xf>
    <xf numFmtId="10" fontId="33" fillId="10" borderId="72" xfId="0" applyNumberFormat="1" applyFont="1" applyFill="1" applyBorder="1"/>
    <xf numFmtId="0" fontId="11" fillId="32" borderId="3" xfId="20" applyFont="1" applyFill="1" applyBorder="1" applyAlignment="1">
      <alignment wrapText="1"/>
    </xf>
    <xf numFmtId="0" fontId="11" fillId="32" borderId="3" xfId="20" applyFont="1" applyFill="1" applyBorder="1"/>
    <xf numFmtId="0" fontId="98" fillId="32" borderId="0" xfId="15" applyFont="1" applyFill="1"/>
    <xf numFmtId="0" fontId="38" fillId="0" borderId="9" xfId="0" applyFont="1" applyBorder="1"/>
    <xf numFmtId="1" fontId="30" fillId="2" borderId="1" xfId="3" applyNumberFormat="1"/>
    <xf numFmtId="0" fontId="32" fillId="0" borderId="10" xfId="0" applyFont="1" applyBorder="1" applyAlignment="1">
      <alignment horizontal="right"/>
    </xf>
    <xf numFmtId="0" fontId="32" fillId="0" borderId="10" xfId="0" applyFont="1" applyBorder="1"/>
    <xf numFmtId="165" fontId="32" fillId="0" borderId="11" xfId="0" applyNumberFormat="1" applyFont="1" applyBorder="1" applyAlignment="1">
      <alignment horizontal="center"/>
    </xf>
    <xf numFmtId="0" fontId="32" fillId="0" borderId="8" xfId="0" applyFont="1" applyBorder="1" applyAlignment="1">
      <alignment horizontal="right"/>
    </xf>
    <xf numFmtId="165" fontId="32" fillId="0" borderId="8" xfId="0" applyNumberFormat="1" applyFont="1" applyBorder="1"/>
    <xf numFmtId="165" fontId="0" fillId="0" borderId="8" xfId="0" applyNumberFormat="1" applyBorder="1"/>
    <xf numFmtId="165" fontId="32" fillId="0" borderId="11" xfId="0" applyNumberFormat="1" applyFont="1" applyBorder="1"/>
    <xf numFmtId="2" fontId="30" fillId="2" borderId="18" xfId="3" applyNumberFormat="1" applyBorder="1" applyAlignment="1">
      <alignment horizontal="center"/>
    </xf>
    <xf numFmtId="2" fontId="30" fillId="2" borderId="20" xfId="3" applyNumberFormat="1" applyBorder="1" applyAlignment="1">
      <alignment horizontal="center"/>
    </xf>
    <xf numFmtId="2" fontId="30" fillId="2" borderId="21" xfId="3" applyNumberFormat="1" applyBorder="1" applyAlignment="1">
      <alignment horizontal="center"/>
    </xf>
    <xf numFmtId="165" fontId="29" fillId="17" borderId="137" xfId="2" applyNumberFormat="1" applyBorder="1"/>
    <xf numFmtId="0" fontId="30" fillId="2" borderId="21" xfId="3" applyBorder="1"/>
    <xf numFmtId="2" fontId="32" fillId="0" borderId="10" xfId="0" applyNumberFormat="1" applyFont="1" applyBorder="1" applyAlignment="1">
      <alignment horizontal="center"/>
    </xf>
    <xf numFmtId="0" fontId="0" fillId="10" borderId="138" xfId="0" applyFill="1" applyBorder="1"/>
    <xf numFmtId="9" fontId="0" fillId="0" borderId="3" xfId="0" applyNumberFormat="1" applyBorder="1" applyAlignment="1">
      <alignment horizontal="center"/>
    </xf>
    <xf numFmtId="0" fontId="0" fillId="0" borderId="3" xfId="0" quotePrefix="1" applyBorder="1"/>
    <xf numFmtId="164" fontId="0" fillId="10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38" fillId="0" borderId="0" xfId="0" applyFont="1"/>
    <xf numFmtId="0" fontId="99" fillId="6" borderId="3" xfId="0" quotePrefix="1" applyFont="1" applyFill="1" applyBorder="1"/>
    <xf numFmtId="0" fontId="0" fillId="5" borderId="3" xfId="0" applyFill="1" applyBorder="1" applyAlignment="1">
      <alignment wrapText="1"/>
    </xf>
    <xf numFmtId="0" fontId="0" fillId="5" borderId="3" xfId="0" quotePrefix="1" applyFill="1" applyBorder="1" applyAlignment="1">
      <alignment horizontal="left" wrapText="1"/>
    </xf>
    <xf numFmtId="0" fontId="97" fillId="5" borderId="3" xfId="0" applyFont="1" applyFill="1" applyBorder="1" applyAlignment="1">
      <alignment wrapText="1"/>
    </xf>
    <xf numFmtId="0" fontId="0" fillId="5" borderId="3" xfId="0" applyFill="1" applyBorder="1"/>
    <xf numFmtId="0" fontId="67" fillId="5" borderId="3" xfId="0" applyFont="1" applyFill="1" applyBorder="1" applyAlignment="1">
      <alignment wrapText="1"/>
    </xf>
    <xf numFmtId="0" fontId="0" fillId="5" borderId="3" xfId="0" quotePrefix="1" applyFill="1" applyBorder="1" applyAlignment="1">
      <alignment wrapText="1"/>
    </xf>
    <xf numFmtId="0" fontId="0" fillId="21" borderId="3" xfId="0" applyFill="1" applyBorder="1"/>
    <xf numFmtId="0" fontId="0" fillId="21" borderId="3" xfId="0" quotePrefix="1" applyFill="1" applyBorder="1"/>
    <xf numFmtId="0" fontId="39" fillId="33" borderId="3" xfId="0" applyFont="1" applyFill="1" applyBorder="1" applyAlignment="1">
      <alignment horizontal="center" vertical="center"/>
    </xf>
    <xf numFmtId="0" fontId="0" fillId="21" borderId="15" xfId="0" applyFill="1" applyBorder="1"/>
    <xf numFmtId="0" fontId="0" fillId="21" borderId="17" xfId="0" applyFill="1" applyBorder="1"/>
    <xf numFmtId="0" fontId="0" fillId="21" borderId="139" xfId="0" applyFill="1" applyBorder="1" applyAlignment="1">
      <alignment horizontal="center"/>
    </xf>
    <xf numFmtId="0" fontId="0" fillId="21" borderId="140" xfId="0" applyFill="1" applyBorder="1" applyAlignment="1">
      <alignment horizontal="center"/>
    </xf>
    <xf numFmtId="0" fontId="0" fillId="21" borderId="16" xfId="0" applyFill="1" applyBorder="1"/>
    <xf numFmtId="0" fontId="99" fillId="6" borderId="15" xfId="0" quotePrefix="1" applyFont="1" applyFill="1" applyBorder="1"/>
    <xf numFmtId="0" fontId="0" fillId="5" borderId="15" xfId="0" applyFill="1" applyBorder="1" applyAlignment="1">
      <alignment wrapText="1"/>
    </xf>
    <xf numFmtId="0" fontId="0" fillId="5" borderId="15" xfId="0" applyFill="1" applyBorder="1"/>
    <xf numFmtId="0" fontId="99" fillId="6" borderId="17" xfId="0" quotePrefix="1" applyFont="1" applyFill="1" applyBorder="1"/>
    <xf numFmtId="0" fontId="0" fillId="5" borderId="17" xfId="0" applyFill="1" applyBorder="1" applyAlignment="1">
      <alignment wrapText="1"/>
    </xf>
    <xf numFmtId="0" fontId="0" fillId="5" borderId="17" xfId="0" applyFill="1" applyBorder="1"/>
    <xf numFmtId="0" fontId="99" fillId="6" borderId="138" xfId="0" quotePrefix="1" applyFont="1" applyFill="1" applyBorder="1"/>
    <xf numFmtId="0" fontId="0" fillId="5" borderId="16" xfId="0" applyFill="1" applyBorder="1" applyAlignment="1">
      <alignment wrapText="1"/>
    </xf>
    <xf numFmtId="0" fontId="0" fillId="5" borderId="16" xfId="0" applyFill="1" applyBorder="1"/>
    <xf numFmtId="0" fontId="39" fillId="33" borderId="15" xfId="0" applyFont="1" applyFill="1" applyBorder="1" applyAlignment="1">
      <alignment horizontal="center" vertical="center"/>
    </xf>
    <xf numFmtId="0" fontId="39" fillId="33" borderId="17" xfId="0" applyFont="1" applyFill="1" applyBorder="1" applyAlignment="1">
      <alignment horizontal="center" vertical="center"/>
    </xf>
    <xf numFmtId="0" fontId="0" fillId="0" borderId="110" xfId="0" applyBorder="1"/>
    <xf numFmtId="0" fontId="0" fillId="0" borderId="111" xfId="0" applyBorder="1"/>
    <xf numFmtId="0" fontId="39" fillId="33" borderId="139" xfId="0" applyFont="1" applyFill="1" applyBorder="1" applyAlignment="1">
      <alignment horizontal="center" vertical="center"/>
    </xf>
    <xf numFmtId="0" fontId="0" fillId="0" borderId="112" xfId="0" applyBorder="1"/>
    <xf numFmtId="0" fontId="39" fillId="33" borderId="16" xfId="0" applyFont="1" applyFill="1" applyBorder="1" applyAlignment="1">
      <alignment horizontal="center" vertical="center"/>
    </xf>
    <xf numFmtId="0" fontId="10" fillId="24" borderId="14" xfId="15" applyFont="1" applyFill="1" applyBorder="1"/>
    <xf numFmtId="0" fontId="10" fillId="26" borderId="14" xfId="15" applyFont="1" applyFill="1" applyBorder="1"/>
    <xf numFmtId="0" fontId="10" fillId="0" borderId="14" xfId="20" applyFont="1" applyBorder="1" applyAlignment="1">
      <alignment wrapText="1"/>
    </xf>
    <xf numFmtId="0" fontId="10" fillId="4" borderId="14" xfId="20" applyFont="1" applyFill="1" applyBorder="1" applyAlignment="1">
      <alignment wrapText="1"/>
    </xf>
    <xf numFmtId="0" fontId="10" fillId="30" borderId="14" xfId="20" applyFont="1" applyFill="1" applyBorder="1" applyAlignment="1">
      <alignment wrapText="1"/>
    </xf>
    <xf numFmtId="0" fontId="10" fillId="31" borderId="14" xfId="20" applyFont="1" applyFill="1" applyBorder="1" applyAlignment="1">
      <alignment wrapText="1"/>
    </xf>
    <xf numFmtId="0" fontId="0" fillId="0" borderId="96" xfId="0" applyBorder="1"/>
    <xf numFmtId="0" fontId="0" fillId="0" borderId="97" xfId="0" applyBorder="1"/>
    <xf numFmtId="9" fontId="0" fillId="0" borderId="99" xfId="8" applyFont="1" applyBorder="1" applyAlignment="1">
      <alignment horizontal="center"/>
    </xf>
    <xf numFmtId="170" fontId="0" fillId="0" borderId="99" xfId="8" applyNumberFormat="1" applyFont="1" applyBorder="1" applyAlignment="1">
      <alignment horizontal="center"/>
    </xf>
    <xf numFmtId="9" fontId="0" fillId="0" borderId="104" xfId="8" applyFont="1" applyBorder="1" applyAlignment="1">
      <alignment horizontal="center"/>
    </xf>
    <xf numFmtId="9" fontId="0" fillId="0" borderId="141" xfId="8" applyFont="1" applyBorder="1" applyAlignment="1">
      <alignment horizontal="center"/>
    </xf>
    <xf numFmtId="2" fontId="70" fillId="0" borderId="3" xfId="0" applyNumberFormat="1" applyFont="1" applyBorder="1" applyAlignment="1">
      <alignment horizontal="center" vertical="center"/>
    </xf>
    <xf numFmtId="165" fontId="70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70" fillId="0" borderId="99" xfId="0" applyNumberFormat="1" applyFont="1" applyBorder="1" applyAlignment="1">
      <alignment horizontal="center" vertical="center"/>
    </xf>
    <xf numFmtId="2" fontId="70" fillId="0" borderId="104" xfId="0" applyNumberFormat="1" applyFont="1" applyBorder="1" applyAlignment="1">
      <alignment horizontal="center" vertical="center"/>
    </xf>
    <xf numFmtId="165" fontId="70" fillId="0" borderId="104" xfId="0" applyNumberFormat="1" applyFont="1" applyBorder="1" applyAlignment="1">
      <alignment horizontal="center" vertical="center"/>
    </xf>
    <xf numFmtId="1" fontId="0" fillId="0" borderId="104" xfId="0" applyNumberFormat="1" applyBorder="1" applyAlignment="1">
      <alignment horizontal="center" vertical="center"/>
    </xf>
    <xf numFmtId="2" fontId="0" fillId="0" borderId="104" xfId="0" applyNumberFormat="1" applyBorder="1" applyAlignment="1">
      <alignment horizontal="center" vertical="center"/>
    </xf>
    <xf numFmtId="165" fontId="0" fillId="0" borderId="104" xfId="0" applyNumberFormat="1" applyBorder="1" applyAlignment="1">
      <alignment horizontal="center" vertical="center"/>
    </xf>
    <xf numFmtId="165" fontId="70" fillId="0" borderId="141" xfId="0" applyNumberFormat="1" applyFont="1" applyBorder="1" applyAlignment="1">
      <alignment horizontal="center" vertical="center"/>
    </xf>
    <xf numFmtId="9" fontId="0" fillId="0" borderId="0" xfId="8" applyFont="1" applyBorder="1" applyAlignment="1">
      <alignment horizontal="center"/>
    </xf>
    <xf numFmtId="172" fontId="33" fillId="0" borderId="3" xfId="6" applyNumberFormat="1" applyBorder="1" applyAlignment="1">
      <alignment horizontal="center"/>
    </xf>
    <xf numFmtId="170" fontId="33" fillId="0" borderId="14" xfId="6" quotePrefix="1" applyNumberFormat="1" applyBorder="1" applyAlignment="1">
      <alignment horizontal="center"/>
    </xf>
    <xf numFmtId="170" fontId="33" fillId="0" borderId="3" xfId="8" applyNumberFormat="1" applyFont="1" applyBorder="1" applyAlignment="1">
      <alignment horizontal="center"/>
    </xf>
    <xf numFmtId="170" fontId="33" fillId="0" borderId="14" xfId="6" applyNumberFormat="1" applyBorder="1" applyAlignment="1">
      <alignment horizontal="center"/>
    </xf>
    <xf numFmtId="170" fontId="33" fillId="0" borderId="3" xfId="6" quotePrefix="1" applyNumberFormat="1" applyBorder="1" applyAlignment="1">
      <alignment horizontal="center"/>
    </xf>
    <xf numFmtId="170" fontId="33" fillId="0" borderId="3" xfId="6" applyNumberFormat="1" applyBorder="1" applyAlignment="1">
      <alignment horizontal="center"/>
    </xf>
    <xf numFmtId="0" fontId="32" fillId="0" borderId="3" xfId="6" applyFont="1" applyBorder="1" applyAlignment="1">
      <alignment horizontal="center" vertical="center" wrapText="1"/>
    </xf>
    <xf numFmtId="0" fontId="32" fillId="0" borderId="3" xfId="6" applyFont="1" applyBorder="1" applyAlignment="1">
      <alignment horizontal="center" wrapText="1"/>
    </xf>
    <xf numFmtId="0" fontId="32" fillId="0" borderId="3" xfId="6" applyFont="1" applyBorder="1" applyAlignment="1">
      <alignment horizontal="center" vertical="center"/>
    </xf>
    <xf numFmtId="164" fontId="0" fillId="0" borderId="3" xfId="0" applyNumberFormat="1" applyBorder="1"/>
    <xf numFmtId="170" fontId="0" fillId="0" borderId="3" xfId="0" applyNumberFormat="1" applyBorder="1" applyAlignment="1">
      <alignment horizontal="center"/>
    </xf>
    <xf numFmtId="173" fontId="0" fillId="0" borderId="3" xfId="0" applyNumberFormat="1" applyBorder="1" applyAlignment="1">
      <alignment horizontal="center"/>
    </xf>
    <xf numFmtId="164" fontId="32" fillId="0" borderId="3" xfId="0" applyNumberFormat="1" applyFont="1" applyBorder="1" applyAlignment="1">
      <alignment horizontal="center"/>
    </xf>
    <xf numFmtId="1" fontId="49" fillId="15" borderId="35" xfId="12" applyNumberFormat="1" applyFont="1"/>
    <xf numFmtId="165" fontId="0" fillId="10" borderId="0" xfId="0" applyNumberFormat="1" applyFill="1" applyAlignment="1">
      <alignment horizontal="left"/>
    </xf>
    <xf numFmtId="0" fontId="10" fillId="0" borderId="0" xfId="21"/>
    <xf numFmtId="0" fontId="10" fillId="0" borderId="0" xfId="21" applyAlignment="1">
      <alignment horizontal="center"/>
    </xf>
    <xf numFmtId="0" fontId="74" fillId="20" borderId="12" xfId="21" applyFont="1" applyFill="1" applyBorder="1" applyAlignment="1">
      <alignment horizontal="center"/>
    </xf>
    <xf numFmtId="0" fontId="74" fillId="20" borderId="4" xfId="21" applyFont="1" applyFill="1" applyBorder="1" applyAlignment="1">
      <alignment horizontal="center"/>
    </xf>
    <xf numFmtId="0" fontId="10" fillId="0" borderId="110" xfId="21" applyBorder="1" applyAlignment="1">
      <alignment horizontal="center"/>
    </xf>
    <xf numFmtId="0" fontId="10" fillId="20" borderId="13" xfId="21" applyFill="1" applyBorder="1"/>
    <xf numFmtId="0" fontId="10" fillId="20" borderId="7" xfId="21" applyFill="1" applyBorder="1"/>
    <xf numFmtId="0" fontId="10" fillId="0" borderId="111" xfId="21" applyBorder="1" applyAlignment="1">
      <alignment horizontal="center"/>
    </xf>
    <xf numFmtId="0" fontId="10" fillId="20" borderId="13" xfId="21" applyFill="1" applyBorder="1" applyAlignment="1">
      <alignment horizontal="center"/>
    </xf>
    <xf numFmtId="0" fontId="10" fillId="20" borderId="7" xfId="21" applyFill="1" applyBorder="1" applyAlignment="1">
      <alignment horizontal="center"/>
    </xf>
    <xf numFmtId="0" fontId="10" fillId="0" borderId="0" xfId="21" applyAlignment="1">
      <alignment horizontal="center" wrapText="1"/>
    </xf>
    <xf numFmtId="0" fontId="69" fillId="20" borderId="13" xfId="21" applyFont="1" applyFill="1" applyBorder="1" applyAlignment="1">
      <alignment horizontal="center"/>
    </xf>
    <xf numFmtId="0" fontId="100" fillId="20" borderId="7" xfId="21" applyFont="1" applyFill="1" applyBorder="1" applyAlignment="1">
      <alignment horizontal="center" wrapText="1"/>
    </xf>
    <xf numFmtId="0" fontId="10" fillId="0" borderId="111" xfId="21" applyBorder="1" applyAlignment="1">
      <alignment horizontal="center" wrapText="1"/>
    </xf>
    <xf numFmtId="0" fontId="10" fillId="0" borderId="3" xfId="21" applyBorder="1"/>
    <xf numFmtId="0" fontId="10" fillId="0" borderId="3" xfId="21" applyBorder="1" applyAlignment="1">
      <alignment horizontal="center" wrapText="1"/>
    </xf>
    <xf numFmtId="0" fontId="69" fillId="20" borderId="3" xfId="21" applyFont="1" applyFill="1" applyBorder="1" applyAlignment="1">
      <alignment horizontal="center" wrapText="1"/>
    </xf>
    <xf numFmtId="0" fontId="100" fillId="20" borderId="15" xfId="21" applyFont="1" applyFill="1" applyBorder="1" applyAlignment="1">
      <alignment horizontal="center" wrapText="1"/>
    </xf>
    <xf numFmtId="0" fontId="10" fillId="0" borderId="139" xfId="21" applyBorder="1" applyAlignment="1">
      <alignment horizontal="center" wrapText="1"/>
    </xf>
    <xf numFmtId="0" fontId="10" fillId="0" borderId="3" xfId="21" applyBorder="1" applyAlignment="1">
      <alignment horizontal="center"/>
    </xf>
    <xf numFmtId="165" fontId="69" fillId="20" borderId="3" xfId="21" applyNumberFormat="1" applyFont="1" applyFill="1" applyBorder="1" applyAlignment="1">
      <alignment horizontal="center"/>
    </xf>
    <xf numFmtId="165" fontId="100" fillId="20" borderId="15" xfId="21" applyNumberFormat="1" applyFont="1" applyFill="1" applyBorder="1" applyAlignment="1">
      <alignment horizontal="center" wrapText="1"/>
    </xf>
    <xf numFmtId="0" fontId="10" fillId="0" borderId="139" xfId="21" applyBorder="1" applyAlignment="1">
      <alignment horizontal="center"/>
    </xf>
    <xf numFmtId="0" fontId="10" fillId="0" borderId="140" xfId="21" applyBorder="1" applyAlignment="1">
      <alignment horizontal="center"/>
    </xf>
    <xf numFmtId="0" fontId="100" fillId="0" borderId="0" xfId="21" quotePrefix="1" applyFont="1"/>
    <xf numFmtId="0" fontId="73" fillId="0" borderId="0" xfId="21" applyFont="1"/>
    <xf numFmtId="170" fontId="0" fillId="10" borderId="0" xfId="0" applyNumberFormat="1" applyFill="1" applyAlignment="1">
      <alignment horizontal="left"/>
    </xf>
    <xf numFmtId="2" fontId="39" fillId="0" borderId="3" xfId="0" applyNumberFormat="1" applyFont="1" applyBorder="1" applyAlignment="1">
      <alignment horizontal="center"/>
    </xf>
    <xf numFmtId="0" fontId="10" fillId="20" borderId="3" xfId="15" applyFont="1" applyFill="1" applyBorder="1" applyAlignment="1">
      <alignment wrapText="1"/>
    </xf>
    <xf numFmtId="0" fontId="10" fillId="24" borderId="3" xfId="15" applyFont="1" applyFill="1" applyBorder="1"/>
    <xf numFmtId="165" fontId="0" fillId="0" borderId="12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28" fillId="4" borderId="142" xfId="1" applyNumberFormat="1" applyBorder="1" applyAlignment="1">
      <alignment horizontal="center"/>
    </xf>
    <xf numFmtId="165" fontId="28" fillId="4" borderId="143" xfId="1" applyNumberFormat="1" applyBorder="1" applyAlignment="1">
      <alignment horizontal="center"/>
    </xf>
    <xf numFmtId="1" fontId="32" fillId="0" borderId="34" xfId="0" applyNumberFormat="1" applyFont="1" applyBorder="1" applyAlignment="1">
      <alignment horizontal="center"/>
    </xf>
    <xf numFmtId="0" fontId="9" fillId="20" borderId="3" xfId="15" applyFont="1" applyFill="1" applyBorder="1" applyAlignment="1">
      <alignment wrapText="1"/>
    </xf>
    <xf numFmtId="0" fontId="32" fillId="0" borderId="5" xfId="0" applyFont="1" applyBorder="1" applyAlignment="1">
      <alignment vertical="center"/>
    </xf>
    <xf numFmtId="1" fontId="0" fillId="0" borderId="5" xfId="0" applyNumberFormat="1" applyBorder="1" applyAlignment="1">
      <alignment horizontal="center" vertical="center"/>
    </xf>
    <xf numFmtId="1" fontId="32" fillId="0" borderId="5" xfId="0" applyNumberFormat="1" applyFont="1" applyBorder="1" applyAlignment="1">
      <alignment horizontal="center" vertical="center"/>
    </xf>
    <xf numFmtId="0" fontId="101" fillId="0" borderId="0" xfId="0" applyFont="1"/>
    <xf numFmtId="0" fontId="40" fillId="0" borderId="145" xfId="0" applyFont="1" applyBorder="1" applyAlignment="1">
      <alignment vertical="center"/>
    </xf>
    <xf numFmtId="1" fontId="0" fillId="0" borderId="146" xfId="0" applyNumberFormat="1" applyBorder="1" applyAlignment="1">
      <alignment horizontal="center" vertical="center"/>
    </xf>
    <xf numFmtId="1" fontId="0" fillId="0" borderId="146" xfId="0" applyNumberFormat="1" applyBorder="1" applyAlignment="1">
      <alignment horizontal="right" vertical="center"/>
    </xf>
    <xf numFmtId="1" fontId="0" fillId="0" borderId="144" xfId="0" applyNumberFormat="1" applyBorder="1" applyAlignment="1">
      <alignment horizontal="center" vertical="center"/>
    </xf>
    <xf numFmtId="0" fontId="8" fillId="20" borderId="14" xfId="15" applyFont="1" applyFill="1" applyBorder="1" applyAlignment="1">
      <alignment wrapText="1"/>
    </xf>
    <xf numFmtId="0" fontId="61" fillId="0" borderId="13" xfId="0" applyFont="1" applyBorder="1"/>
    <xf numFmtId="166" fontId="0" fillId="0" borderId="0" xfId="0" applyNumberFormat="1"/>
    <xf numFmtId="166" fontId="32" fillId="0" borderId="0" xfId="0" applyNumberFormat="1" applyFont="1"/>
    <xf numFmtId="166" fontId="32" fillId="0" borderId="10" xfId="0" applyNumberFormat="1" applyFont="1" applyBorder="1"/>
    <xf numFmtId="0" fontId="30" fillId="2" borderId="1" xfId="3" applyAlignment="1">
      <alignment horizontal="center"/>
    </xf>
    <xf numFmtId="1" fontId="28" fillId="4" borderId="18" xfId="1" applyNumberFormat="1" applyBorder="1" applyAlignment="1">
      <alignment horizontal="center"/>
    </xf>
    <xf numFmtId="2" fontId="29" fillId="17" borderId="2" xfId="2" applyNumberFormat="1" applyAlignment="1">
      <alignment horizontal="center"/>
    </xf>
    <xf numFmtId="1" fontId="30" fillId="2" borderId="1" xfId="3" applyNumberFormat="1" applyAlignment="1">
      <alignment horizontal="center"/>
    </xf>
    <xf numFmtId="165" fontId="30" fillId="2" borderId="1" xfId="3" applyNumberFormat="1" applyAlignment="1">
      <alignment horizontal="center"/>
    </xf>
    <xf numFmtId="0" fontId="32" fillId="0" borderId="95" xfId="0" applyFont="1" applyBorder="1" applyAlignment="1">
      <alignment horizontal="center"/>
    </xf>
    <xf numFmtId="0" fontId="32" fillId="0" borderId="96" xfId="0" applyFont="1" applyBorder="1" applyAlignment="1">
      <alignment horizontal="center"/>
    </xf>
    <xf numFmtId="0" fontId="32" fillId="0" borderId="97" xfId="0" applyFont="1" applyBorder="1" applyAlignment="1">
      <alignment horizontal="center"/>
    </xf>
    <xf numFmtId="0" fontId="0" fillId="0" borderId="99" xfId="0" applyBorder="1" applyAlignment="1">
      <alignment horizontal="center"/>
    </xf>
    <xf numFmtId="165" fontId="0" fillId="0" borderId="98" xfId="0" applyNumberFormat="1" applyBorder="1" applyAlignment="1">
      <alignment horizontal="center"/>
    </xf>
    <xf numFmtId="165" fontId="0" fillId="0" borderId="99" xfId="0" applyNumberFormat="1" applyBorder="1" applyAlignment="1">
      <alignment horizontal="center"/>
    </xf>
    <xf numFmtId="165" fontId="0" fillId="0" borderId="103" xfId="0" applyNumberFormat="1" applyBorder="1" applyAlignment="1">
      <alignment horizontal="center"/>
    </xf>
    <xf numFmtId="165" fontId="0" fillId="0" borderId="104" xfId="0" applyNumberFormat="1" applyBorder="1" applyAlignment="1">
      <alignment horizontal="center"/>
    </xf>
    <xf numFmtId="165" fontId="0" fillId="0" borderId="141" xfId="0" applyNumberFormat="1" applyBorder="1" applyAlignment="1">
      <alignment horizontal="center"/>
    </xf>
    <xf numFmtId="9" fontId="0" fillId="0" borderId="103" xfId="8" applyFont="1" applyBorder="1" applyAlignment="1">
      <alignment horizontal="center"/>
    </xf>
    <xf numFmtId="0" fontId="38" fillId="0" borderId="7" xfId="0" applyFont="1" applyBorder="1" applyAlignment="1">
      <alignment wrapText="1"/>
    </xf>
    <xf numFmtId="0" fontId="0" fillId="0" borderId="7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8" xfId="0" applyBorder="1" applyAlignment="1">
      <alignment horizontal="right"/>
    </xf>
    <xf numFmtId="0" fontId="0" fillId="0" borderId="90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91" xfId="0" applyBorder="1" applyAlignment="1">
      <alignment horizontal="center"/>
    </xf>
    <xf numFmtId="0" fontId="39" fillId="0" borderId="73" xfId="0" applyFont="1" applyBorder="1" applyAlignment="1">
      <alignment horizontal="right"/>
    </xf>
    <xf numFmtId="0" fontId="39" fillId="0" borderId="76" xfId="0" applyFont="1" applyBorder="1" applyAlignment="1">
      <alignment horizontal="right"/>
    </xf>
    <xf numFmtId="0" fontId="7" fillId="24" borderId="3" xfId="15" applyFont="1" applyFill="1" applyBorder="1"/>
    <xf numFmtId="0" fontId="0" fillId="32" borderId="3" xfId="0" applyFill="1" applyBorder="1" applyAlignment="1">
      <alignment wrapText="1"/>
    </xf>
    <xf numFmtId="0" fontId="0" fillId="32" borderId="3" xfId="0" applyFill="1" applyBorder="1"/>
    <xf numFmtId="0" fontId="0" fillId="32" borderId="139" xfId="0" applyFill="1" applyBorder="1" applyAlignment="1">
      <alignment wrapText="1"/>
    </xf>
    <xf numFmtId="0" fontId="0" fillId="32" borderId="140" xfId="0" applyFill="1" applyBorder="1" applyAlignment="1">
      <alignment wrapText="1"/>
    </xf>
    <xf numFmtId="0" fontId="0" fillId="32" borderId="140" xfId="0" applyFill="1" applyBorder="1"/>
    <xf numFmtId="0" fontId="32" fillId="32" borderId="110" xfId="0" applyFont="1" applyFill="1" applyBorder="1" applyAlignment="1">
      <alignment horizontal="center"/>
    </xf>
    <xf numFmtId="0" fontId="0" fillId="5" borderId="4" xfId="0" applyFill="1" applyBorder="1"/>
    <xf numFmtId="0" fontId="0" fillId="5" borderId="5" xfId="0" applyFill="1" applyBorder="1"/>
    <xf numFmtId="0" fontId="0" fillId="5" borderId="5" xfId="0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48" fillId="5" borderId="0" xfId="0" applyFont="1" applyFill="1" applyAlignment="1">
      <alignment horizontal="left"/>
    </xf>
    <xf numFmtId="0" fontId="95" fillId="5" borderId="8" xfId="0" applyFont="1" applyFill="1" applyBorder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0" fillId="5" borderId="8" xfId="0" applyFill="1" applyBorder="1"/>
    <xf numFmtId="0" fontId="48" fillId="5" borderId="0" xfId="0" applyFont="1" applyFill="1"/>
    <xf numFmtId="0" fontId="39" fillId="5" borderId="0" xfId="0" applyFont="1" applyFill="1"/>
    <xf numFmtId="0" fontId="32" fillId="5" borderId="0" xfId="0" applyFont="1" applyFill="1"/>
    <xf numFmtId="0" fontId="0" fillId="5" borderId="9" xfId="0" applyFill="1" applyBorder="1"/>
    <xf numFmtId="0" fontId="0" fillId="5" borderId="10" xfId="0" applyFill="1" applyBorder="1"/>
    <xf numFmtId="0" fontId="0" fillId="5" borderId="10" xfId="0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1" xfId="0" applyFill="1" applyBorder="1"/>
    <xf numFmtId="0" fontId="102" fillId="5" borderId="4" xfId="0" applyFont="1" applyFill="1" applyBorder="1"/>
    <xf numFmtId="0" fontId="32" fillId="5" borderId="5" xfId="0" applyFont="1" applyFill="1" applyBorder="1"/>
    <xf numFmtId="0" fontId="102" fillId="5" borderId="7" xfId="0" applyFont="1" applyFill="1" applyBorder="1"/>
    <xf numFmtId="0" fontId="103" fillId="5" borderId="0" xfId="0" applyFont="1" applyFill="1"/>
    <xf numFmtId="0" fontId="103" fillId="5" borderId="0" xfId="0" applyFont="1" applyFill="1" applyAlignment="1">
      <alignment horizontal="center"/>
    </xf>
    <xf numFmtId="0" fontId="103" fillId="5" borderId="5" xfId="0" applyFont="1" applyFill="1" applyBorder="1"/>
    <xf numFmtId="0" fontId="103" fillId="5" borderId="7" xfId="0" applyFont="1" applyFill="1" applyBorder="1" applyAlignment="1">
      <alignment horizontal="left"/>
    </xf>
    <xf numFmtId="0" fontId="103" fillId="5" borderId="16" xfId="0" applyFont="1" applyFill="1" applyBorder="1"/>
    <xf numFmtId="0" fontId="103" fillId="5" borderId="15" xfId="0" applyFont="1" applyFill="1" applyBorder="1" applyAlignment="1">
      <alignment horizontal="center"/>
    </xf>
    <xf numFmtId="0" fontId="103" fillId="5" borderId="3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left"/>
    </xf>
    <xf numFmtId="0" fontId="39" fillId="5" borderId="7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5" borderId="15" xfId="0" applyFont="1" applyFill="1" applyBorder="1" applyAlignment="1">
      <alignment horizontal="left"/>
    </xf>
    <xf numFmtId="0" fontId="40" fillId="5" borderId="11" xfId="0" applyFont="1" applyFill="1" applyBorder="1" applyAlignment="1">
      <alignment horizontal="right"/>
    </xf>
    <xf numFmtId="0" fontId="39" fillId="5" borderId="10" xfId="0" applyFont="1" applyFill="1" applyBorder="1"/>
    <xf numFmtId="0" fontId="0" fillId="34" borderId="15" xfId="0" applyFill="1" applyBorder="1" applyAlignment="1">
      <alignment horizontal="center" vertical="center"/>
    </xf>
    <xf numFmtId="0" fontId="39" fillId="34" borderId="3" xfId="0" applyFont="1" applyFill="1" applyBorder="1" applyAlignment="1">
      <alignment horizontal="left" vertical="center" indent="1"/>
    </xf>
    <xf numFmtId="0" fontId="61" fillId="34" borderId="7" xfId="0" applyFont="1" applyFill="1" applyBorder="1"/>
    <xf numFmtId="0" fontId="0" fillId="34" borderId="8" xfId="0" applyFill="1" applyBorder="1"/>
    <xf numFmtId="0" fontId="0" fillId="34" borderId="12" xfId="0" applyFill="1" applyBorder="1" applyAlignment="1">
      <alignment horizontal="center" vertical="center"/>
    </xf>
    <xf numFmtId="0" fontId="38" fillId="34" borderId="12" xfId="0" applyFont="1" applyFill="1" applyBorder="1" applyAlignment="1">
      <alignment horizontal="left" vertical="center" indent="1"/>
    </xf>
    <xf numFmtId="0" fontId="0" fillId="34" borderId="13" xfId="0" applyFill="1" applyBorder="1" applyAlignment="1">
      <alignment horizontal="center" vertical="center"/>
    </xf>
    <xf numFmtId="0" fontId="38" fillId="34" borderId="13" xfId="0" applyFont="1" applyFill="1" applyBorder="1" applyAlignment="1">
      <alignment horizontal="left" vertical="center" indent="1"/>
    </xf>
    <xf numFmtId="0" fontId="0" fillId="34" borderId="14" xfId="0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4" borderId="9" xfId="0" applyFill="1" applyBorder="1" applyAlignment="1">
      <alignment horizontal="center" vertical="center"/>
    </xf>
    <xf numFmtId="0" fontId="38" fillId="34" borderId="14" xfId="0" applyFont="1" applyFill="1" applyBorder="1" applyAlignment="1">
      <alignment horizontal="left" vertical="center" indent="1"/>
    </xf>
    <xf numFmtId="0" fontId="0" fillId="34" borderId="7" xfId="0" applyFill="1" applyBorder="1" applyAlignment="1">
      <alignment horizontal="center" vertical="center"/>
    </xf>
    <xf numFmtId="0" fontId="32" fillId="0" borderId="15" xfId="0" applyFont="1" applyBorder="1"/>
    <xf numFmtId="0" fontId="32" fillId="0" borderId="17" xfId="0" applyFont="1" applyBorder="1"/>
    <xf numFmtId="164" fontId="28" fillId="10" borderId="3" xfId="1" applyNumberFormat="1" applyFill="1" applyBorder="1" applyAlignment="1">
      <alignment horizontal="center"/>
    </xf>
    <xf numFmtId="0" fontId="0" fillId="6" borderId="7" xfId="0" applyFill="1" applyBorder="1" applyAlignment="1">
      <alignment vertical="center"/>
    </xf>
    <xf numFmtId="0" fontId="40" fillId="6" borderId="5" xfId="0" applyFont="1" applyFill="1" applyBorder="1" applyAlignment="1">
      <alignment vertical="center"/>
    </xf>
    <xf numFmtId="1" fontId="0" fillId="6" borderId="5" xfId="0" applyNumberFormat="1" applyFill="1" applyBorder="1" applyAlignment="1">
      <alignment horizontal="center" vertical="center"/>
    </xf>
    <xf numFmtId="1" fontId="0" fillId="6" borderId="5" xfId="0" applyNumberFormat="1" applyFill="1" applyBorder="1" applyAlignment="1">
      <alignment horizontal="right" vertical="center"/>
    </xf>
    <xf numFmtId="0" fontId="0" fillId="6" borderId="8" xfId="0" applyFill="1" applyBorder="1" applyAlignment="1">
      <alignment vertical="center"/>
    </xf>
    <xf numFmtId="1" fontId="50" fillId="10" borderId="147" xfId="5" applyNumberFormat="1" applyFont="1" applyFill="1" applyBorder="1" applyAlignment="1" applyProtection="1">
      <alignment horizontal="center" vertical="center"/>
    </xf>
    <xf numFmtId="1" fontId="50" fillId="6" borderId="0" xfId="5" applyNumberFormat="1" applyFont="1" applyFill="1" applyBorder="1" applyAlignment="1" applyProtection="1">
      <alignment horizontal="center" vertical="center"/>
    </xf>
    <xf numFmtId="0" fontId="0" fillId="6" borderId="0" xfId="0" applyFill="1" applyAlignment="1">
      <alignment horizontal="left" vertical="center"/>
    </xf>
    <xf numFmtId="2" fontId="0" fillId="0" borderId="0" xfId="0" applyNumberFormat="1" applyAlignment="1">
      <alignment vertical="top" wrapText="1"/>
    </xf>
    <xf numFmtId="0" fontId="6" fillId="24" borderId="3" xfId="15" applyFont="1" applyFill="1" applyBorder="1"/>
    <xf numFmtId="0" fontId="6" fillId="26" borderId="3" xfId="15" applyFont="1" applyFill="1" applyBorder="1"/>
    <xf numFmtId="0" fontId="6" fillId="0" borderId="3" xfId="20" applyFont="1" applyBorder="1" applyAlignment="1">
      <alignment wrapText="1"/>
    </xf>
    <xf numFmtId="0" fontId="6" fillId="4" borderId="3" xfId="20" applyFont="1" applyFill="1" applyBorder="1" applyAlignment="1">
      <alignment wrapText="1"/>
    </xf>
    <xf numFmtId="0" fontId="6" fillId="30" borderId="3" xfId="20" applyFont="1" applyFill="1" applyBorder="1" applyAlignment="1">
      <alignment wrapText="1"/>
    </xf>
    <xf numFmtId="0" fontId="6" fillId="31" borderId="3" xfId="20" applyFont="1" applyFill="1" applyBorder="1" applyAlignment="1">
      <alignment wrapText="1"/>
    </xf>
    <xf numFmtId="170" fontId="0" fillId="6" borderId="3" xfId="8" applyNumberFormat="1" applyFont="1" applyFill="1" applyBorder="1"/>
    <xf numFmtId="0" fontId="74" fillId="6" borderId="16" xfId="0" quotePrefix="1" applyFont="1" applyFill="1" applyBorder="1"/>
    <xf numFmtId="0" fontId="33" fillId="0" borderId="0" xfId="6" applyAlignment="1">
      <alignment horizontal="left"/>
    </xf>
    <xf numFmtId="0" fontId="38" fillId="34" borderId="3" xfId="0" applyFont="1" applyFill="1" applyBorder="1" applyAlignment="1">
      <alignment horizontal="left" vertical="center" indent="1"/>
    </xf>
    <xf numFmtId="0" fontId="0" fillId="34" borderId="3" xfId="0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165" fontId="32" fillId="3" borderId="148" xfId="5" applyNumberFormat="1" applyFont="1" applyBorder="1" applyAlignment="1" applyProtection="1">
      <alignment horizontal="center"/>
      <protection locked="0"/>
    </xf>
    <xf numFmtId="0" fontId="5" fillId="0" borderId="0" xfId="15" applyFont="1"/>
    <xf numFmtId="0" fontId="105" fillId="0" borderId="0" xfId="22" applyFont="1" applyAlignment="1">
      <alignment horizontal="left"/>
    </xf>
    <xf numFmtId="0" fontId="104" fillId="0" borderId="0" xfId="22" applyAlignment="1">
      <alignment horizontal="left"/>
    </xf>
    <xf numFmtId="0" fontId="104" fillId="0" borderId="0" xfId="22" applyAlignment="1">
      <alignment horizontal="center"/>
    </xf>
    <xf numFmtId="0" fontId="106" fillId="0" borderId="0" xfId="22" applyFont="1" applyAlignment="1">
      <alignment horizontal="left" vertical="center" wrapText="1"/>
    </xf>
    <xf numFmtId="0" fontId="104" fillId="0" borderId="0" xfId="22" applyAlignment="1">
      <alignment horizontal="left" vertical="center" wrapText="1"/>
    </xf>
    <xf numFmtId="0" fontId="107" fillId="0" borderId="149" xfId="22" applyFont="1" applyBorder="1" applyAlignment="1">
      <alignment horizontal="center" vertical="center" wrapText="1"/>
    </xf>
    <xf numFmtId="0" fontId="107" fillId="0" borderId="150" xfId="22" applyFont="1" applyBorder="1" applyAlignment="1">
      <alignment horizontal="center" vertical="center" wrapText="1"/>
    </xf>
    <xf numFmtId="0" fontId="107" fillId="0" borderId="151" xfId="22" applyFont="1" applyBorder="1" applyAlignment="1">
      <alignment horizontal="center" vertical="center" wrapText="1"/>
    </xf>
    <xf numFmtId="0" fontId="108" fillId="0" borderId="0" xfId="22" applyFont="1" applyAlignment="1">
      <alignment horizontal="left"/>
    </xf>
    <xf numFmtId="0" fontId="106" fillId="0" borderId="152" xfId="22" applyFont="1" applyBorder="1" applyAlignment="1">
      <alignment horizontal="center" vertical="center" wrapText="1"/>
    </xf>
    <xf numFmtId="0" fontId="106" fillId="0" borderId="153" xfId="22" applyFont="1" applyBorder="1" applyAlignment="1">
      <alignment horizontal="center" vertical="center" wrapText="1"/>
    </xf>
    <xf numFmtId="0" fontId="106" fillId="0" borderId="154" xfId="22" applyFont="1" applyBorder="1" applyAlignment="1">
      <alignment horizontal="center" vertical="center" wrapText="1"/>
    </xf>
    <xf numFmtId="0" fontId="104" fillId="0" borderId="152" xfId="22" applyBorder="1" applyAlignment="1">
      <alignment horizontal="center" vertical="center" wrapText="1"/>
    </xf>
    <xf numFmtId="0" fontId="104" fillId="0" borderId="153" xfId="22" applyBorder="1" applyAlignment="1">
      <alignment horizontal="center" vertical="center" wrapText="1"/>
    </xf>
    <xf numFmtId="0" fontId="104" fillId="0" borderId="154" xfId="22" applyBorder="1" applyAlignment="1">
      <alignment horizontal="center" vertical="center" wrapText="1"/>
    </xf>
    <xf numFmtId="0" fontId="109" fillId="22" borderId="1" xfId="23" applyAlignment="1">
      <alignment horizontal="center" vertical="center"/>
    </xf>
    <xf numFmtId="2" fontId="111" fillId="2" borderId="1" xfId="24" applyNumberFormat="1" applyAlignment="1">
      <alignment horizontal="center"/>
    </xf>
    <xf numFmtId="0" fontId="104" fillId="0" borderId="155" xfId="22" applyBorder="1" applyAlignment="1">
      <alignment horizontal="center" vertical="center" wrapText="1"/>
    </xf>
    <xf numFmtId="0" fontId="104" fillId="0" borderId="156" xfId="22" applyBorder="1" applyAlignment="1">
      <alignment horizontal="center" vertical="center" wrapText="1"/>
    </xf>
    <xf numFmtId="0" fontId="104" fillId="0" borderId="157" xfId="22" applyBorder="1" applyAlignment="1">
      <alignment horizontal="center" vertical="center" wrapText="1"/>
    </xf>
    <xf numFmtId="165" fontId="111" fillId="2" borderId="1" xfId="24" applyNumberFormat="1" applyAlignment="1">
      <alignment horizontal="center"/>
    </xf>
    <xf numFmtId="165" fontId="112" fillId="2" borderId="2" xfId="25" applyNumberFormat="1" applyAlignment="1">
      <alignment horizontal="center" vertical="center"/>
    </xf>
    <xf numFmtId="165" fontId="112" fillId="2" borderId="2" xfId="25" applyNumberFormat="1" applyAlignment="1">
      <alignment horizontal="center"/>
    </xf>
    <xf numFmtId="164" fontId="112" fillId="2" borderId="2" xfId="25" applyNumberFormat="1" applyAlignment="1">
      <alignment horizontal="center" vertical="center"/>
    </xf>
    <xf numFmtId="164" fontId="112" fillId="2" borderId="2" xfId="25" applyNumberFormat="1" applyAlignment="1">
      <alignment horizontal="center"/>
    </xf>
    <xf numFmtId="2" fontId="112" fillId="2" borderId="2" xfId="25" applyNumberFormat="1" applyAlignment="1">
      <alignment horizontal="center" vertical="center"/>
    </xf>
    <xf numFmtId="2" fontId="112" fillId="2" borderId="2" xfId="25" applyNumberFormat="1" applyAlignment="1">
      <alignment horizontal="center"/>
    </xf>
    <xf numFmtId="164" fontId="113" fillId="0" borderId="152" xfId="22" applyNumberFormat="1" applyFont="1" applyBorder="1" applyAlignment="1">
      <alignment horizontal="center" vertical="center" wrapText="1"/>
    </xf>
    <xf numFmtId="164" fontId="113" fillId="0" borderId="153" xfId="22" applyNumberFormat="1" applyFont="1" applyBorder="1" applyAlignment="1">
      <alignment horizontal="center" vertical="center" wrapText="1"/>
    </xf>
    <xf numFmtId="164" fontId="113" fillId="0" borderId="154" xfId="22" applyNumberFormat="1" applyFont="1" applyBorder="1" applyAlignment="1">
      <alignment horizontal="center" vertical="center" wrapText="1"/>
    </xf>
    <xf numFmtId="2" fontId="104" fillId="0" borderId="0" xfId="22" applyNumberFormat="1" applyAlignment="1">
      <alignment horizontal="center"/>
    </xf>
    <xf numFmtId="165" fontId="106" fillId="0" borderId="152" xfId="22" applyNumberFormat="1" applyFont="1" applyBorder="1" applyAlignment="1">
      <alignment horizontal="center" vertical="center" wrapText="1"/>
    </xf>
    <xf numFmtId="165" fontId="106" fillId="0" borderId="153" xfId="22" applyNumberFormat="1" applyFont="1" applyBorder="1" applyAlignment="1">
      <alignment horizontal="center" vertical="center" wrapText="1"/>
    </xf>
    <xf numFmtId="165" fontId="106" fillId="0" borderId="154" xfId="22" applyNumberFormat="1" applyFont="1" applyBorder="1" applyAlignment="1">
      <alignment horizontal="center" vertical="center" wrapText="1"/>
    </xf>
    <xf numFmtId="1" fontId="106" fillId="0" borderId="153" xfId="22" applyNumberFormat="1" applyFont="1" applyBorder="1" applyAlignment="1">
      <alignment horizontal="center" vertical="center" wrapText="1"/>
    </xf>
    <xf numFmtId="1" fontId="104" fillId="0" borderId="0" xfId="22" applyNumberFormat="1" applyAlignment="1">
      <alignment horizontal="center"/>
    </xf>
    <xf numFmtId="0" fontId="108" fillId="0" borderId="3" xfId="22" applyFont="1" applyBorder="1" applyAlignment="1">
      <alignment horizontal="center"/>
    </xf>
    <xf numFmtId="0" fontId="108" fillId="0" borderId="15" xfId="22" applyFont="1" applyBorder="1" applyAlignment="1">
      <alignment horizontal="center"/>
    </xf>
    <xf numFmtId="0" fontId="108" fillId="0" borderId="16" xfId="22" applyFont="1" applyBorder="1" applyAlignment="1">
      <alignment horizontal="center"/>
    </xf>
    <xf numFmtId="0" fontId="108" fillId="0" borderId="17" xfId="22" applyFont="1" applyBorder="1" applyAlignment="1">
      <alignment horizontal="center"/>
    </xf>
    <xf numFmtId="0" fontId="104" fillId="0" borderId="3" xfId="22" applyBorder="1" applyAlignment="1">
      <alignment horizontal="center"/>
    </xf>
    <xf numFmtId="165" fontId="104" fillId="0" borderId="3" xfId="22" applyNumberFormat="1" applyBorder="1" applyAlignment="1">
      <alignment horizontal="center"/>
    </xf>
    <xf numFmtId="165" fontId="104" fillId="0" borderId="4" xfId="22" applyNumberFormat="1" applyBorder="1" applyAlignment="1">
      <alignment horizontal="center"/>
    </xf>
    <xf numFmtId="0" fontId="104" fillId="0" borderId="5" xfId="22" applyBorder="1" applyAlignment="1">
      <alignment horizontal="center"/>
    </xf>
    <xf numFmtId="165" fontId="104" fillId="0" borderId="7" xfId="22" applyNumberFormat="1" applyBorder="1" applyAlignment="1">
      <alignment horizontal="center"/>
    </xf>
    <xf numFmtId="165" fontId="104" fillId="0" borderId="9" xfId="22" applyNumberFormat="1" applyBorder="1" applyAlignment="1">
      <alignment horizontal="center"/>
    </xf>
    <xf numFmtId="0" fontId="104" fillId="0" borderId="10" xfId="22" applyBorder="1" applyAlignment="1">
      <alignment horizontal="center"/>
    </xf>
    <xf numFmtId="165" fontId="104" fillId="0" borderId="5" xfId="22" applyNumberFormat="1" applyBorder="1" applyAlignment="1">
      <alignment horizontal="center"/>
    </xf>
    <xf numFmtId="165" fontId="104" fillId="0" borderId="0" xfId="22" applyNumberFormat="1" applyAlignment="1">
      <alignment horizontal="center"/>
    </xf>
    <xf numFmtId="165" fontId="104" fillId="0" borderId="10" xfId="22" applyNumberFormat="1" applyBorder="1" applyAlignment="1">
      <alignment horizontal="center"/>
    </xf>
    <xf numFmtId="0" fontId="104" fillId="0" borderId="158" xfId="22" applyBorder="1" applyAlignment="1">
      <alignment horizontal="left" vertical="center" wrapText="1"/>
    </xf>
    <xf numFmtId="164" fontId="104" fillId="0" borderId="153" xfId="22" applyNumberFormat="1" applyBorder="1" applyAlignment="1">
      <alignment horizontal="center" vertical="center" wrapText="1"/>
    </xf>
    <xf numFmtId="0" fontId="106" fillId="0" borderId="153" xfId="26" applyFont="1" applyBorder="1" applyAlignment="1">
      <alignment horizontal="center" vertical="center" wrapText="1"/>
    </xf>
    <xf numFmtId="0" fontId="104" fillId="0" borderId="0" xfId="22" applyAlignment="1">
      <alignment horizontal="center" vertical="center" wrapText="1"/>
    </xf>
    <xf numFmtId="0" fontId="113" fillId="0" borderId="0" xfId="22" applyFont="1" applyAlignment="1">
      <alignment horizontal="left" vertical="center" wrapText="1"/>
    </xf>
    <xf numFmtId="0" fontId="115" fillId="0" borderId="0" xfId="22" applyFont="1" applyAlignment="1">
      <alignment horizontal="left" vertical="center" wrapText="1"/>
    </xf>
    <xf numFmtId="0" fontId="104" fillId="0" borderId="0" xfId="22" applyAlignment="1">
      <alignment vertical="center" wrapText="1"/>
    </xf>
    <xf numFmtId="165" fontId="104" fillId="0" borderId="0" xfId="22" applyNumberFormat="1" applyAlignment="1">
      <alignment horizontal="center" vertical="center" wrapText="1"/>
    </xf>
    <xf numFmtId="0" fontId="108" fillId="0" borderId="0" xfId="22" applyFont="1" applyAlignment="1">
      <alignment horizontal="center"/>
    </xf>
    <xf numFmtId="0" fontId="107" fillId="0" borderId="153" xfId="22" applyFont="1" applyBorder="1" applyAlignment="1">
      <alignment horizontal="center" vertical="center" wrapText="1"/>
    </xf>
    <xf numFmtId="0" fontId="107" fillId="0" borderId="153" xfId="26" applyFont="1" applyBorder="1" applyAlignment="1">
      <alignment horizontal="center" vertical="center" wrapText="1"/>
    </xf>
    <xf numFmtId="0" fontId="5" fillId="0" borderId="153" xfId="26" applyBorder="1" applyAlignment="1">
      <alignment horizontal="center" vertical="center" wrapText="1"/>
    </xf>
    <xf numFmtId="0" fontId="5" fillId="0" borderId="156" xfId="26" applyBorder="1" applyAlignment="1">
      <alignment horizontal="center" vertical="center" wrapText="1"/>
    </xf>
    <xf numFmtId="2" fontId="104" fillId="0" borderId="156" xfId="22" applyNumberFormat="1" applyBorder="1" applyAlignment="1">
      <alignment horizontal="center" vertical="center" wrapText="1"/>
    </xf>
    <xf numFmtId="0" fontId="104" fillId="0" borderId="4" xfId="22" applyBorder="1" applyAlignment="1">
      <alignment horizontal="center"/>
    </xf>
    <xf numFmtId="0" fontId="104" fillId="0" borderId="6" xfId="22" applyBorder="1" applyAlignment="1">
      <alignment horizontal="center"/>
    </xf>
    <xf numFmtId="0" fontId="104" fillId="0" borderId="7" xfId="22" applyBorder="1" applyAlignment="1">
      <alignment horizontal="center"/>
    </xf>
    <xf numFmtId="0" fontId="104" fillId="0" borderId="8" xfId="22" applyBorder="1" applyAlignment="1">
      <alignment horizontal="center"/>
    </xf>
    <xf numFmtId="0" fontId="113" fillId="0" borderId="153" xfId="22" applyFont="1" applyBorder="1" applyAlignment="1">
      <alignment horizontal="center" vertical="center" wrapText="1"/>
    </xf>
    <xf numFmtId="0" fontId="113" fillId="0" borderId="153" xfId="26" applyFont="1" applyBorder="1" applyAlignment="1">
      <alignment horizontal="center" vertical="center" wrapText="1"/>
    </xf>
    <xf numFmtId="0" fontId="104" fillId="0" borderId="9" xfId="22" applyBorder="1" applyAlignment="1">
      <alignment horizontal="center"/>
    </xf>
    <xf numFmtId="0" fontId="104" fillId="0" borderId="11" xfId="22" applyBorder="1" applyAlignment="1">
      <alignment horizontal="center"/>
    </xf>
    <xf numFmtId="2" fontId="106" fillId="0" borderId="153" xfId="22" applyNumberFormat="1" applyFont="1" applyBorder="1" applyAlignment="1">
      <alignment horizontal="center" vertical="center" wrapText="1"/>
    </xf>
    <xf numFmtId="0" fontId="108" fillId="0" borderId="0" xfId="22" applyFont="1" applyAlignment="1">
      <alignment horizontal="left" vertical="center" wrapText="1"/>
    </xf>
    <xf numFmtId="0" fontId="104" fillId="0" borderId="4" xfId="22" applyBorder="1" applyAlignment="1">
      <alignment vertical="center" wrapText="1"/>
    </xf>
    <xf numFmtId="0" fontId="104" fillId="0" borderId="5" xfId="22" applyBorder="1" applyAlignment="1">
      <alignment vertical="center" wrapText="1"/>
    </xf>
    <xf numFmtId="0" fontId="104" fillId="0" borderId="6" xfId="22" applyBorder="1" applyAlignment="1">
      <alignment vertical="center" wrapText="1"/>
    </xf>
    <xf numFmtId="0" fontId="104" fillId="0" borderId="7" xfId="22" applyBorder="1" applyAlignment="1">
      <alignment vertical="center" wrapText="1"/>
    </xf>
    <xf numFmtId="0" fontId="104" fillId="0" borderId="8" xfId="22" applyBorder="1" applyAlignment="1">
      <alignment vertical="center" wrapText="1"/>
    </xf>
    <xf numFmtId="165" fontId="104" fillId="0" borderId="7" xfId="22" applyNumberFormat="1" applyBorder="1" applyAlignment="1">
      <alignment horizontal="center" vertical="center" wrapText="1"/>
    </xf>
    <xf numFmtId="165" fontId="104" fillId="0" borderId="8" xfId="22" applyNumberFormat="1" applyBorder="1" applyAlignment="1">
      <alignment horizontal="center" vertical="center" wrapText="1"/>
    </xf>
    <xf numFmtId="0" fontId="104" fillId="0" borderId="9" xfId="22" applyBorder="1" applyAlignment="1">
      <alignment horizontal="center" vertical="center" wrapText="1"/>
    </xf>
    <xf numFmtId="0" fontId="104" fillId="0" borderId="10" xfId="22" applyBorder="1" applyAlignment="1">
      <alignment horizontal="center" vertical="center" wrapText="1"/>
    </xf>
    <xf numFmtId="0" fontId="104" fillId="0" borderId="11" xfId="22" applyBorder="1" applyAlignment="1">
      <alignment horizontal="center" vertical="center" wrapText="1"/>
    </xf>
    <xf numFmtId="0" fontId="104" fillId="0" borderId="0" xfId="22"/>
    <xf numFmtId="0" fontId="107" fillId="0" borderId="159" xfId="22" applyFont="1" applyBorder="1" applyAlignment="1">
      <alignment horizontal="center" vertical="center" wrapText="1"/>
    </xf>
    <xf numFmtId="0" fontId="107" fillId="0" borderId="160" xfId="22" applyFont="1" applyBorder="1" applyAlignment="1">
      <alignment horizontal="center" vertical="center" wrapText="1"/>
    </xf>
    <xf numFmtId="0" fontId="107" fillId="0" borderId="161" xfId="26" applyFont="1" applyBorder="1" applyAlignment="1">
      <alignment horizontal="center" vertical="center" wrapText="1"/>
    </xf>
    <xf numFmtId="0" fontId="107" fillId="0" borderId="159" xfId="26" applyFont="1" applyBorder="1" applyAlignment="1">
      <alignment horizontal="center" vertical="center" wrapText="1"/>
    </xf>
    <xf numFmtId="0" fontId="107" fillId="0" borderId="160" xfId="26" applyFont="1" applyBorder="1" applyAlignment="1">
      <alignment horizontal="center" vertical="center" wrapText="1"/>
    </xf>
    <xf numFmtId="0" fontId="106" fillId="0" borderId="162" xfId="22" applyFont="1" applyBorder="1" applyAlignment="1">
      <alignment horizontal="center" vertical="center" wrapText="1"/>
    </xf>
    <xf numFmtId="0" fontId="106" fillId="0" borderId="163" xfId="26" applyFont="1" applyBorder="1" applyAlignment="1">
      <alignment horizontal="center" vertical="center" wrapText="1"/>
    </xf>
    <xf numFmtId="0" fontId="106" fillId="0" borderId="162" xfId="26" applyFont="1" applyBorder="1" applyAlignment="1">
      <alignment horizontal="center" vertical="center" wrapText="1"/>
    </xf>
    <xf numFmtId="0" fontId="116" fillId="0" borderId="0" xfId="22" applyFont="1" applyAlignment="1">
      <alignment horizontal="right"/>
    </xf>
    <xf numFmtId="0" fontId="116" fillId="0" borderId="0" xfId="22" applyFont="1" applyAlignment="1">
      <alignment horizontal="center"/>
    </xf>
    <xf numFmtId="0" fontId="104" fillId="0" borderId="162" xfId="22" applyBorder="1" applyAlignment="1">
      <alignment horizontal="center" vertical="center" wrapText="1"/>
    </xf>
    <xf numFmtId="0" fontId="5" fillId="0" borderId="163" xfId="26" applyBorder="1" applyAlignment="1">
      <alignment horizontal="center" vertical="center" wrapText="1"/>
    </xf>
    <xf numFmtId="0" fontId="5" fillId="0" borderId="162" xfId="26" applyBorder="1" applyAlignment="1">
      <alignment horizontal="center" vertical="center" wrapText="1"/>
    </xf>
    <xf numFmtId="0" fontId="104" fillId="0" borderId="0" xfId="22" applyAlignment="1">
      <alignment horizontal="right"/>
    </xf>
    <xf numFmtId="171" fontId="116" fillId="0" borderId="0" xfId="22" applyNumberFormat="1" applyFont="1" applyAlignment="1">
      <alignment horizontal="center"/>
    </xf>
    <xf numFmtId="2" fontId="116" fillId="0" borderId="0" xfId="22" applyNumberFormat="1" applyFont="1" applyAlignment="1">
      <alignment horizontal="center"/>
    </xf>
    <xf numFmtId="165" fontId="116" fillId="0" borderId="0" xfId="22" applyNumberFormat="1" applyFont="1" applyAlignment="1">
      <alignment horizontal="center"/>
    </xf>
    <xf numFmtId="0" fontId="113" fillId="0" borderId="162" xfId="26" applyFont="1" applyBorder="1" applyAlignment="1">
      <alignment horizontal="center" vertical="center" wrapText="1"/>
    </xf>
    <xf numFmtId="0" fontId="113" fillId="0" borderId="163" xfId="26" applyFont="1" applyBorder="1" applyAlignment="1">
      <alignment horizontal="center" vertical="center" wrapText="1"/>
    </xf>
    <xf numFmtId="170" fontId="104" fillId="0" borderId="0" xfId="27" applyNumberFormat="1" applyFont="1" applyAlignment="1">
      <alignment horizontal="left"/>
    </xf>
    <xf numFmtId="0" fontId="116" fillId="0" borderId="73" xfId="22" applyFont="1" applyBorder="1" applyAlignment="1">
      <alignment horizontal="center"/>
    </xf>
    <xf numFmtId="0" fontId="116" fillId="0" borderId="74" xfId="22" applyFont="1" applyBorder="1" applyAlignment="1">
      <alignment horizontal="center"/>
    </xf>
    <xf numFmtId="0" fontId="116" fillId="0" borderId="113" xfId="22" applyFont="1" applyBorder="1" applyAlignment="1">
      <alignment horizontal="center"/>
    </xf>
    <xf numFmtId="0" fontId="116" fillId="0" borderId="89" xfId="22" applyFont="1" applyBorder="1" applyAlignment="1">
      <alignment horizontal="center"/>
    </xf>
    <xf numFmtId="0" fontId="116" fillId="0" borderId="164" xfId="22" applyFont="1" applyBorder="1" applyAlignment="1">
      <alignment horizontal="center"/>
    </xf>
    <xf numFmtId="2" fontId="104" fillId="0" borderId="165" xfId="22" applyNumberFormat="1" applyBorder="1" applyAlignment="1">
      <alignment horizontal="center" vertical="center" wrapText="1"/>
    </xf>
    <xf numFmtId="0" fontId="116" fillId="0" borderId="76" xfId="22" applyFont="1" applyBorder="1" applyAlignment="1">
      <alignment horizontal="center"/>
    </xf>
    <xf numFmtId="0" fontId="116" fillId="0" borderId="8" xfId="22" applyFont="1" applyBorder="1" applyAlignment="1">
      <alignment horizontal="center"/>
    </xf>
    <xf numFmtId="0" fontId="116" fillId="0" borderId="7" xfId="22" applyFont="1" applyBorder="1" applyAlignment="1">
      <alignment horizontal="center"/>
    </xf>
    <xf numFmtId="0" fontId="116" fillId="0" borderId="166" xfId="22" applyFont="1" applyBorder="1" applyAlignment="1">
      <alignment horizontal="center"/>
    </xf>
    <xf numFmtId="0" fontId="104" fillId="0" borderId="76" xfId="22" applyBorder="1" applyAlignment="1">
      <alignment horizontal="left"/>
    </xf>
    <xf numFmtId="0" fontId="104" fillId="0" borderId="8" xfId="22" applyBorder="1" applyAlignment="1">
      <alignment horizontal="left"/>
    </xf>
    <xf numFmtId="0" fontId="104" fillId="0" borderId="7" xfId="22" applyBorder="1" applyAlignment="1">
      <alignment horizontal="left"/>
    </xf>
    <xf numFmtId="0" fontId="104" fillId="0" borderId="166" xfId="22" applyBorder="1" applyAlignment="1">
      <alignment horizontal="left"/>
    </xf>
    <xf numFmtId="165" fontId="116" fillId="0" borderId="76" xfId="22" applyNumberFormat="1" applyFont="1" applyBorder="1" applyAlignment="1">
      <alignment horizontal="center"/>
    </xf>
    <xf numFmtId="165" fontId="116" fillId="0" borderId="8" xfId="22" applyNumberFormat="1" applyFont="1" applyBorder="1" applyAlignment="1">
      <alignment horizontal="center"/>
    </xf>
    <xf numFmtId="165" fontId="116" fillId="0" borderId="7" xfId="22" applyNumberFormat="1" applyFont="1" applyBorder="1" applyAlignment="1">
      <alignment horizontal="center"/>
    </xf>
    <xf numFmtId="165" fontId="116" fillId="0" borderId="166" xfId="22" applyNumberFormat="1" applyFont="1" applyBorder="1" applyAlignment="1">
      <alignment horizontal="center"/>
    </xf>
    <xf numFmtId="0" fontId="116" fillId="0" borderId="0" xfId="22" applyFont="1" applyAlignment="1">
      <alignment horizontal="left"/>
    </xf>
    <xf numFmtId="0" fontId="104" fillId="0" borderId="165" xfId="22" applyBorder="1" applyAlignment="1">
      <alignment horizontal="center" vertical="center" wrapText="1"/>
    </xf>
    <xf numFmtId="0" fontId="5" fillId="0" borderId="167" xfId="26" applyBorder="1" applyAlignment="1">
      <alignment horizontal="center" vertical="center" wrapText="1"/>
    </xf>
    <xf numFmtId="0" fontId="5" fillId="0" borderId="165" xfId="26" applyBorder="1" applyAlignment="1">
      <alignment horizontal="center" vertical="center" wrapText="1"/>
    </xf>
    <xf numFmtId="9" fontId="116" fillId="0" borderId="76" xfId="27" applyFont="1" applyBorder="1" applyAlignment="1">
      <alignment horizontal="center"/>
    </xf>
    <xf numFmtId="9" fontId="116" fillId="0" borderId="7" xfId="27" applyFont="1" applyBorder="1" applyAlignment="1">
      <alignment horizontal="center"/>
    </xf>
    <xf numFmtId="9" fontId="116" fillId="0" borderId="166" xfId="27" applyFont="1" applyBorder="1" applyAlignment="1">
      <alignment horizontal="center"/>
    </xf>
    <xf numFmtId="0" fontId="107" fillId="0" borderId="162" xfId="22" applyFont="1" applyBorder="1" applyAlignment="1">
      <alignment horizontal="center" vertical="center" wrapText="1"/>
    </xf>
    <xf numFmtId="0" fontId="107" fillId="0" borderId="163" xfId="26" applyFont="1" applyBorder="1" applyAlignment="1">
      <alignment horizontal="center" vertical="center" wrapText="1"/>
    </xf>
    <xf numFmtId="0" fontId="107" fillId="0" borderId="162" xfId="26" applyFont="1" applyBorder="1" applyAlignment="1">
      <alignment horizontal="center" vertical="center" wrapText="1"/>
    </xf>
    <xf numFmtId="9" fontId="116" fillId="0" borderId="0" xfId="27" applyFont="1" applyBorder="1" applyAlignment="1">
      <alignment horizontal="center"/>
    </xf>
    <xf numFmtId="9" fontId="116" fillId="0" borderId="8" xfId="27" applyFont="1" applyBorder="1" applyAlignment="1">
      <alignment horizontal="center"/>
    </xf>
    <xf numFmtId="9" fontId="116" fillId="0" borderId="76" xfId="22" applyNumberFormat="1" applyFont="1" applyBorder="1" applyAlignment="1">
      <alignment horizontal="center"/>
    </xf>
    <xf numFmtId="9" fontId="116" fillId="0" borderId="0" xfId="22" applyNumberFormat="1" applyFont="1" applyAlignment="1">
      <alignment horizontal="center"/>
    </xf>
    <xf numFmtId="9" fontId="116" fillId="0" borderId="8" xfId="22" applyNumberFormat="1" applyFont="1" applyBorder="1" applyAlignment="1">
      <alignment horizontal="center"/>
    </xf>
    <xf numFmtId="9" fontId="116" fillId="0" borderId="7" xfId="22" applyNumberFormat="1" applyFont="1" applyBorder="1" applyAlignment="1">
      <alignment horizontal="center"/>
    </xf>
    <xf numFmtId="9" fontId="116" fillId="0" borderId="166" xfId="22" applyNumberFormat="1" applyFont="1" applyBorder="1" applyAlignment="1">
      <alignment horizontal="center"/>
    </xf>
    <xf numFmtId="9" fontId="116" fillId="0" borderId="78" xfId="22" applyNumberFormat="1" applyFont="1" applyBorder="1" applyAlignment="1">
      <alignment horizontal="center"/>
    </xf>
    <xf numFmtId="9" fontId="116" fillId="0" borderId="92" xfId="22" applyNumberFormat="1" applyFont="1" applyBorder="1" applyAlignment="1">
      <alignment horizontal="center"/>
    </xf>
    <xf numFmtId="9" fontId="116" fillId="0" borderId="168" xfId="22" applyNumberFormat="1" applyFont="1" applyBorder="1" applyAlignment="1">
      <alignment horizontal="center"/>
    </xf>
    <xf numFmtId="0" fontId="106" fillId="0" borderId="169" xfId="22" applyFont="1" applyBorder="1" applyAlignment="1">
      <alignment horizontal="center" vertical="center" wrapText="1"/>
    </xf>
    <xf numFmtId="0" fontId="106" fillId="0" borderId="170" xfId="22" applyFont="1" applyBorder="1" applyAlignment="1">
      <alignment horizontal="center" vertical="center" wrapText="1"/>
    </xf>
    <xf numFmtId="0" fontId="106" fillId="0" borderId="171" xfId="26" applyFont="1" applyBorder="1" applyAlignment="1">
      <alignment horizontal="center" vertical="center" wrapText="1"/>
    </xf>
    <xf numFmtId="0" fontId="106" fillId="0" borderId="169" xfId="26" applyFont="1" applyBorder="1" applyAlignment="1">
      <alignment horizontal="center" vertical="center" wrapText="1"/>
    </xf>
    <xf numFmtId="0" fontId="106" fillId="0" borderId="170" xfId="26" applyFont="1" applyBorder="1" applyAlignment="1">
      <alignment horizontal="center" vertical="center" wrapText="1"/>
    </xf>
    <xf numFmtId="9" fontId="104" fillId="0" borderId="0" xfId="22" applyNumberFormat="1" applyAlignment="1">
      <alignment horizontal="left"/>
    </xf>
    <xf numFmtId="0" fontId="106" fillId="0" borderId="159" xfId="22" applyFont="1" applyBorder="1" applyAlignment="1">
      <alignment horizontal="center" vertical="center" wrapText="1"/>
    </xf>
    <xf numFmtId="0" fontId="106" fillId="0" borderId="160" xfId="22" applyFont="1" applyBorder="1" applyAlignment="1">
      <alignment horizontal="center" vertical="center" wrapText="1"/>
    </xf>
    <xf numFmtId="0" fontId="106" fillId="0" borderId="161" xfId="26" applyFont="1" applyBorder="1" applyAlignment="1">
      <alignment horizontal="center" vertical="center" wrapText="1"/>
    </xf>
    <xf numFmtId="0" fontId="106" fillId="0" borderId="159" xfId="26" applyFont="1" applyBorder="1" applyAlignment="1">
      <alignment horizontal="center" vertical="center" wrapText="1"/>
    </xf>
    <xf numFmtId="0" fontId="106" fillId="0" borderId="160" xfId="26" applyFont="1" applyBorder="1" applyAlignment="1">
      <alignment horizontal="center" vertical="center" wrapText="1"/>
    </xf>
    <xf numFmtId="0" fontId="106" fillId="0" borderId="172" xfId="22" applyFont="1" applyBorder="1" applyAlignment="1">
      <alignment horizontal="center" vertical="center" wrapText="1"/>
    </xf>
    <xf numFmtId="0" fontId="106" fillId="0" borderId="173" xfId="22" applyFont="1" applyBorder="1" applyAlignment="1">
      <alignment horizontal="center" vertical="center" wrapText="1"/>
    </xf>
    <xf numFmtId="0" fontId="106" fillId="0" borderId="174" xfId="26" applyFont="1" applyBorder="1" applyAlignment="1">
      <alignment horizontal="center" vertical="center" wrapText="1"/>
    </xf>
    <xf numFmtId="0" fontId="106" fillId="0" borderId="172" xfId="26" applyFont="1" applyBorder="1" applyAlignment="1">
      <alignment horizontal="center" vertical="center" wrapText="1"/>
    </xf>
    <xf numFmtId="0" fontId="106" fillId="0" borderId="173" xfId="26" applyFont="1" applyBorder="1" applyAlignment="1">
      <alignment horizontal="center" vertical="center" wrapText="1"/>
    </xf>
    <xf numFmtId="0" fontId="113" fillId="0" borderId="175" xfId="22" applyFont="1" applyBorder="1" applyAlignment="1">
      <alignment horizontal="center" vertical="center" wrapText="1"/>
    </xf>
    <xf numFmtId="0" fontId="113" fillId="0" borderId="176" xfId="22" applyFont="1" applyBorder="1" applyAlignment="1">
      <alignment horizontal="center" vertical="center" wrapText="1"/>
    </xf>
    <xf numFmtId="0" fontId="113" fillId="0" borderId="177" xfId="26" applyFont="1" applyBorder="1" applyAlignment="1">
      <alignment horizontal="center" vertical="center" wrapText="1"/>
    </xf>
    <xf numFmtId="0" fontId="113" fillId="0" borderId="175" xfId="26" applyFont="1" applyBorder="1" applyAlignment="1">
      <alignment horizontal="center" vertical="center" wrapText="1"/>
    </xf>
    <xf numFmtId="0" fontId="113" fillId="0" borderId="176" xfId="26" applyFont="1" applyBorder="1" applyAlignment="1">
      <alignment horizontal="center" vertical="center" wrapText="1"/>
    </xf>
    <xf numFmtId="0" fontId="104" fillId="0" borderId="172" xfId="22" applyBorder="1" applyAlignment="1">
      <alignment horizontal="center" vertical="center" wrapText="1"/>
    </xf>
    <xf numFmtId="0" fontId="104" fillId="0" borderId="173" xfId="22" applyBorder="1" applyAlignment="1">
      <alignment horizontal="center" vertical="center" wrapText="1"/>
    </xf>
    <xf numFmtId="0" fontId="5" fillId="0" borderId="174" xfId="26" applyBorder="1" applyAlignment="1">
      <alignment horizontal="center" vertical="center" wrapText="1"/>
    </xf>
    <xf numFmtId="0" fontId="5" fillId="0" borderId="172" xfId="26" applyBorder="1" applyAlignment="1">
      <alignment horizontal="center" vertical="center" wrapText="1"/>
    </xf>
    <xf numFmtId="0" fontId="5" fillId="0" borderId="173" xfId="26" applyBorder="1" applyAlignment="1">
      <alignment horizontal="center" vertical="center" wrapText="1"/>
    </xf>
    <xf numFmtId="2" fontId="104" fillId="0" borderId="0" xfId="22" applyNumberFormat="1" applyAlignment="1">
      <alignment horizontal="center" vertical="center" wrapText="1"/>
    </xf>
    <xf numFmtId="170" fontId="104" fillId="0" borderId="0" xfId="22" applyNumberFormat="1" applyAlignment="1">
      <alignment horizontal="left"/>
    </xf>
    <xf numFmtId="9" fontId="104" fillId="0" borderId="0" xfId="27" applyFont="1" applyAlignment="1">
      <alignment horizontal="center"/>
    </xf>
    <xf numFmtId="0" fontId="107" fillId="0" borderId="178" xfId="22" applyFont="1" applyBorder="1" applyAlignment="1">
      <alignment horizontal="center" vertical="center" wrapText="1"/>
    </xf>
    <xf numFmtId="0" fontId="107" fillId="0" borderId="179" xfId="22" applyFont="1" applyBorder="1" applyAlignment="1">
      <alignment horizontal="center" vertical="center" wrapText="1"/>
    </xf>
    <xf numFmtId="0" fontId="107" fillId="0" borderId="180" xfId="26" applyFont="1" applyBorder="1" applyAlignment="1">
      <alignment horizontal="center" vertical="center" wrapText="1"/>
    </xf>
    <xf numFmtId="0" fontId="107" fillId="0" borderId="178" xfId="26" applyFont="1" applyBorder="1" applyAlignment="1">
      <alignment horizontal="center" vertical="center" wrapText="1"/>
    </xf>
    <xf numFmtId="0" fontId="107" fillId="0" borderId="179" xfId="26" applyFont="1" applyBorder="1" applyAlignment="1">
      <alignment horizontal="center" vertical="center" wrapText="1"/>
    </xf>
    <xf numFmtId="0" fontId="104" fillId="0" borderId="15" xfId="22" applyBorder="1" applyAlignment="1">
      <alignment horizontal="center" vertical="center" wrapText="1"/>
    </xf>
    <xf numFmtId="0" fontId="104" fillId="0" borderId="16" xfId="22" applyBorder="1" applyAlignment="1">
      <alignment horizontal="center" vertical="center" wrapText="1"/>
    </xf>
    <xf numFmtId="0" fontId="104" fillId="0" borderId="17" xfId="22" applyBorder="1" applyAlignment="1">
      <alignment horizontal="center" vertical="center" wrapText="1"/>
    </xf>
    <xf numFmtId="0" fontId="104" fillId="0" borderId="7" xfId="22" applyBorder="1" applyAlignment="1">
      <alignment horizontal="center" vertical="center" wrapText="1"/>
    </xf>
    <xf numFmtId="0" fontId="104" fillId="0" borderId="8" xfId="22" applyBorder="1" applyAlignment="1">
      <alignment horizontal="center" vertical="center" wrapText="1"/>
    </xf>
    <xf numFmtId="165" fontId="104" fillId="0" borderId="4" xfId="22" applyNumberFormat="1" applyBorder="1" applyAlignment="1">
      <alignment horizontal="center" vertical="center" wrapText="1"/>
    </xf>
    <xf numFmtId="165" fontId="104" fillId="0" borderId="12" xfId="22" applyNumberFormat="1" applyBorder="1" applyAlignment="1">
      <alignment horizontal="center" vertical="center" wrapText="1"/>
    </xf>
    <xf numFmtId="165" fontId="104" fillId="0" borderId="9" xfId="22" applyNumberFormat="1" applyBorder="1" applyAlignment="1">
      <alignment horizontal="center" vertical="center" wrapText="1"/>
    </xf>
    <xf numFmtId="165" fontId="104" fillId="0" borderId="14" xfId="22" applyNumberFormat="1" applyBorder="1" applyAlignment="1">
      <alignment horizontal="center" vertical="center" wrapText="1"/>
    </xf>
    <xf numFmtId="0" fontId="104" fillId="0" borderId="4" xfId="22" applyBorder="1" applyAlignment="1">
      <alignment horizontal="center" vertical="center" wrapText="1"/>
    </xf>
    <xf numFmtId="0" fontId="104" fillId="0" borderId="5" xfId="22" applyBorder="1" applyAlignment="1">
      <alignment horizontal="center" vertical="center" wrapText="1"/>
    </xf>
    <xf numFmtId="0" fontId="104" fillId="0" borderId="6" xfId="22" applyBorder="1" applyAlignment="1">
      <alignment horizontal="center" vertical="center" wrapText="1"/>
    </xf>
    <xf numFmtId="165" fontId="104" fillId="0" borderId="10" xfId="22" applyNumberFormat="1" applyBorder="1" applyAlignment="1">
      <alignment horizontal="center" vertical="center" wrapText="1"/>
    </xf>
    <xf numFmtId="165" fontId="104" fillId="0" borderId="11" xfId="22" applyNumberFormat="1" applyBorder="1" applyAlignment="1">
      <alignment horizontal="center" vertical="center" wrapText="1"/>
    </xf>
    <xf numFmtId="0" fontId="109" fillId="22" borderId="1" xfId="23" applyAlignment="1">
      <alignment horizontal="center"/>
    </xf>
    <xf numFmtId="0" fontId="119" fillId="0" borderId="0" xfId="22" applyFont="1" applyAlignment="1">
      <alignment horizontal="right"/>
    </xf>
    <xf numFmtId="0" fontId="119" fillId="0" borderId="0" xfId="22" applyFont="1" applyAlignment="1">
      <alignment horizontal="left"/>
    </xf>
    <xf numFmtId="0" fontId="119" fillId="0" borderId="0" xfId="22" applyFont="1" applyAlignment="1">
      <alignment horizontal="center"/>
    </xf>
    <xf numFmtId="165" fontId="119" fillId="0" borderId="0" xfId="22" applyNumberFormat="1" applyFont="1" applyAlignment="1">
      <alignment horizontal="center"/>
    </xf>
    <xf numFmtId="165" fontId="104" fillId="0" borderId="0" xfId="22" applyNumberFormat="1" applyAlignment="1">
      <alignment horizontal="left"/>
    </xf>
    <xf numFmtId="9" fontId="104" fillId="0" borderId="0" xfId="27" applyFont="1" applyAlignment="1">
      <alignment horizontal="left"/>
    </xf>
    <xf numFmtId="10" fontId="104" fillId="0" borderId="0" xfId="27" applyNumberFormat="1" applyFont="1" applyAlignment="1">
      <alignment horizontal="left"/>
    </xf>
    <xf numFmtId="0" fontId="104" fillId="15" borderId="3" xfId="28" applyFont="1" applyBorder="1" applyAlignment="1">
      <alignment horizontal="center"/>
    </xf>
    <xf numFmtId="165" fontId="112" fillId="2" borderId="93" xfId="25" applyNumberFormat="1" applyBorder="1" applyAlignment="1">
      <alignment horizontal="center" vertical="center"/>
    </xf>
    <xf numFmtId="165" fontId="112" fillId="2" borderId="181" xfId="25" applyNumberFormat="1" applyBorder="1" applyAlignment="1">
      <alignment horizontal="center" vertical="center"/>
    </xf>
    <xf numFmtId="2" fontId="104" fillId="0" borderId="0" xfId="22" applyNumberFormat="1" applyAlignment="1">
      <alignment horizontal="left"/>
    </xf>
    <xf numFmtId="164" fontId="112" fillId="2" borderId="181" xfId="25" applyNumberFormat="1" applyBorder="1" applyAlignment="1">
      <alignment horizontal="center" vertical="center"/>
    </xf>
    <xf numFmtId="2" fontId="112" fillId="2" borderId="181" xfId="25" applyNumberFormat="1" applyBorder="1" applyAlignment="1">
      <alignment horizontal="center" vertical="center"/>
    </xf>
    <xf numFmtId="165" fontId="111" fillId="2" borderId="19" xfId="24" applyNumberFormat="1" applyBorder="1" applyAlignment="1">
      <alignment horizontal="center"/>
    </xf>
    <xf numFmtId="165" fontId="111" fillId="2" borderId="22" xfId="24" applyNumberFormat="1" applyBorder="1" applyAlignment="1">
      <alignment horizontal="center"/>
    </xf>
    <xf numFmtId="164" fontId="116" fillId="0" borderId="4" xfId="22" applyNumberFormat="1" applyFont="1" applyBorder="1" applyAlignment="1">
      <alignment horizontal="center"/>
    </xf>
    <xf numFmtId="164" fontId="116" fillId="0" borderId="5" xfId="22" applyNumberFormat="1" applyFont="1" applyBorder="1" applyAlignment="1">
      <alignment horizontal="center"/>
    </xf>
    <xf numFmtId="164" fontId="116" fillId="0" borderId="6" xfId="22" applyNumberFormat="1" applyFont="1" applyBorder="1" applyAlignment="1">
      <alignment horizontal="center"/>
    </xf>
    <xf numFmtId="171" fontId="116" fillId="0" borderId="7" xfId="22" applyNumberFormat="1" applyFont="1" applyBorder="1" applyAlignment="1">
      <alignment horizontal="center"/>
    </xf>
    <xf numFmtId="171" fontId="116" fillId="0" borderId="8" xfId="22" applyNumberFormat="1" applyFont="1" applyBorder="1" applyAlignment="1">
      <alignment horizontal="center"/>
    </xf>
    <xf numFmtId="170" fontId="104" fillId="0" borderId="7" xfId="27" applyNumberFormat="1" applyFont="1" applyBorder="1" applyAlignment="1">
      <alignment horizontal="left"/>
    </xf>
    <xf numFmtId="170" fontId="104" fillId="0" borderId="0" xfId="27" applyNumberFormat="1" applyFont="1" applyBorder="1" applyAlignment="1">
      <alignment horizontal="left"/>
    </xf>
    <xf numFmtId="170" fontId="104" fillId="0" borderId="8" xfId="27" applyNumberFormat="1" applyFont="1" applyBorder="1" applyAlignment="1">
      <alignment horizontal="left"/>
    </xf>
    <xf numFmtId="164" fontId="116" fillId="0" borderId="12" xfId="22" applyNumberFormat="1" applyFont="1" applyBorder="1" applyAlignment="1">
      <alignment horizontal="center"/>
    </xf>
    <xf numFmtId="165" fontId="116" fillId="0" borderId="13" xfId="22" applyNumberFormat="1" applyFont="1" applyBorder="1" applyAlignment="1">
      <alignment horizontal="center"/>
    </xf>
    <xf numFmtId="0" fontId="104" fillId="0" borderId="182" xfId="22" applyBorder="1" applyAlignment="1">
      <alignment horizontal="center" vertical="center" wrapText="1"/>
    </xf>
    <xf numFmtId="0" fontId="5" fillId="0" borderId="182" xfId="26" applyBorder="1" applyAlignment="1">
      <alignment horizontal="center" vertical="center" wrapText="1"/>
    </xf>
    <xf numFmtId="9" fontId="116" fillId="0" borderId="13" xfId="27" applyFont="1" applyBorder="1" applyAlignment="1">
      <alignment horizontal="center"/>
    </xf>
    <xf numFmtId="164" fontId="113" fillId="0" borderId="162" xfId="22" applyNumberFormat="1" applyFont="1" applyBorder="1" applyAlignment="1">
      <alignment horizontal="center" vertical="center" wrapText="1"/>
    </xf>
    <xf numFmtId="164" fontId="113" fillId="0" borderId="163" xfId="26" applyNumberFormat="1" applyFont="1" applyBorder="1" applyAlignment="1">
      <alignment horizontal="center" vertical="center" wrapText="1"/>
    </xf>
    <xf numFmtId="164" fontId="113" fillId="0" borderId="162" xfId="26" applyNumberFormat="1" applyFont="1" applyBorder="1" applyAlignment="1">
      <alignment horizontal="center" vertical="center" wrapText="1"/>
    </xf>
    <xf numFmtId="164" fontId="113" fillId="0" borderId="153" xfId="26" applyNumberFormat="1" applyFont="1" applyBorder="1" applyAlignment="1">
      <alignment horizontal="center" vertical="center" wrapText="1"/>
    </xf>
    <xf numFmtId="165" fontId="116" fillId="0" borderId="183" xfId="22" applyNumberFormat="1" applyFont="1" applyBorder="1" applyAlignment="1">
      <alignment horizontal="center"/>
    </xf>
    <xf numFmtId="0" fontId="113" fillId="0" borderId="162" xfId="22" applyFont="1" applyBorder="1" applyAlignment="1">
      <alignment horizontal="center" vertical="center" wrapText="1"/>
    </xf>
    <xf numFmtId="0" fontId="104" fillId="0" borderId="13" xfId="22" applyBorder="1" applyAlignment="1">
      <alignment horizontal="left"/>
    </xf>
    <xf numFmtId="9" fontId="116" fillId="0" borderId="183" xfId="22" applyNumberFormat="1" applyFont="1" applyBorder="1" applyAlignment="1">
      <alignment horizontal="center"/>
    </xf>
    <xf numFmtId="0" fontId="116" fillId="0" borderId="183" xfId="22" applyFont="1" applyBorder="1" applyAlignment="1">
      <alignment horizontal="center"/>
    </xf>
    <xf numFmtId="9" fontId="116" fillId="0" borderId="9" xfId="22" applyNumberFormat="1" applyFont="1" applyBorder="1" applyAlignment="1">
      <alignment horizontal="center"/>
    </xf>
    <xf numFmtId="9" fontId="116" fillId="0" borderId="184" xfId="22" applyNumberFormat="1" applyFont="1" applyBorder="1" applyAlignment="1">
      <alignment horizontal="center"/>
    </xf>
    <xf numFmtId="9" fontId="116" fillId="0" borderId="90" xfId="22" applyNumberFormat="1" applyFont="1" applyBorder="1" applyAlignment="1">
      <alignment horizontal="center"/>
    </xf>
    <xf numFmtId="9" fontId="116" fillId="0" borderId="14" xfId="22" applyNumberFormat="1" applyFont="1" applyBorder="1" applyAlignment="1">
      <alignment horizontal="center"/>
    </xf>
    <xf numFmtId="0" fontId="106" fillId="0" borderId="176" xfId="22" applyFont="1" applyBorder="1" applyAlignment="1">
      <alignment horizontal="center" vertical="center" wrapText="1"/>
    </xf>
    <xf numFmtId="0" fontId="106" fillId="0" borderId="176" xfId="26" applyFont="1" applyBorder="1" applyAlignment="1">
      <alignment horizontal="center" vertical="center" wrapText="1"/>
    </xf>
    <xf numFmtId="1" fontId="120" fillId="0" borderId="156" xfId="22" applyNumberFormat="1" applyFont="1" applyBorder="1" applyAlignment="1">
      <alignment horizontal="center" vertical="center" wrapText="1"/>
    </xf>
    <xf numFmtId="1" fontId="104" fillId="0" borderId="156" xfId="22" applyNumberFormat="1" applyBorder="1" applyAlignment="1">
      <alignment horizontal="center" vertical="center" wrapText="1"/>
    </xf>
    <xf numFmtId="0" fontId="104" fillId="0" borderId="182" xfId="22" applyBorder="1" applyAlignment="1">
      <alignment horizontal="left" vertical="center" wrapText="1"/>
    </xf>
    <xf numFmtId="0" fontId="5" fillId="0" borderId="0" xfId="26" applyAlignment="1">
      <alignment horizontal="left" vertical="center" wrapText="1"/>
    </xf>
    <xf numFmtId="0" fontId="104" fillId="0" borderId="15" xfId="22" applyBorder="1"/>
    <xf numFmtId="0" fontId="104" fillId="0" borderId="16" xfId="22" applyBorder="1"/>
    <xf numFmtId="0" fontId="104" fillId="0" borderId="17" xfId="22" applyBorder="1"/>
    <xf numFmtId="0" fontId="50" fillId="5" borderId="2" xfId="11" applyAlignment="1">
      <alignment horizontal="center"/>
    </xf>
    <xf numFmtId="0" fontId="28" fillId="22" borderId="1" xfId="13"/>
    <xf numFmtId="0" fontId="122" fillId="6" borderId="0" xfId="0" applyFont="1" applyFill="1"/>
    <xf numFmtId="0" fontId="111" fillId="2" borderId="1" xfId="24" applyAlignment="1">
      <alignment horizontal="center"/>
    </xf>
    <xf numFmtId="9" fontId="104" fillId="0" borderId="0" xfId="22" applyNumberFormat="1" applyAlignment="1">
      <alignment horizontal="center"/>
    </xf>
    <xf numFmtId="2" fontId="65" fillId="2" borderId="1" xfId="24" applyNumberFormat="1" applyFont="1" applyAlignment="1">
      <alignment horizontal="center"/>
    </xf>
    <xf numFmtId="2" fontId="38" fillId="6" borderId="0" xfId="0" applyNumberFormat="1" applyFont="1" applyFill="1" applyAlignment="1">
      <alignment horizontal="center"/>
    </xf>
    <xf numFmtId="1" fontId="104" fillId="0" borderId="0" xfId="22" applyNumberFormat="1" applyAlignment="1">
      <alignment horizontal="left"/>
    </xf>
    <xf numFmtId="165" fontId="32" fillId="26" borderId="13" xfId="0" applyNumberFormat="1" applyFont="1" applyFill="1" applyBorder="1" applyAlignment="1">
      <alignment horizontal="center"/>
    </xf>
    <xf numFmtId="165" fontId="32" fillId="26" borderId="14" xfId="0" applyNumberFormat="1" applyFont="1" applyFill="1" applyBorder="1" applyAlignment="1">
      <alignment horizontal="center"/>
    </xf>
    <xf numFmtId="2" fontId="0" fillId="0" borderId="3" xfId="0" applyNumberFormat="1" applyBorder="1"/>
    <xf numFmtId="166" fontId="0" fillId="0" borderId="3" xfId="0" applyNumberFormat="1" applyBorder="1"/>
    <xf numFmtId="166" fontId="50" fillId="5" borderId="2" xfId="11" applyNumberFormat="1"/>
    <xf numFmtId="165" fontId="50" fillId="5" borderId="2" xfId="11" applyNumberFormat="1"/>
    <xf numFmtId="166" fontId="28" fillId="4" borderId="1" xfId="1" applyNumberFormat="1"/>
    <xf numFmtId="0" fontId="123" fillId="6" borderId="0" xfId="0" applyFont="1" applyFill="1"/>
    <xf numFmtId="165" fontId="38" fillId="6" borderId="13" xfId="0" applyNumberFormat="1" applyFont="1" applyFill="1" applyBorder="1" applyAlignment="1">
      <alignment horizontal="right"/>
    </xf>
    <xf numFmtId="0" fontId="60" fillId="6" borderId="3" xfId="0" applyFont="1" applyFill="1" applyBorder="1"/>
    <xf numFmtId="0" fontId="38" fillId="0" borderId="3" xfId="0" applyFont="1" applyBorder="1"/>
    <xf numFmtId="165" fontId="0" fillId="0" borderId="3" xfId="0" applyNumberFormat="1" applyBorder="1"/>
    <xf numFmtId="165" fontId="51" fillId="6" borderId="34" xfId="0" applyNumberFormat="1" applyFont="1" applyFill="1" applyBorder="1" applyAlignment="1">
      <alignment horizontal="center"/>
    </xf>
    <xf numFmtId="9" fontId="104" fillId="0" borderId="0" xfId="8" applyFont="1" applyAlignment="1">
      <alignment horizontal="left"/>
    </xf>
    <xf numFmtId="0" fontId="0" fillId="35" borderId="3" xfId="0" applyFill="1" applyBorder="1" applyAlignment="1">
      <alignment wrapText="1"/>
    </xf>
    <xf numFmtId="0" fontId="0" fillId="20" borderId="3" xfId="0" applyFill="1" applyBorder="1" applyAlignment="1">
      <alignment wrapText="1"/>
    </xf>
    <xf numFmtId="0" fontId="0" fillId="20" borderId="3" xfId="0" quotePrefix="1" applyFill="1" applyBorder="1" applyAlignment="1">
      <alignment horizontal="left" wrapText="1"/>
    </xf>
    <xf numFmtId="0" fontId="97" fillId="20" borderId="3" xfId="0" applyFont="1" applyFill="1" applyBorder="1" applyAlignment="1">
      <alignment wrapText="1"/>
    </xf>
    <xf numFmtId="0" fontId="0" fillId="20" borderId="3" xfId="0" applyFill="1" applyBorder="1"/>
    <xf numFmtId="0" fontId="67" fillId="20" borderId="3" xfId="0" applyFont="1" applyFill="1" applyBorder="1" applyAlignment="1">
      <alignment wrapText="1"/>
    </xf>
    <xf numFmtId="0" fontId="0" fillId="20" borderId="3" xfId="0" quotePrefix="1" applyFill="1" applyBorder="1" applyAlignment="1">
      <alignment wrapText="1"/>
    </xf>
    <xf numFmtId="0" fontId="32" fillId="5" borderId="3" xfId="0" applyFont="1" applyFill="1" applyBorder="1" applyAlignment="1">
      <alignment wrapText="1"/>
    </xf>
    <xf numFmtId="0" fontId="4" fillId="20" borderId="3" xfId="15" applyFont="1" applyFill="1" applyBorder="1" applyAlignment="1">
      <alignment wrapText="1"/>
    </xf>
    <xf numFmtId="0" fontId="4" fillId="24" borderId="3" xfId="15" applyFont="1" applyFill="1" applyBorder="1"/>
    <xf numFmtId="0" fontId="4" fillId="24" borderId="3" xfId="15" applyFont="1" applyFill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3" fillId="20" borderId="3" xfId="15" applyFont="1" applyFill="1" applyBorder="1" applyAlignment="1">
      <alignment wrapText="1"/>
    </xf>
    <xf numFmtId="0" fontId="48" fillId="6" borderId="0" xfId="0" applyFont="1" applyFill="1" applyAlignment="1">
      <alignment vertical="top"/>
    </xf>
    <xf numFmtId="0" fontId="3" fillId="20" borderId="3" xfId="15" applyFont="1" applyFill="1" applyBorder="1" applyAlignment="1">
      <alignment horizontal="left" vertical="top" wrapText="1"/>
    </xf>
    <xf numFmtId="0" fontId="3" fillId="24" borderId="3" xfId="15" applyFont="1" applyFill="1" applyBorder="1" applyAlignment="1">
      <alignment wrapText="1"/>
    </xf>
    <xf numFmtId="0" fontId="3" fillId="24" borderId="3" xfId="15" applyFont="1" applyFill="1" applyBorder="1"/>
    <xf numFmtId="165" fontId="38" fillId="6" borderId="13" xfId="0" applyNumberFormat="1" applyFont="1" applyFill="1" applyBorder="1" applyAlignment="1">
      <alignment horizontal="left"/>
    </xf>
    <xf numFmtId="0" fontId="85" fillId="0" borderId="73" xfId="0" applyFont="1" applyBorder="1"/>
    <xf numFmtId="0" fontId="32" fillId="0" borderId="76" xfId="0" applyFont="1" applyBorder="1"/>
    <xf numFmtId="0" fontId="95" fillId="0" borderId="0" xfId="0" applyFont="1"/>
    <xf numFmtId="0" fontId="3" fillId="26" borderId="3" xfId="15" applyFont="1" applyFill="1" applyBorder="1"/>
    <xf numFmtId="0" fontId="3" fillId="6" borderId="3" xfId="15" applyFont="1" applyFill="1" applyBorder="1"/>
    <xf numFmtId="0" fontId="3" fillId="4" borderId="3" xfId="15" applyFont="1" applyFill="1" applyBorder="1"/>
    <xf numFmtId="0" fontId="3" fillId="30" borderId="3" xfId="15" applyFont="1" applyFill="1" applyBorder="1"/>
    <xf numFmtId="0" fontId="3" fillId="31" borderId="3" xfId="15" applyFont="1" applyFill="1" applyBorder="1"/>
    <xf numFmtId="0" fontId="40" fillId="6" borderId="0" xfId="0" applyFont="1" applyFill="1" applyAlignment="1">
      <alignment vertical="center"/>
    </xf>
    <xf numFmtId="1" fontId="0" fillId="6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right" vertical="center"/>
    </xf>
    <xf numFmtId="0" fontId="103" fillId="0" borderId="0" xfId="0" applyFont="1" applyAlignment="1">
      <alignment horizontal="center"/>
    </xf>
    <xf numFmtId="0" fontId="2" fillId="20" borderId="3" xfId="15" applyFont="1" applyFill="1" applyBorder="1" applyAlignment="1">
      <alignment wrapText="1"/>
    </xf>
    <xf numFmtId="0" fontId="2" fillId="24" borderId="3" xfId="15" applyFont="1" applyFill="1" applyBorder="1" applyAlignment="1">
      <alignment wrapText="1"/>
    </xf>
    <xf numFmtId="0" fontId="70" fillId="35" borderId="3" xfId="0" applyFont="1" applyFill="1" applyBorder="1" applyAlignment="1">
      <alignment wrapText="1"/>
    </xf>
    <xf numFmtId="0" fontId="70" fillId="35" borderId="3" xfId="0" quotePrefix="1" applyFont="1" applyFill="1" applyBorder="1" applyAlignment="1">
      <alignment horizontal="left" wrapText="1"/>
    </xf>
    <xf numFmtId="0" fontId="67" fillId="35" borderId="3" xfId="0" applyFont="1" applyFill="1" applyBorder="1" applyAlignment="1">
      <alignment wrapText="1"/>
    </xf>
    <xf numFmtId="0" fontId="70" fillId="35" borderId="3" xfId="0" applyFont="1" applyFill="1" applyBorder="1"/>
    <xf numFmtId="0" fontId="70" fillId="35" borderId="3" xfId="0" quotePrefix="1" applyFont="1" applyFill="1" applyBorder="1" applyAlignment="1">
      <alignment wrapText="1"/>
    </xf>
    <xf numFmtId="0" fontId="32" fillId="0" borderId="3" xfId="0" applyFont="1" applyBorder="1" applyAlignment="1">
      <alignment horizontal="left"/>
    </xf>
    <xf numFmtId="0" fontId="40" fillId="0" borderId="0" xfId="0" applyFont="1" applyAlignment="1">
      <alignment horizontal="left" vertical="top" wrapText="1"/>
    </xf>
    <xf numFmtId="0" fontId="0" fillId="8" borderId="3" xfId="0" quotePrefix="1" applyFill="1" applyBorder="1" applyAlignment="1">
      <alignment horizontal="center" vertical="center"/>
    </xf>
    <xf numFmtId="0" fontId="34" fillId="0" borderId="125" xfId="0" applyFont="1" applyBorder="1" applyAlignment="1">
      <alignment horizontal="center"/>
    </xf>
    <xf numFmtId="0" fontId="34" fillId="0" borderId="126" xfId="0" applyFont="1" applyBorder="1" applyAlignment="1">
      <alignment horizontal="center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38" fillId="0" borderId="4" xfId="0" applyFont="1" applyBorder="1" applyAlignment="1">
      <alignment horizontal="left" wrapText="1"/>
    </xf>
    <xf numFmtId="0" fontId="38" fillId="0" borderId="5" xfId="0" applyFont="1" applyBorder="1" applyAlignment="1">
      <alignment horizontal="left" wrapText="1"/>
    </xf>
    <xf numFmtId="0" fontId="38" fillId="0" borderId="81" xfId="0" applyFont="1" applyBorder="1" applyAlignment="1">
      <alignment horizontal="left" wrapText="1"/>
    </xf>
    <xf numFmtId="0" fontId="38" fillId="0" borderId="34" xfId="0" applyFont="1" applyBorder="1" applyAlignment="1">
      <alignment horizontal="left" wrapText="1"/>
    </xf>
    <xf numFmtId="0" fontId="32" fillId="6" borderId="3" xfId="0" applyFont="1" applyFill="1" applyBorder="1" applyAlignment="1">
      <alignment horizontal="center"/>
    </xf>
    <xf numFmtId="0" fontId="33" fillId="0" borderId="0" xfId="6" applyAlignment="1">
      <alignment horizontal="left"/>
    </xf>
    <xf numFmtId="0" fontId="38" fillId="0" borderId="7" xfId="0" applyFont="1" applyBorder="1" applyAlignment="1">
      <alignment horizontal="left" wrapText="1"/>
    </xf>
    <xf numFmtId="0" fontId="32" fillId="6" borderId="4" xfId="0" applyFont="1" applyFill="1" applyBorder="1" applyAlignment="1">
      <alignment horizontal="left" vertical="center" wrapText="1"/>
    </xf>
    <xf numFmtId="0" fontId="32" fillId="6" borderId="5" xfId="0" applyFont="1" applyFill="1" applyBorder="1" applyAlignment="1">
      <alignment horizontal="left" vertical="center" wrapText="1"/>
    </xf>
    <xf numFmtId="0" fontId="94" fillId="0" borderId="0" xfId="0" applyFont="1" applyAlignment="1">
      <alignment horizontal="left" vertical="top" wrapText="1"/>
    </xf>
    <xf numFmtId="0" fontId="40" fillId="6" borderId="7" xfId="0" applyFont="1" applyFill="1" applyBorder="1" applyAlignment="1">
      <alignment horizontal="left" vertical="center" wrapText="1"/>
    </xf>
    <xf numFmtId="0" fontId="40" fillId="6" borderId="0" xfId="0" applyFont="1" applyFill="1" applyAlignment="1">
      <alignment horizontal="left" vertical="center" wrapText="1"/>
    </xf>
    <xf numFmtId="0" fontId="40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78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32" fillId="6" borderId="6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center" vertical="center"/>
    </xf>
    <xf numFmtId="0" fontId="32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 wrapText="1"/>
    </xf>
    <xf numFmtId="0" fontId="32" fillId="6" borderId="6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wrapText="1"/>
    </xf>
    <xf numFmtId="0" fontId="34" fillId="0" borderId="17" xfId="0" applyFont="1" applyBorder="1" applyAlignment="1">
      <alignment horizontal="center"/>
    </xf>
    <xf numFmtId="0" fontId="34" fillId="0" borderId="3" xfId="0" applyFont="1" applyBorder="1" applyAlignment="1">
      <alignment horizontal="center" wrapText="1"/>
    </xf>
    <xf numFmtId="0" fontId="34" fillId="0" borderId="3" xfId="0" applyFont="1" applyBorder="1" applyAlignment="1">
      <alignment horizontal="center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39" fillId="34" borderId="15" xfId="0" applyFont="1" applyFill="1" applyBorder="1" applyAlignment="1">
      <alignment horizontal="left" vertical="center" indent="1"/>
    </xf>
    <xf numFmtId="0" fontId="39" fillId="34" borderId="17" xfId="0" applyFont="1" applyFill="1" applyBorder="1" applyAlignment="1">
      <alignment horizontal="left" vertical="center" indent="1"/>
    </xf>
    <xf numFmtId="0" fontId="39" fillId="5" borderId="4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0" fillId="3" borderId="129" xfId="0" applyFill="1" applyBorder="1" applyAlignment="1" applyProtection="1">
      <alignment horizontal="left"/>
      <protection locked="0"/>
    </xf>
    <xf numFmtId="0" fontId="0" fillId="3" borderId="41" xfId="0" applyFill="1" applyBorder="1" applyAlignment="1" applyProtection="1">
      <alignment horizontal="left"/>
      <protection locked="0"/>
    </xf>
    <xf numFmtId="0" fontId="0" fillId="3" borderId="130" xfId="0" applyFill="1" applyBorder="1" applyAlignment="1" applyProtection="1">
      <alignment horizontal="left"/>
      <protection locked="0"/>
    </xf>
    <xf numFmtId="0" fontId="0" fillId="3" borderId="125" xfId="0" applyFill="1" applyBorder="1" applyAlignment="1" applyProtection="1">
      <alignment horizontal="left"/>
      <protection locked="0"/>
    </xf>
    <xf numFmtId="0" fontId="0" fillId="3" borderId="16" xfId="0" applyFill="1" applyBorder="1" applyAlignment="1" applyProtection="1">
      <alignment horizontal="left"/>
      <protection locked="0"/>
    </xf>
    <xf numFmtId="0" fontId="0" fillId="3" borderId="126" xfId="0" applyFill="1" applyBorder="1" applyAlignment="1" applyProtection="1">
      <alignment horizontal="left"/>
      <protection locked="0"/>
    </xf>
    <xf numFmtId="0" fontId="48" fillId="5" borderId="5" xfId="0" applyFont="1" applyFill="1" applyBorder="1" applyAlignment="1">
      <alignment horizontal="left"/>
    </xf>
    <xf numFmtId="0" fontId="48" fillId="5" borderId="10" xfId="0" applyFont="1" applyFill="1" applyBorder="1" applyAlignment="1">
      <alignment horizontal="left"/>
    </xf>
    <xf numFmtId="0" fontId="0" fillId="6" borderId="0" xfId="5" applyFont="1" applyFill="1" applyBorder="1" applyAlignment="1" applyProtection="1">
      <alignment horizontal="left"/>
    </xf>
    <xf numFmtId="0" fontId="32" fillId="0" borderId="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82" fillId="0" borderId="3" xfId="0" applyFont="1" applyBorder="1" applyAlignment="1">
      <alignment horizontal="center" wrapText="1"/>
    </xf>
    <xf numFmtId="0" fontId="82" fillId="0" borderId="3" xfId="0" applyFont="1" applyBorder="1" applyAlignment="1">
      <alignment horizontal="center"/>
    </xf>
    <xf numFmtId="0" fontId="124" fillId="6" borderId="185" xfId="0" applyFont="1" applyFill="1" applyBorder="1" applyAlignment="1">
      <alignment horizontal="left" vertical="center" wrapText="1"/>
    </xf>
    <xf numFmtId="0" fontId="124" fillId="6" borderId="186" xfId="0" applyFont="1" applyFill="1" applyBorder="1" applyAlignment="1">
      <alignment horizontal="left" vertical="center" wrapText="1"/>
    </xf>
    <xf numFmtId="0" fontId="124" fillId="6" borderId="187" xfId="0" applyFont="1" applyFill="1" applyBorder="1" applyAlignment="1">
      <alignment horizontal="left" vertical="center" wrapText="1"/>
    </xf>
    <xf numFmtId="0" fontId="48" fillId="34" borderId="15" xfId="0" applyFont="1" applyFill="1" applyBorder="1" applyAlignment="1">
      <alignment horizontal="left" vertical="center" indent="1"/>
    </xf>
    <xf numFmtId="0" fontId="48" fillId="34" borderId="17" xfId="0" applyFont="1" applyFill="1" applyBorder="1" applyAlignment="1">
      <alignment horizontal="left" vertical="center" indent="1"/>
    </xf>
    <xf numFmtId="0" fontId="124" fillId="6" borderId="188" xfId="0" applyFont="1" applyFill="1" applyBorder="1" applyAlignment="1">
      <alignment horizontal="left" vertical="center" wrapText="1"/>
    </xf>
    <xf numFmtId="0" fontId="124" fillId="6" borderId="189" xfId="0" applyFont="1" applyFill="1" applyBorder="1" applyAlignment="1">
      <alignment horizontal="left" vertical="center" wrapText="1"/>
    </xf>
    <xf numFmtId="0" fontId="124" fillId="6" borderId="190" xfId="0" applyFont="1" applyFill="1" applyBorder="1" applyAlignment="1">
      <alignment horizontal="left" vertical="center" wrapText="1"/>
    </xf>
    <xf numFmtId="0" fontId="124" fillId="6" borderId="191" xfId="0" applyFont="1" applyFill="1" applyBorder="1" applyAlignment="1">
      <alignment horizontal="left" vertical="center" wrapText="1"/>
    </xf>
    <xf numFmtId="0" fontId="124" fillId="6" borderId="192" xfId="0" applyFont="1" applyFill="1" applyBorder="1" applyAlignment="1">
      <alignment horizontal="left" vertical="center" wrapText="1"/>
    </xf>
    <xf numFmtId="0" fontId="124" fillId="6" borderId="193" xfId="0" applyFont="1" applyFill="1" applyBorder="1" applyAlignment="1">
      <alignment horizontal="left" vertical="center" wrapText="1"/>
    </xf>
    <xf numFmtId="0" fontId="39" fillId="6" borderId="0" xfId="0" applyFont="1" applyFill="1" applyAlignment="1">
      <alignment horizontal="left"/>
    </xf>
    <xf numFmtId="1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32" fillId="0" borderId="73" xfId="0" applyFont="1" applyBorder="1" applyAlignment="1">
      <alignment horizontal="center"/>
    </xf>
    <xf numFmtId="0" fontId="32" fillId="0" borderId="74" xfId="0" applyFont="1" applyBorder="1" applyAlignment="1">
      <alignment horizontal="center"/>
    </xf>
    <xf numFmtId="0" fontId="32" fillId="0" borderId="113" xfId="0" applyFont="1" applyBorder="1" applyAlignment="1">
      <alignment horizontal="center"/>
    </xf>
    <xf numFmtId="0" fontId="34" fillId="0" borderId="89" xfId="0" applyFont="1" applyBorder="1" applyAlignment="1">
      <alignment horizontal="center" wrapText="1"/>
    </xf>
    <xf numFmtId="0" fontId="34" fillId="0" borderId="74" xfId="0" applyFont="1" applyBorder="1" applyAlignment="1">
      <alignment horizontal="center" wrapText="1"/>
    </xf>
    <xf numFmtId="0" fontId="34" fillId="0" borderId="113" xfId="0" applyFont="1" applyBorder="1" applyAlignment="1">
      <alignment horizontal="center" wrapText="1"/>
    </xf>
    <xf numFmtId="0" fontId="32" fillId="0" borderId="89" xfId="0" applyFont="1" applyBorder="1" applyAlignment="1">
      <alignment horizontal="center"/>
    </xf>
    <xf numFmtId="0" fontId="32" fillId="0" borderId="75" xfId="0" applyFont="1" applyBorder="1" applyAlignment="1">
      <alignment horizontal="center"/>
    </xf>
    <xf numFmtId="0" fontId="32" fillId="0" borderId="12" xfId="6" applyFont="1" applyBorder="1" applyAlignment="1">
      <alignment horizontal="center" vertical="center" wrapText="1"/>
    </xf>
    <xf numFmtId="0" fontId="32" fillId="0" borderId="14" xfId="6" applyFont="1" applyBorder="1" applyAlignment="1">
      <alignment horizontal="center" vertical="center" wrapText="1"/>
    </xf>
    <xf numFmtId="0" fontId="32" fillId="0" borderId="3" xfId="6" applyFont="1" applyBorder="1" applyAlignment="1">
      <alignment horizontal="center" vertical="center" wrapText="1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74" fillId="24" borderId="16" xfId="0" applyFont="1" applyFill="1" applyBorder="1" applyAlignment="1">
      <alignment horizontal="center"/>
    </xf>
    <xf numFmtId="0" fontId="74" fillId="24" borderId="17" xfId="0" applyFont="1" applyFill="1" applyBorder="1" applyAlignment="1">
      <alignment horizontal="center"/>
    </xf>
    <xf numFmtId="0" fontId="34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wrapText="1"/>
    </xf>
    <xf numFmtId="0" fontId="34" fillId="0" borderId="96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97" xfId="0" applyFont="1" applyBorder="1" applyAlignment="1">
      <alignment horizontal="center" vertical="center" wrapText="1"/>
    </xf>
    <xf numFmtId="0" fontId="34" fillId="0" borderId="99" xfId="0" applyFont="1" applyBorder="1" applyAlignment="1">
      <alignment horizontal="center" vertical="center" wrapText="1"/>
    </xf>
    <xf numFmtId="0" fontId="34" fillId="0" borderId="99" xfId="0" applyFont="1" applyBorder="1" applyAlignment="1">
      <alignment horizontal="center" vertical="center"/>
    </xf>
    <xf numFmtId="0" fontId="34" fillId="0" borderId="98" xfId="0" applyFont="1" applyBorder="1" applyAlignment="1">
      <alignment horizontal="center" wrapText="1"/>
    </xf>
    <xf numFmtId="0" fontId="34" fillId="0" borderId="95" xfId="0" applyFont="1" applyBorder="1" applyAlignment="1">
      <alignment horizontal="center" vertical="center"/>
    </xf>
    <xf numFmtId="0" fontId="34" fillId="0" borderId="96" xfId="0" applyFont="1" applyBorder="1" applyAlignment="1">
      <alignment horizontal="center" vertical="center"/>
    </xf>
    <xf numFmtId="0" fontId="32" fillId="0" borderId="96" xfId="0" applyFont="1" applyBorder="1" applyAlignment="1">
      <alignment horizontal="center" vertical="center"/>
    </xf>
    <xf numFmtId="0" fontId="40" fillId="0" borderId="4" xfId="0" applyFont="1" applyBorder="1" applyAlignment="1">
      <alignment horizontal="left" vertical="top" wrapText="1"/>
    </xf>
    <xf numFmtId="0" fontId="40" fillId="0" borderId="5" xfId="0" applyFont="1" applyBorder="1" applyAlignment="1">
      <alignment horizontal="left" vertical="top" wrapText="1"/>
    </xf>
    <xf numFmtId="0" fontId="40" fillId="0" borderId="6" xfId="0" applyFont="1" applyBorder="1" applyAlignment="1">
      <alignment horizontal="left" vertical="top" wrapText="1"/>
    </xf>
    <xf numFmtId="0" fontId="40" fillId="0" borderId="7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 wrapText="1"/>
    </xf>
    <xf numFmtId="0" fontId="40" fillId="0" borderId="10" xfId="0" applyFont="1" applyBorder="1" applyAlignment="1">
      <alignment horizontal="left" vertical="top" wrapText="1"/>
    </xf>
    <xf numFmtId="0" fontId="40" fillId="0" borderId="11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113" fillId="0" borderId="0" xfId="22" applyFont="1" applyAlignment="1">
      <alignment horizontal="left" vertical="center" wrapText="1"/>
    </xf>
    <xf numFmtId="9" fontId="104" fillId="0" borderId="15" xfId="27" applyFont="1" applyBorder="1" applyAlignment="1">
      <alignment horizontal="center" vertical="center" wrapText="1"/>
    </xf>
    <xf numFmtId="9" fontId="104" fillId="0" borderId="16" xfId="27" applyFont="1" applyBorder="1" applyAlignment="1">
      <alignment horizontal="center" vertical="center" wrapText="1"/>
    </xf>
    <xf numFmtId="9" fontId="104" fillId="0" borderId="17" xfId="27" applyFont="1" applyBorder="1" applyAlignment="1">
      <alignment horizontal="center" vertical="center" wrapText="1"/>
    </xf>
    <xf numFmtId="0" fontId="115" fillId="0" borderId="0" xfId="22" applyFont="1" applyAlignment="1">
      <alignment horizontal="left" vertical="center" wrapText="1"/>
    </xf>
    <xf numFmtId="0" fontId="104" fillId="0" borderId="15" xfId="22" applyBorder="1" applyAlignment="1">
      <alignment horizontal="center"/>
    </xf>
    <xf numFmtId="0" fontId="104" fillId="0" borderId="16" xfId="22" applyBorder="1" applyAlignment="1">
      <alignment horizontal="center"/>
    </xf>
    <xf numFmtId="0" fontId="104" fillId="0" borderId="17" xfId="22" applyBorder="1" applyAlignment="1">
      <alignment horizontal="center"/>
    </xf>
    <xf numFmtId="0" fontId="108" fillId="0" borderId="15" xfId="22" applyFont="1" applyBorder="1" applyAlignment="1">
      <alignment horizontal="center"/>
    </xf>
    <xf numFmtId="0" fontId="108" fillId="0" borderId="16" xfId="22" applyFont="1" applyBorder="1" applyAlignment="1">
      <alignment horizontal="center"/>
    </xf>
    <xf numFmtId="0" fontId="108" fillId="0" borderId="17" xfId="22" applyFont="1" applyBorder="1" applyAlignment="1">
      <alignment horizontal="center"/>
    </xf>
    <xf numFmtId="0" fontId="117" fillId="0" borderId="15" xfId="22" quotePrefix="1" applyFont="1" applyBorder="1" applyAlignment="1">
      <alignment horizontal="center" vertical="center" wrapText="1"/>
    </xf>
    <xf numFmtId="0" fontId="117" fillId="0" borderId="16" xfId="22" applyFont="1" applyBorder="1" applyAlignment="1">
      <alignment horizontal="center" vertical="center" wrapText="1"/>
    </xf>
    <xf numFmtId="0" fontId="117" fillId="0" borderId="17" xfId="22" applyFont="1" applyBorder="1" applyAlignment="1">
      <alignment horizontal="center" vertical="center" wrapText="1"/>
    </xf>
    <xf numFmtId="0" fontId="118" fillId="0" borderId="15" xfId="26" quotePrefix="1" applyFont="1" applyBorder="1" applyAlignment="1">
      <alignment horizontal="center" vertical="center" wrapText="1"/>
    </xf>
    <xf numFmtId="0" fontId="118" fillId="0" borderId="16" xfId="26" applyFont="1" applyBorder="1" applyAlignment="1">
      <alignment horizontal="center" vertical="center" wrapText="1"/>
    </xf>
    <xf numFmtId="0" fontId="118" fillId="0" borderId="17" xfId="26" applyFont="1" applyBorder="1" applyAlignment="1">
      <alignment horizontal="center" vertical="center" wrapText="1"/>
    </xf>
    <xf numFmtId="0" fontId="118" fillId="0" borderId="15" xfId="26" applyFont="1" applyBorder="1" applyAlignment="1">
      <alignment horizontal="center" vertical="center" wrapText="1"/>
    </xf>
    <xf numFmtId="0" fontId="106" fillId="0" borderId="0" xfId="22" applyFont="1" applyAlignment="1">
      <alignment horizontal="left" vertical="center" wrapText="1"/>
    </xf>
    <xf numFmtId="0" fontId="104" fillId="0" borderId="0" xfId="22" applyAlignment="1">
      <alignment horizontal="left" vertical="center" wrapText="1"/>
    </xf>
    <xf numFmtId="0" fontId="115" fillId="0" borderId="0" xfId="26" applyFont="1" applyAlignment="1">
      <alignment horizontal="left" vertical="center" wrapText="1"/>
    </xf>
    <xf numFmtId="0" fontId="113" fillId="0" borderId="0" xfId="26" applyFont="1" applyAlignment="1">
      <alignment horizontal="left" vertical="center" wrapText="1"/>
    </xf>
    <xf numFmtId="0" fontId="117" fillId="0" borderId="16" xfId="22" quotePrefix="1" applyFont="1" applyBorder="1" applyAlignment="1">
      <alignment horizontal="center" vertical="center" wrapText="1"/>
    </xf>
    <xf numFmtId="0" fontId="117" fillId="0" borderId="17" xfId="22" quotePrefix="1" applyFont="1" applyBorder="1" applyAlignment="1">
      <alignment horizontal="center" vertical="center" wrapText="1"/>
    </xf>
    <xf numFmtId="0" fontId="118" fillId="0" borderId="16" xfId="26" quotePrefix="1" applyFont="1" applyBorder="1" applyAlignment="1">
      <alignment horizontal="center" vertical="center" wrapText="1"/>
    </xf>
    <xf numFmtId="0" fontId="118" fillId="0" borderId="17" xfId="26" quotePrefix="1" applyFont="1" applyBorder="1" applyAlignment="1">
      <alignment horizontal="center" vertical="center" wrapText="1"/>
    </xf>
  </cellXfs>
  <cellStyles count="29">
    <cellStyle name="Huomautus" xfId="5" builtinId="10" customBuiltin="1"/>
    <cellStyle name="Huomautus 2" xfId="12" xr:uid="{6F9FC22B-A59A-4B64-9842-9C9FAC3DA567}"/>
    <cellStyle name="Huomautus 3" xfId="28" xr:uid="{DA7BE59D-A937-4FE8-9375-B7E517DBF677}"/>
    <cellStyle name="Hyperlinkki" xfId="7" builtinId="8"/>
    <cellStyle name="Hyvä" xfId="9" builtinId="26"/>
    <cellStyle name="Laskenta" xfId="3" builtinId="22"/>
    <cellStyle name="Laskenta 2" xfId="24" xr:uid="{BDE77E90-0477-4B8E-9DC2-5940FA7BC7AA}"/>
    <cellStyle name="Neutraali" xfId="14" builtinId="28"/>
    <cellStyle name="Normaali" xfId="0" builtinId="0" customBuiltin="1"/>
    <cellStyle name="Normaali 2" xfId="6" xr:uid="{D5014E46-54C9-43AC-A7DA-1996129660E7}"/>
    <cellStyle name="Normaali 2 2" xfId="18" xr:uid="{92B3063F-12F4-4670-838C-3886164D7F37}"/>
    <cellStyle name="Normaali 2 3" xfId="22" xr:uid="{C451BE9C-3F8D-402C-B804-9B322C8D5C9B}"/>
    <cellStyle name="Normaali 3" xfId="15" xr:uid="{78854980-9A6B-439C-B457-0C716A2BBA0A}"/>
    <cellStyle name="Normaali 3 2" xfId="16" xr:uid="{50D22356-8904-4C0E-A9FF-D3B58400AADF}"/>
    <cellStyle name="Normaali 3 3" xfId="20" xr:uid="{1BF26007-3286-4C24-911D-1D1365795493}"/>
    <cellStyle name="Normaali 4" xfId="17" xr:uid="{4B3EFA86-DAA3-44E9-B543-D2992C171014}"/>
    <cellStyle name="Normaali 5" xfId="19" xr:uid="{0D56D293-9128-420C-901E-3C5F618343E5}"/>
    <cellStyle name="Normaali 6" xfId="21" xr:uid="{495E5FC9-1FF0-4FD0-AE93-C07B31A75024}"/>
    <cellStyle name="Normaali 7" xfId="26" xr:uid="{C2EF7724-B485-4F37-B598-EF4426DE41D3}"/>
    <cellStyle name="Prosenttia" xfId="8" builtinId="5"/>
    <cellStyle name="Prosenttia 2" xfId="27" xr:uid="{503945F3-3945-4068-A9EE-B3D84BC8F303}"/>
    <cellStyle name="Selittävä teksti" xfId="4" builtinId="53"/>
    <cellStyle name="Syöttö" xfId="1" builtinId="20" customBuiltin="1"/>
    <cellStyle name="Syöttö 2" xfId="10" xr:uid="{9652CD16-B47B-4FD7-B9C8-AB4905FEADD6}"/>
    <cellStyle name="Syöttö 3" xfId="13" xr:uid="{BABBFB00-21DE-4FFB-A666-9383132DFB7A}"/>
    <cellStyle name="Syöttö 4" xfId="23" xr:uid="{31489F5F-F898-4065-B6D8-BBFB5F47A872}"/>
    <cellStyle name="Tulostus" xfId="2" builtinId="21" customBuiltin="1"/>
    <cellStyle name="Tulostus 2" xfId="11" xr:uid="{2FC676F6-4A7D-4790-BD27-8234C5B23B7F}"/>
    <cellStyle name="Tulostus 3" xfId="25" xr:uid="{A21EE81A-9336-4C2C-8FE0-B4A7FDE2AC52}"/>
  </cellStyles>
  <dxfs count="1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C00000"/>
      </font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CCCC"/>
      <color rgb="FFF1F5F9"/>
      <color rgb="FFE4ECF4"/>
      <color rgb="FFF8F8F8"/>
      <color rgb="FFFFFF00"/>
      <color rgb="FFFF0000"/>
      <color rgb="FFF2F2F2"/>
      <color rgb="FFFFFFFF"/>
      <color rgb="FFFDFDFD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eetMetadata" Target="metadata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6,5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'R-series'!$E$33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'R-series'!$E$39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'R-series'!$G$33</c:f>
              <c:numCache>
                <c:formatCode>0</c:formatCode>
                <c:ptCount val="1"/>
                <c:pt idx="0">
                  <c:v>44.6</c:v>
                </c:pt>
              </c:numCache>
            </c:numRef>
          </c:xVal>
          <c:yVal>
            <c:numRef>
              <c:f>'R-series'!$G$39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6,5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0B99BB1-6ABC-404D-94A3-E73556B294C8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401A4D-4BA3-9A49-A3B5-7ABF8C9683A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24F2FF5-AAD1-6B4D-B264-E90A4F46F44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E9704B1-8404-D24D-BEDA-CBADF5CE7F2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36.814967342900474</c:v>
                </c:pt>
                <c:pt idx="1">
                  <c:v>27.014459006801598</c:v>
                </c:pt>
                <c:pt idx="2">
                  <c:v>19.436728566723829</c:v>
                </c:pt>
                <c:pt idx="3">
                  <c:v>7.9390146933981729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400</c:v>
                </c:pt>
                <c:pt idx="1">
                  <c:v>220</c:v>
                </c:pt>
                <c:pt idx="2">
                  <c:v>110</c:v>
                </c:pt>
                <c:pt idx="3">
                  <c:v>34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6,5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3F2D03B3-FC7B-564E-99F6-35C6288706B8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348F55-862E-954A-9527-4F3E74A17D4D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196D94-9CCF-E846-84FC-8B741418D158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00BC6B0-794C-8343-A4F7-24BB2B6EC9AF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41.2632427578814</c:v>
                </c:pt>
                <c:pt idx="1">
                  <c:v>32.044849239800861</c:v>
                </c:pt>
                <c:pt idx="2">
                  <c:v>23.297949159489587</c:v>
                </c:pt>
                <c:pt idx="3">
                  <c:v>11.06772203702376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425</c:v>
                </c:pt>
                <c:pt idx="1">
                  <c:v>245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6,5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1</c:v>
                </c:pt>
                <c:pt idx="1">
                  <c:v>45.1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2.9990019714750661E-2</c:v>
                </c:pt>
                <c:pt idx="1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2</c:v>
                </c:pt>
                <c:pt idx="1">
                  <c:v>44.6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0.10858854994067847</c:v>
                </c:pt>
                <c:pt idx="1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45.1</c:v>
                </c:pt>
                <c:pt idx="1">
                  <c:v>54.12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61</c:v>
                </c:pt>
                <c:pt idx="1">
                  <c:v>87.839999999999975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44.6</c:v>
                </c:pt>
                <c:pt idx="1">
                  <c:v>53.52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54</c:v>
                </c:pt>
                <c:pt idx="1">
                  <c:v>77.760000000000005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C5'!$AJ$36:$AJ$38</c:f>
              <c:numCache>
                <c:formatCode>0.0</c:formatCode>
                <c:ptCount val="3"/>
                <c:pt idx="0">
                  <c:v>520.57234149989176</c:v>
                </c:pt>
                <c:pt idx="1">
                  <c:v>375.01172106082976</c:v>
                </c:pt>
                <c:pt idx="2">
                  <c:v>236.11548962916584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E2-47E8-AB35-040062CFD47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tulopuoli C5'!$AJ$34:$AJ$35</c:f>
              <c:numCache>
                <c:formatCode>0.0</c:formatCode>
                <c:ptCount val="2"/>
                <c:pt idx="0">
                  <c:v>591.88121584955013</c:v>
                </c:pt>
                <c:pt idx="1">
                  <c:v>555.01871648249949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E2-47E8-AB35-040062CFD47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C5'!$W$9</c:f>
              <c:numCache>
                <c:formatCode>0.00</c:formatCode>
                <c:ptCount val="1"/>
                <c:pt idx="0">
                  <c:v>7.7263330467075084</c:v>
                </c:pt>
              </c:numCache>
            </c:numRef>
          </c:xVal>
          <c:y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E2-47E8-AB35-040062CFD47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6119690741928938"/>
                  <c:y val="-2.55535870351574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E2-47E8-AB35-040062CFD47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C5'!$AR$36</c:f>
              <c:numCache>
                <c:formatCode>0.00</c:formatCode>
                <c:ptCount val="1"/>
                <c:pt idx="0">
                  <c:v>8.0778802122700597</c:v>
                </c:pt>
              </c:numCache>
            </c:numRef>
          </c:xVal>
          <c:yVal>
            <c:numRef>
              <c:f>'Laskenta tulopuoli C5'!$AO$36</c:f>
              <c:numCache>
                <c:formatCode>0.0</c:formatCode>
                <c:ptCount val="1"/>
                <c:pt idx="0">
                  <c:v>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E2-47E8-AB35-040062CF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  <c:pt idx="3">
                  <c:v>40.518458810699457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449.92503876963792</c:v>
                </c:pt>
                <c:pt idx="1">
                  <c:v>225.91961712586141</c:v>
                </c:pt>
                <c:pt idx="2">
                  <c:v>131.08037010370265</c:v>
                </c:pt>
                <c:pt idx="3">
                  <c:v>44.568690923452493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SäädataC!$L$3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33-49D9-830A-3EBB9DF44AF4}"/>
            </c:ext>
          </c:extLst>
        </c:ser>
        <c:ser>
          <c:idx val="1"/>
          <c:order val="1"/>
          <c:tx>
            <c:strRef>
              <c:f>SäädataC!$M$3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33-49D9-830A-3EBB9DF44AF4}"/>
            </c:ext>
          </c:extLst>
        </c:ser>
        <c:ser>
          <c:idx val="2"/>
          <c:order val="2"/>
          <c:tx>
            <c:strRef>
              <c:f>SäädataC!$N$3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33-49D9-830A-3EBB9DF44AF4}"/>
            </c:ext>
          </c:extLst>
        </c:ser>
        <c:ser>
          <c:idx val="3"/>
          <c:order val="3"/>
          <c:tx>
            <c:strRef>
              <c:f>SäädataC!$O$3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33-49D9-830A-3EBB9DF44AF4}"/>
            </c:ext>
          </c:extLst>
        </c:ser>
        <c:ser>
          <c:idx val="4"/>
          <c:order val="4"/>
          <c:tx>
            <c:strRef>
              <c:f>SäädataC!$P$3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33-49D9-830A-3EBB9DF44AF4}"/>
            </c:ext>
          </c:extLst>
        </c:ser>
        <c:ser>
          <c:idx val="5"/>
          <c:order val="5"/>
          <c:tx>
            <c:strRef>
              <c:f>SäädataC!$Q$3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33-49D9-830A-3EBB9DF44AF4}"/>
            </c:ext>
          </c:extLst>
        </c:ser>
        <c:ser>
          <c:idx val="6"/>
          <c:order val="6"/>
          <c:tx>
            <c:strRef>
              <c:f>SäädataC!$R$3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33-49D9-830A-3EBB9DF4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hyötysuhde'!$U$101:$U$108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84.993939024847521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60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General</c:formatCode>
                <c:ptCount val="6"/>
                <c:pt idx="0">
                  <c:v>82.5</c:v>
                </c:pt>
                <c:pt idx="1">
                  <c:v>82.5</c:v>
                </c:pt>
                <c:pt idx="2">
                  <c:v>82.5</c:v>
                </c:pt>
                <c:pt idx="3">
                  <c:v>82.4</c:v>
                </c:pt>
                <c:pt idx="4">
                  <c:v>81.5</c:v>
                </c:pt>
                <c:pt idx="5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82.462083333333339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60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General</c:formatCode>
                <c:ptCount val="7"/>
                <c:pt idx="0">
                  <c:v>84</c:v>
                </c:pt>
                <c:pt idx="1">
                  <c:v>83.7</c:v>
                </c:pt>
                <c:pt idx="2">
                  <c:v>83.5</c:v>
                </c:pt>
                <c:pt idx="3">
                  <c:v>83.2</c:v>
                </c:pt>
                <c:pt idx="4">
                  <c:v>82</c:v>
                </c:pt>
                <c:pt idx="5">
                  <c:v>80.2</c:v>
                </c:pt>
                <c:pt idx="6">
                  <c:v>80.2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83.38624999999999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C5'!$X$59:$X$70</c:f>
              <c:numCache>
                <c:formatCode>0.0</c:formatCode>
                <c:ptCount val="12"/>
                <c:pt idx="0">
                  <c:v>110.18915387804911</c:v>
                </c:pt>
                <c:pt idx="1">
                  <c:v>136.43414354966512</c:v>
                </c:pt>
                <c:pt idx="2">
                  <c:v>244.34577649341912</c:v>
                </c:pt>
                <c:pt idx="3">
                  <c:v>287.92378430542857</c:v>
                </c:pt>
                <c:pt idx="4">
                  <c:v>325.00060286575126</c:v>
                </c:pt>
                <c:pt idx="5">
                  <c:v>367.67696731313396</c:v>
                </c:pt>
                <c:pt idx="6">
                  <c:v>422.40029469418704</c:v>
                </c:pt>
                <c:pt idx="7">
                  <c:v>458.55440474029535</c:v>
                </c:pt>
                <c:pt idx="8">
                  <c:v>502.5198255229879</c:v>
                </c:pt>
                <c:pt idx="9">
                  <c:v>538.99940207028442</c:v>
                </c:pt>
                <c:pt idx="10">
                  <c:v>576.22666298714682</c:v>
                </c:pt>
                <c:pt idx="11">
                  <c:v>616.02444621087636</c:v>
                </c:pt>
              </c:numCache>
            </c:numRef>
          </c:xVal>
          <c:yVal>
            <c:numRef>
              <c:f>'Laskenta tulopuoli C5'!$Y$59:$Y$70</c:f>
              <c:numCache>
                <c:formatCode>0.0</c:formatCode>
                <c:ptCount val="12"/>
                <c:pt idx="0">
                  <c:v>595.93760715020903</c:v>
                </c:pt>
                <c:pt idx="1">
                  <c:v>615.30503087383704</c:v>
                </c:pt>
                <c:pt idx="2">
                  <c:v>686.56237760659815</c:v>
                </c:pt>
                <c:pt idx="3">
                  <c:v>731.12241183796675</c:v>
                </c:pt>
                <c:pt idx="4">
                  <c:v>725.58635672098774</c:v>
                </c:pt>
                <c:pt idx="5">
                  <c:v>725.45298360357344</c:v>
                </c:pt>
                <c:pt idx="6">
                  <c:v>715.66926214595003</c:v>
                </c:pt>
                <c:pt idx="7">
                  <c:v>725.92923935658655</c:v>
                </c:pt>
                <c:pt idx="8">
                  <c:v>726.01319961048898</c:v>
                </c:pt>
                <c:pt idx="9">
                  <c:v>723.10259129668827</c:v>
                </c:pt>
                <c:pt idx="10">
                  <c:v>725.5132088142559</c:v>
                </c:pt>
                <c:pt idx="11">
                  <c:v>718.75363130123674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3-4B57-94F3-876AD0EA3B21}"/>
            </c:ext>
          </c:extLst>
        </c:ser>
        <c:ser>
          <c:idx val="1"/>
          <c:order val="1"/>
          <c:tx>
            <c:strRef>
              <c:f>'Laskenta tulopuoli C5'!$W$73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C5'!$X$73:$X$81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C5'!$Y$73:$Y$81</c:f>
              <c:numCache>
                <c:formatCode>0.0</c:formatCode>
                <c:ptCount val="9"/>
                <c:pt idx="0">
                  <c:v>334.32405536817663</c:v>
                </c:pt>
                <c:pt idx="1">
                  <c:v>372.63604278483638</c:v>
                </c:pt>
                <c:pt idx="2">
                  <c:v>430.72261723601497</c:v>
                </c:pt>
                <c:pt idx="3">
                  <c:v>464.73565247258693</c:v>
                </c:pt>
                <c:pt idx="4">
                  <c:v>482.62744042958218</c:v>
                </c:pt>
                <c:pt idx="5">
                  <c:v>495.34300948889341</c:v>
                </c:pt>
                <c:pt idx="6">
                  <c:v>499.73023062619956</c:v>
                </c:pt>
                <c:pt idx="7">
                  <c:v>503.17968984604948</c:v>
                </c:pt>
                <c:pt idx="8">
                  <c:v>503.04986857377685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3-4B57-94F3-876AD0EA3B21}"/>
            </c:ext>
          </c:extLst>
        </c:ser>
        <c:ser>
          <c:idx val="2"/>
          <c:order val="2"/>
          <c:tx>
            <c:strRef>
              <c:f>'Laskenta tulopuoli C5'!$W$84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C5'!$X$84:$X$89</c:f>
              <c:numCache>
                <c:formatCode>0.0</c:formatCode>
                <c:ptCount val="6"/>
                <c:pt idx="0">
                  <c:v>386.47731571014606</c:v>
                </c:pt>
                <c:pt idx="1">
                  <c:v>355.90538751815342</c:v>
                </c:pt>
                <c:pt idx="2">
                  <c:v>292.8673076125429</c:v>
                </c:pt>
                <c:pt idx="3">
                  <c:v>201.68191762748367</c:v>
                </c:pt>
                <c:pt idx="4">
                  <c:v>93.238346141265808</c:v>
                </c:pt>
                <c:pt idx="5">
                  <c:v>68.604450793153305</c:v>
                </c:pt>
              </c:numCache>
            </c:numRef>
          </c:xVal>
          <c:yVal>
            <c:numRef>
              <c:f>'Laskenta tulopuoli C5'!$Y$84:$Y$89</c:f>
              <c:numCache>
                <c:formatCode>0.0</c:formatCode>
                <c:ptCount val="6"/>
                <c:pt idx="0">
                  <c:v>218.05587529074802</c:v>
                </c:pt>
                <c:pt idx="1">
                  <c:v>217.64280457984552</c:v>
                </c:pt>
                <c:pt idx="2">
                  <c:v>210.05668755065179</c:v>
                </c:pt>
                <c:pt idx="3">
                  <c:v>191.05362970131466</c:v>
                </c:pt>
                <c:pt idx="4">
                  <c:v>155.45689299810556</c:v>
                </c:pt>
                <c:pt idx="5">
                  <c:v>143.2885911431818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3-4B57-94F3-876AD0EA3B21}"/>
            </c:ext>
          </c:extLst>
        </c:ser>
        <c:ser>
          <c:idx val="3"/>
          <c:order val="3"/>
          <c:tx>
            <c:strRef>
              <c:f>'Laskenta tulopuoli C5'!$W$92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C5'!$X$92:$X$95</c:f>
              <c:numCache>
                <c:formatCode>0.0</c:formatCode>
                <c:ptCount val="4"/>
                <c:pt idx="0">
                  <c:v>53.292289119833931</c:v>
                </c:pt>
                <c:pt idx="1">
                  <c:v>104.21651001085566</c:v>
                </c:pt>
                <c:pt idx="2">
                  <c:v>167.5410329672066</c:v>
                </c:pt>
                <c:pt idx="3">
                  <c:v>216.84638045748369</c:v>
                </c:pt>
              </c:numCache>
            </c:numRef>
          </c:xVal>
          <c:yVal>
            <c:numRef>
              <c:f>'Laskenta tulopuoli C5'!$Y$92:$Y$95</c:f>
              <c:numCache>
                <c:formatCode>0.0</c:formatCode>
                <c:ptCount val="4"/>
                <c:pt idx="0">
                  <c:v>55.971420297200829</c:v>
                </c:pt>
                <c:pt idx="1">
                  <c:v>63.723843132930966</c:v>
                </c:pt>
                <c:pt idx="2">
                  <c:v>71.321981885103696</c:v>
                </c:pt>
                <c:pt idx="3">
                  <c:v>75.281589498576281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3-4B57-94F3-876AD0EA3B21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C5'!$AC$34:$AC$38</c:f>
              <c:numCache>
                <c:formatCode>0.0</c:formatCode>
                <c:ptCount val="5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C5'!$AE$34:$AE$37</c:f>
              <c:numCache>
                <c:formatCode>0.0</c:formatCode>
                <c:ptCount val="4"/>
                <c:pt idx="0">
                  <c:v>715.75594137394239</c:v>
                </c:pt>
                <c:pt idx="1">
                  <c:v>503.08528936114942</c:v>
                </c:pt>
                <c:pt idx="2">
                  <c:v>218.02285028376485</c:v>
                </c:pt>
                <c:pt idx="3">
                  <c:v>76.474130721699012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73-4B57-94F3-876AD0EA3B2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C5'!$W$13</c:f>
              <c:numCache>
                <c:formatCode>0.0</c:formatCode>
                <c:ptCount val="1"/>
                <c:pt idx="0">
                  <c:v>450.53909890148327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73-4B57-94F3-876AD0EA3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LÄM-1'!$D$22:$H$22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LÄM-1'!$D$21:$H$21</c:f>
              <c:numCache>
                <c:formatCode>General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75-4062-9629-6ECC059FCF5D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LÄM-1'!$I$21:$K$21</c:f>
              <c:numCache>
                <c:formatCode>General</c:formatCode>
                <c:ptCount val="3"/>
                <c:pt idx="0">
                  <c:v>7.2</c:v>
                </c:pt>
                <c:pt idx="1">
                  <c:v>9.6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75-4062-9629-6ECC059FCF5D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75-4062-9629-6ECC059F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LÄM-1'!$D$22:$N$22</c:f>
              <c:numCache>
                <c:formatCode>0.000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LÄM-1'!$D$27:$N$27</c:f>
              <c:numCache>
                <c:formatCode>General</c:formatCode>
                <c:ptCount val="11"/>
                <c:pt idx="0">
                  <c:v>3.6</c:v>
                </c:pt>
                <c:pt idx="1">
                  <c:v>7.1</c:v>
                </c:pt>
                <c:pt idx="2">
                  <c:v>11.6</c:v>
                </c:pt>
                <c:pt idx="3">
                  <c:v>17</c:v>
                </c:pt>
                <c:pt idx="4">
                  <c:v>23.1</c:v>
                </c:pt>
                <c:pt idx="5">
                  <c:v>7.1</c:v>
                </c:pt>
                <c:pt idx="6">
                  <c:v>11.6</c:v>
                </c:pt>
                <c:pt idx="7">
                  <c:v>17</c:v>
                </c:pt>
                <c:pt idx="8">
                  <c:v>7.1</c:v>
                </c:pt>
                <c:pt idx="9">
                  <c:v>11.6</c:v>
                </c:pt>
                <c:pt idx="10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5E-4C5A-B263-F5F49374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LÄM-1'!$D$31:$N$31</c:f>
              <c:numCache>
                <c:formatCode>General</c:formatCode>
                <c:ptCount val="11"/>
                <c:pt idx="0">
                  <c:v>7.0000000000000007E-2</c:v>
                </c:pt>
                <c:pt idx="1">
                  <c:v>0.11</c:v>
                </c:pt>
                <c:pt idx="2">
                  <c:v>0.14000000000000001</c:v>
                </c:pt>
                <c:pt idx="3">
                  <c:v>0.18</c:v>
                </c:pt>
                <c:pt idx="4">
                  <c:v>0.26</c:v>
                </c:pt>
                <c:pt idx="5">
                  <c:v>0.09</c:v>
                </c:pt>
                <c:pt idx="6">
                  <c:v>0.12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0.11</c:v>
                </c:pt>
              </c:numCache>
            </c:numRef>
          </c:xVal>
          <c:yVal>
            <c:numRef>
              <c:f>'C5 LÄM-1'!$D$33:$N$33</c:f>
              <c:numCache>
                <c:formatCode>General</c:formatCode>
                <c:ptCount val="11"/>
                <c:pt idx="0">
                  <c:v>1</c:v>
                </c:pt>
                <c:pt idx="1">
                  <c:v>2.2000000000000002</c:v>
                </c:pt>
                <c:pt idx="2">
                  <c:v>3.8</c:v>
                </c:pt>
                <c:pt idx="3">
                  <c:v>5.8</c:v>
                </c:pt>
                <c:pt idx="4">
                  <c:v>11.2</c:v>
                </c:pt>
                <c:pt idx="5">
                  <c:v>1.4</c:v>
                </c:pt>
                <c:pt idx="6">
                  <c:v>2.5</c:v>
                </c:pt>
                <c:pt idx="7">
                  <c:v>3.8</c:v>
                </c:pt>
                <c:pt idx="8">
                  <c:v>0.8</c:v>
                </c:pt>
                <c:pt idx="9">
                  <c:v>1.4</c:v>
                </c:pt>
                <c:pt idx="10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8-428A-BD5A-E4FDCAFB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LÄM-1'!$R$28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LÄM-1'!$S$28:$S$30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LÄM-1'!$T$28:$T$30</c:f>
              <c:numCache>
                <c:formatCode>General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2E-4A9F-85D0-9B0D3B3712C1}"/>
            </c:ext>
          </c:extLst>
        </c:ser>
        <c:ser>
          <c:idx val="1"/>
          <c:order val="1"/>
          <c:tx>
            <c:strRef>
              <c:f>'C5 LÄM-1'!$R$33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LÄM-1'!$S$33:$S$35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LÄM-1'!$T$33:$T$35</c:f>
              <c:numCache>
                <c:formatCode>General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2E-4A9F-85D0-9B0D3B3712C1}"/>
            </c:ext>
          </c:extLst>
        </c:ser>
        <c:ser>
          <c:idx val="2"/>
          <c:order val="2"/>
          <c:tx>
            <c:strRef>
              <c:f>'C5 LÄM-1'!$R$38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LÄM-1'!$S$38:$S$40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LÄM-1'!$T$38:$T$40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2E-4A9F-85D0-9B0D3B3712C1}"/>
            </c:ext>
          </c:extLst>
        </c:ser>
        <c:ser>
          <c:idx val="3"/>
          <c:order val="3"/>
          <c:tx>
            <c:strRef>
              <c:f>'C5 LÄM-1'!$R$44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LÄM-1'!$S$44:$S$46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27.424074738735396</c:v>
                </c:pt>
              </c:numCache>
            </c:numRef>
          </c:xVal>
          <c:yVal>
            <c:numRef>
              <c:f>'C5 LÄM-1'!$T$44:$T$46</c:f>
              <c:numCache>
                <c:formatCode>General</c:formatCode>
                <c:ptCount val="3"/>
                <c:pt idx="0">
                  <c:v>15.000000000000002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2E-4A9F-85D0-9B0D3B3712C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LÄM-1'!$T$14</c:f>
              <c:numCache>
                <c:formatCode>0.0</c:formatCode>
                <c:ptCount val="1"/>
                <c:pt idx="0">
                  <c:v>32.981846782572561</c:v>
                </c:pt>
              </c:numCache>
            </c:numRef>
          </c:xVal>
          <c:yVal>
            <c:numRef>
              <c:f>'C5 LÄM-1'!$T$13</c:f>
              <c:numCache>
                <c:formatCode>0.00</c:formatCode>
                <c:ptCount val="1"/>
                <c:pt idx="0">
                  <c:v>15.864298347042688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2E-4A9F-85D0-9B0D3B3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LÄM-1'!$AA$28</c:f>
              <c:strCache>
                <c:ptCount val="1"/>
                <c:pt idx="0">
                  <c:v>32,4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LÄM-1'!$AB$28:$AB$30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LÄM-1'!$AC$28:$AC$30</c:f>
              <c:numCache>
                <c:formatCode>0.0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1F-455B-913F-FC245146A8B8}"/>
            </c:ext>
          </c:extLst>
        </c:ser>
        <c:ser>
          <c:idx val="1"/>
          <c:order val="1"/>
          <c:tx>
            <c:strRef>
              <c:f>'C5 LÄM-1'!$AA$33</c:f>
              <c:strCache>
                <c:ptCount val="1"/>
                <c:pt idx="0">
                  <c:v>30,0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LÄM-1'!$AB$33:$AB$35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LÄM-1'!$AC$33:$AC$35</c:f>
              <c:numCache>
                <c:formatCode>0.0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1F-455B-913F-FC245146A8B8}"/>
            </c:ext>
          </c:extLst>
        </c:ser>
        <c:ser>
          <c:idx val="2"/>
          <c:order val="2"/>
          <c:tx>
            <c:strRef>
              <c:f>'C5 LÄM-1'!$AA$38</c:f>
              <c:strCache>
                <c:ptCount val="1"/>
                <c:pt idx="0">
                  <c:v>27,4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LÄM-1'!$AB$38:$AB$40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LÄM-1'!$AC$38:$AC$40</c:f>
              <c:numCache>
                <c:formatCode>0.0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1F-455B-913F-FC245146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LÄM-2'!$D$22:$H$22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LÄM-2'!$D$21:$H$21</c:f>
              <c:numCache>
                <c:formatCode>0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 formatCode="General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A1-4D64-A0CC-3D5BF8417F67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LÄM-2'!$I$21:$K$21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A1-4D64-A0CC-3D5BF8417F67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A1-4D64-A0CC-3D5BF8417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LÄM-2'!$D$22:$N$22</c:f>
              <c:numCache>
                <c:formatCode>General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LÄM-2'!$D$27:$N$27</c:f>
              <c:numCache>
                <c:formatCode>General</c:formatCode>
                <c:ptCount val="11"/>
                <c:pt idx="0">
                  <c:v>5.7</c:v>
                </c:pt>
                <c:pt idx="1">
                  <c:v>11.2</c:v>
                </c:pt>
                <c:pt idx="2">
                  <c:v>18.2</c:v>
                </c:pt>
                <c:pt idx="3">
                  <c:v>26.6</c:v>
                </c:pt>
                <c:pt idx="4">
                  <c:v>36.1</c:v>
                </c:pt>
                <c:pt idx="5">
                  <c:v>11.2</c:v>
                </c:pt>
                <c:pt idx="6">
                  <c:v>18.2</c:v>
                </c:pt>
                <c:pt idx="7">
                  <c:v>26.6</c:v>
                </c:pt>
                <c:pt idx="8">
                  <c:v>11.2</c:v>
                </c:pt>
                <c:pt idx="9">
                  <c:v>18.2</c:v>
                </c:pt>
                <c:pt idx="10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C-4FBD-B1CD-8F696444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LÄM-2'!$D$31:$N$31</c:f>
              <c:numCache>
                <c:formatCode>General</c:formatCode>
                <c:ptCount val="11"/>
                <c:pt idx="0">
                  <c:v>0.14000000000000001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0.36</c:v>
                </c:pt>
                <c:pt idx="4">
                  <c:v>0.51</c:v>
                </c:pt>
                <c:pt idx="5">
                  <c:v>0.27</c:v>
                </c:pt>
                <c:pt idx="6">
                  <c:v>0.57999999999999996</c:v>
                </c:pt>
                <c:pt idx="7">
                  <c:v>0.72</c:v>
                </c:pt>
                <c:pt idx="8">
                  <c:v>0.14000000000000001</c:v>
                </c:pt>
                <c:pt idx="9">
                  <c:v>0.17</c:v>
                </c:pt>
                <c:pt idx="10">
                  <c:v>0.23</c:v>
                </c:pt>
              </c:numCache>
            </c:numRef>
          </c:xVal>
          <c:yVal>
            <c:numRef>
              <c:f>'C5 LÄM-2'!$D$33:$N$33</c:f>
              <c:numCache>
                <c:formatCode>General</c:formatCode>
                <c:ptCount val="11"/>
                <c:pt idx="0">
                  <c:v>0.3</c:v>
                </c:pt>
                <c:pt idx="1">
                  <c:v>0.8</c:v>
                </c:pt>
                <c:pt idx="2">
                  <c:v>1.3</c:v>
                </c:pt>
                <c:pt idx="3" formatCode="0.00">
                  <c:v>2</c:v>
                </c:pt>
                <c:pt idx="4">
                  <c:v>3.9</c:v>
                </c:pt>
                <c:pt idx="5">
                  <c:v>1.2</c:v>
                </c:pt>
                <c:pt idx="6">
                  <c:v>5</c:v>
                </c:pt>
                <c:pt idx="7">
                  <c:v>7.6</c:v>
                </c:pt>
                <c:pt idx="8">
                  <c:v>0.3</c:v>
                </c:pt>
                <c:pt idx="9">
                  <c:v>0.7</c:v>
                </c:pt>
                <c:pt idx="10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3-4212-9FDD-451B75C8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LÄM-2'!$R$29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LÄM-2'!$S$29:$S$31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17.75</c:v>
                </c:pt>
              </c:numCache>
            </c:numRef>
          </c:xVal>
          <c:yVal>
            <c:numRef>
              <c:f>'C5 LÄM-2'!$T$29:$T$31</c:f>
              <c:numCache>
                <c:formatCode>0</c:formatCode>
                <c:ptCount val="3"/>
                <c:pt idx="0" formatCode="General">
                  <c:v>15</c:v>
                </c:pt>
                <c:pt idx="1">
                  <c:v>15</c:v>
                </c:pt>
                <c:pt idx="2" formatCode="General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1E-47C2-8561-1AD14E058BBB}"/>
            </c:ext>
          </c:extLst>
        </c:ser>
        <c:ser>
          <c:idx val="1"/>
          <c:order val="1"/>
          <c:tx>
            <c:strRef>
              <c:f>'C5 LÄM-2'!$R$34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LÄM-2'!$S$34:$S$36</c:f>
              <c:numCache>
                <c:formatCode>0.0</c:formatCode>
                <c:ptCount val="3"/>
                <c:pt idx="0">
                  <c:v>22.5</c:v>
                </c:pt>
                <c:pt idx="1">
                  <c:v>25</c:v>
                </c:pt>
                <c:pt idx="2">
                  <c:v>17.5</c:v>
                </c:pt>
              </c:numCache>
            </c:numRef>
          </c:xVal>
          <c:yVal>
            <c:numRef>
              <c:f>'C5 LÄM-2'!$T$34:$T$36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1E-47C2-8561-1AD14E058BBB}"/>
            </c:ext>
          </c:extLst>
        </c:ser>
        <c:ser>
          <c:idx val="2"/>
          <c:order val="2"/>
          <c:tx>
            <c:strRef>
              <c:f>'C5 LÄM-2'!$R$39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LÄM-2'!$S$39:$S$41</c:f>
              <c:numCache>
                <c:formatCode>0.0</c:formatCode>
                <c:ptCount val="3"/>
                <c:pt idx="0">
                  <c:v>22.5</c:v>
                </c:pt>
                <c:pt idx="1">
                  <c:v>23.5</c:v>
                </c:pt>
                <c:pt idx="2">
                  <c:v>17.75</c:v>
                </c:pt>
              </c:numCache>
            </c:numRef>
          </c:xVal>
          <c:yVal>
            <c:numRef>
              <c:f>'C5 LÄM-2'!$T$39:$T$41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1E-47C2-8561-1AD14E058BBB}"/>
            </c:ext>
          </c:extLst>
        </c:ser>
        <c:ser>
          <c:idx val="3"/>
          <c:order val="3"/>
          <c:tx>
            <c:strRef>
              <c:f>'C5 LÄM-2'!$R$45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LÄM-2'!$S$45:$S$47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17.5</c:v>
                </c:pt>
              </c:numCache>
            </c:numRef>
          </c:xVal>
          <c:yVal>
            <c:numRef>
              <c:f>'C5 LÄM-2'!$T$45:$T$47</c:f>
              <c:numCache>
                <c:formatCode>0.0</c:formatCode>
                <c:ptCount val="3"/>
                <c:pt idx="0">
                  <c:v>15.915533832659793</c:v>
                </c:pt>
                <c:pt idx="1">
                  <c:v>13.515563794486896</c:v>
                </c:pt>
                <c:pt idx="2">
                  <c:v>9.1466222342633721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1E-47C2-8561-1AD14E058BB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LÄM-2'!$T$14</c:f>
              <c:numCache>
                <c:formatCode>0.0</c:formatCode>
                <c:ptCount val="1"/>
                <c:pt idx="0">
                  <c:v>24.946939165282107</c:v>
                </c:pt>
              </c:numCache>
            </c:numRef>
          </c:xVal>
          <c:yVal>
            <c:numRef>
              <c:f>'C5 LÄM-2'!$T$13</c:f>
              <c:numCache>
                <c:formatCode>0.00</c:formatCode>
                <c:ptCount val="1"/>
                <c:pt idx="0">
                  <c:v>15.864298347042688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1E-47C2-8561-1AD14E05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8753361599030889"/>
                  <c:y val="-0.767820603417841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C5'!$AB$6:$AB$12</c:f>
              <c:numCache>
                <c:formatCode>0.0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'Laskenta tulopuoli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B-4B68-8693-D6AB832AB7C3}"/>
            </c:ext>
          </c:extLst>
        </c:ser>
        <c:ser>
          <c:idx val="1"/>
          <c:order val="1"/>
          <c:tx>
            <c:strRef>
              <c:f>'Laskenta tulopuoli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057924490207955"/>
                  <c:y val="-0.67255598093015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C5'!$AD$6:$AD$12</c:f>
              <c:numCache>
                <c:formatCode>0.0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'Laskenta tulopuoli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B-4B68-8693-D6AB832AB7C3}"/>
            </c:ext>
          </c:extLst>
        </c:ser>
        <c:ser>
          <c:idx val="2"/>
          <c:order val="2"/>
          <c:tx>
            <c:strRef>
              <c:f>'Laskenta tulopuoli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0958429234807188"/>
                  <c:y val="-0.564742157224931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C5'!$AF$6:$AF$11</c:f>
              <c:numCache>
                <c:formatCode>0.0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'Laskenta tulopuoli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B-4B68-8693-D6AB832AB7C3}"/>
            </c:ext>
          </c:extLst>
        </c:ser>
        <c:ser>
          <c:idx val="3"/>
          <c:order val="3"/>
          <c:tx>
            <c:strRef>
              <c:f>'Laskenta tulopuoli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8.0201090248334342E-2"/>
                  <c:y val="-0.460646051578507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C5'!$AH$6:$AH$10</c:f>
              <c:numCache>
                <c:formatCode>0.0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'Laskenta tulopuoli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B-4B68-8693-D6AB832AB7C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C5'!$L$3</c:f>
              <c:numCache>
                <c:formatCode>0.0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B-4B68-8693-D6AB832AB7C3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C5'!$AD$34:$AD$37</c:f>
              <c:numCache>
                <c:formatCode>0.0</c:formatCode>
                <c:ptCount val="4"/>
                <c:pt idx="0">
                  <c:v>208.79273071062266</c:v>
                </c:pt>
                <c:pt idx="1">
                  <c:v>161.51335538986905</c:v>
                </c:pt>
                <c:pt idx="2">
                  <c:v>83.817739396071261</c:v>
                </c:pt>
                <c:pt idx="3">
                  <c:v>33.227312567921189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32B-4B68-8693-D6AB832AB7C3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C5'!$O$23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C5'!$O$24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32B-4B68-8693-D6AB832AB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LÄM-2'!$AA$29</c:f>
              <c:strCache>
                <c:ptCount val="1"/>
                <c:pt idx="0">
                  <c:v>25,0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LÄM-2'!$AB$29:$AB$31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LÄM-2'!$AC$29:$AC$31</c:f>
              <c:numCache>
                <c:formatCode>0.0</c:formatCode>
                <c:ptCount val="3"/>
                <c:pt idx="0">
                  <c:v>16.073544387839885</c:v>
                </c:pt>
                <c:pt idx="1">
                  <c:v>12.833266122834702</c:v>
                </c:pt>
                <c:pt idx="2">
                  <c:v>10.541051188910068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7-46A6-BABF-A834A59E802E}"/>
            </c:ext>
          </c:extLst>
        </c:ser>
        <c:ser>
          <c:idx val="1"/>
          <c:order val="1"/>
          <c:tx>
            <c:strRef>
              <c:f>'C5 LÄM-2'!$AA$34</c:f>
              <c:strCache>
                <c:ptCount val="1"/>
                <c:pt idx="0">
                  <c:v>22,5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LÄM-2'!$AB$34:$AB$36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LÄM-2'!$AC$34:$AC$36</c:f>
              <c:numCache>
                <c:formatCode>0.0</c:formatCode>
                <c:ptCount val="3"/>
                <c:pt idx="0">
                  <c:v>13.574765257070025</c:v>
                </c:pt>
                <c:pt idx="1">
                  <c:v>10.909428814001723</c:v>
                </c:pt>
                <c:pt idx="2">
                  <c:v>8.5993011464321931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77-46A6-BABF-A834A59E802E}"/>
            </c:ext>
          </c:extLst>
        </c:ser>
        <c:ser>
          <c:idx val="2"/>
          <c:order val="2"/>
          <c:tx>
            <c:strRef>
              <c:f>'C5 LÄM-2'!$AA$39</c:f>
              <c:strCache>
                <c:ptCount val="1"/>
                <c:pt idx="0">
                  <c:v>17,5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LÄM-2'!$AB$39:$AB$41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LÄM-2'!$AC$39:$AC$41</c:f>
              <c:numCache>
                <c:formatCode>0.0</c:formatCode>
                <c:ptCount val="3"/>
                <c:pt idx="0">
                  <c:v>9.0719787128122888</c:v>
                </c:pt>
                <c:pt idx="1">
                  <c:v>7.405523687730204</c:v>
                </c:pt>
                <c:pt idx="2">
                  <c:v>5.2912075339416216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77-46A6-BABF-A834A59E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JÄ-1'!$D$21:$H$21</c:f>
              <c:numCache>
                <c:formatCode>General</c:formatCode>
                <c:ptCount val="5"/>
                <c:pt idx="0">
                  <c:v>3.8</c:v>
                </c:pt>
                <c:pt idx="1">
                  <c:v>5.2</c:v>
                </c:pt>
                <c:pt idx="2">
                  <c:v>6</c:v>
                </c:pt>
                <c:pt idx="3">
                  <c:v>7</c:v>
                </c:pt>
                <c:pt idx="4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16-4951-AAFE-A6AF4E1DF35D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JÄ-1'!$I$21:$K$21</c:f>
              <c:numCache>
                <c:formatCode>General</c:formatCode>
                <c:ptCount val="3"/>
                <c:pt idx="0">
                  <c:v>6.3</c:v>
                </c:pt>
                <c:pt idx="1">
                  <c:v>7.7</c:v>
                </c:pt>
                <c:pt idx="2">
                  <c:v>8.8000000000000007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16-4951-AAFE-A6AF4E1DF35D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JÄ-1'!$L$21:$N$21</c:f>
              <c:numCache>
                <c:formatCode>General</c:formatCode>
                <c:ptCount val="3"/>
                <c:pt idx="0">
                  <c:v>3.2</c:v>
                </c:pt>
                <c:pt idx="1">
                  <c:v>4.0999999999999996</c:v>
                </c:pt>
                <c:pt idx="2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16-4951-AAFE-A6AF4E1DF35D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JÄ-1'!$O$22:$Q$22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JÄ-1'!$O$21:$Q$21</c:f>
              <c:numCache>
                <c:formatCode>General</c:formatCode>
                <c:ptCount val="3"/>
                <c:pt idx="0">
                  <c:v>3.7</c:v>
                </c:pt>
                <c:pt idx="1">
                  <c:v>4.4000000000000004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16-4951-AAFE-A6AF4E1DF35D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JÄ-1'!$R$22:$V$22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JÄ-1'!$R$21:$V$21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3.2</c:v>
                </c:pt>
                <c:pt idx="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16-4951-AAFE-A6AF4E1D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JÄ-1'!$D$22:$V$22</c:f>
              <c:numCache>
                <c:formatCode>General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JÄ-1'!$D$31:$V$31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16.399999999999999</c:v>
                </c:pt>
                <c:pt idx="3">
                  <c:v>24.1</c:v>
                </c:pt>
                <c:pt idx="4">
                  <c:v>32.9</c:v>
                </c:pt>
                <c:pt idx="5">
                  <c:v>10</c:v>
                </c:pt>
                <c:pt idx="6">
                  <c:v>16.399999999999999</c:v>
                </c:pt>
                <c:pt idx="7">
                  <c:v>24.1</c:v>
                </c:pt>
                <c:pt idx="8">
                  <c:v>10</c:v>
                </c:pt>
                <c:pt idx="9">
                  <c:v>16.399999999999999</c:v>
                </c:pt>
                <c:pt idx="10">
                  <c:v>24.1</c:v>
                </c:pt>
                <c:pt idx="11">
                  <c:v>10</c:v>
                </c:pt>
                <c:pt idx="12">
                  <c:v>16.399999999999999</c:v>
                </c:pt>
                <c:pt idx="13">
                  <c:v>24.1</c:v>
                </c:pt>
                <c:pt idx="14">
                  <c:v>5</c:v>
                </c:pt>
                <c:pt idx="15">
                  <c:v>10</c:v>
                </c:pt>
                <c:pt idx="16">
                  <c:v>16.399999999999999</c:v>
                </c:pt>
                <c:pt idx="17">
                  <c:v>24.1</c:v>
                </c:pt>
                <c:pt idx="18">
                  <c:v>32.9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32-4C2D-B078-83E3CBE00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JÄ-1'!$D$35:$Q$35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0.15</c:v>
                </c:pt>
                <c:pt idx="9">
                  <c:v>0.19</c:v>
                </c:pt>
                <c:pt idx="10">
                  <c:v>0.23</c:v>
                </c:pt>
                <c:pt idx="11">
                  <c:v>0.18</c:v>
                </c:pt>
                <c:pt idx="12">
                  <c:v>0.21</c:v>
                </c:pt>
                <c:pt idx="13">
                  <c:v>0.25</c:v>
                </c:pt>
              </c:numCache>
            </c:numRef>
          </c:xVal>
          <c:yVal>
            <c:numRef>
              <c:f>'C5 JÄ-1'!$D$37:$Q$37</c:f>
              <c:numCache>
                <c:formatCode>General</c:formatCode>
                <c:ptCount val="14"/>
                <c:pt idx="0">
                  <c:v>3.6</c:v>
                </c:pt>
                <c:pt idx="1">
                  <c:v>6.4</c:v>
                </c:pt>
                <c:pt idx="2">
                  <c:v>8.5</c:v>
                </c:pt>
                <c:pt idx="3">
                  <c:v>11.4</c:v>
                </c:pt>
                <c:pt idx="4">
                  <c:v>14</c:v>
                </c:pt>
                <c:pt idx="5">
                  <c:v>9.4</c:v>
                </c:pt>
                <c:pt idx="6">
                  <c:v>13.5</c:v>
                </c:pt>
                <c:pt idx="7">
                  <c:v>17.399999999999999</c:v>
                </c:pt>
                <c:pt idx="8">
                  <c:v>2.6</c:v>
                </c:pt>
                <c:pt idx="9">
                  <c:v>4</c:v>
                </c:pt>
                <c:pt idx="10">
                  <c:v>5.6</c:v>
                </c:pt>
                <c:pt idx="11">
                  <c:v>3.3</c:v>
                </c:pt>
                <c:pt idx="12">
                  <c:v>4.7</c:v>
                </c:pt>
                <c:pt idx="13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A-44E7-8FE1-E9514A887AAC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JÄ-1'!$R$35:$V$35</c:f>
              <c:numCache>
                <c:formatCode>General</c:formatCode>
                <c:ptCount val="5"/>
                <c:pt idx="0">
                  <c:v>0.12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</c:numCache>
            </c:numRef>
          </c:xVal>
          <c:yVal>
            <c:numRef>
              <c:f>'C5 JÄ-1'!$R$37:$V$37</c:f>
              <c:numCache>
                <c:formatCode>General</c:formatCode>
                <c:ptCount val="5"/>
                <c:pt idx="0">
                  <c:v>3.4</c:v>
                </c:pt>
                <c:pt idx="1">
                  <c:v>3.9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A-44E7-8FE1-E9514A88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JÄ-1'!$E$83:$E$85</c:f>
              <c:numCache>
                <c:formatCode>0.0</c:formatCode>
                <c:ptCount val="3"/>
                <c:pt idx="0">
                  <c:v>13.850000000000001</c:v>
                </c:pt>
                <c:pt idx="1">
                  <c:v>11.3</c:v>
                </c:pt>
                <c:pt idx="2">
                  <c:v>8.8500000000000014</c:v>
                </c:pt>
              </c:numCache>
            </c:numRef>
          </c:xVal>
          <c:yVal>
            <c:numRef>
              <c:f>'C5 JÄ-1'!$G$83:$G$85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18-44A8-B881-924555409A61}"/>
            </c:ext>
          </c:extLst>
        </c:ser>
        <c:ser>
          <c:idx val="1"/>
          <c:order val="1"/>
          <c:tx>
            <c:strRef>
              <c:f>'C5 JÄ-1'!$D$90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JÄ-1'!$E$90:$E$92</c:f>
              <c:numCache>
                <c:formatCode>0.0</c:formatCode>
                <c:ptCount val="3"/>
                <c:pt idx="0">
                  <c:v>13.55</c:v>
                </c:pt>
                <c:pt idx="1">
                  <c:v>11.100000000000001</c:v>
                </c:pt>
                <c:pt idx="2">
                  <c:v>8.75</c:v>
                </c:pt>
              </c:numCache>
            </c:numRef>
          </c:xVal>
          <c:yVal>
            <c:numRef>
              <c:f>'C5 JÄ-1'!$G$90:$G$92</c:f>
              <c:numCache>
                <c:formatCode>General</c:formatCode>
                <c:ptCount val="3"/>
                <c:pt idx="0">
                  <c:v>7.7</c:v>
                </c:pt>
                <c:pt idx="1">
                  <c:v>6</c:v>
                </c:pt>
                <c:pt idx="2">
                  <c:v>4.4000000000000004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18-44A8-B881-924555409A61}"/>
            </c:ext>
          </c:extLst>
        </c:ser>
        <c:ser>
          <c:idx val="2"/>
          <c:order val="2"/>
          <c:tx>
            <c:strRef>
              <c:f>'C5 JÄ-1'!$D$97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JÄ-1'!$E$97:$E$99</c:f>
              <c:numCache>
                <c:formatCode>0.0</c:formatCode>
                <c:ptCount val="3"/>
                <c:pt idx="0">
                  <c:v>13.25</c:v>
                </c:pt>
                <c:pt idx="1">
                  <c:v>10.8</c:v>
                </c:pt>
                <c:pt idx="2">
                  <c:v>8.5</c:v>
                </c:pt>
              </c:numCache>
            </c:numRef>
          </c:xVal>
          <c:yVal>
            <c:numRef>
              <c:f>'C5 JÄ-1'!$G$97:$G$99</c:f>
              <c:numCache>
                <c:formatCode>General</c:formatCode>
                <c:ptCount val="3"/>
                <c:pt idx="0">
                  <c:v>6.3</c:v>
                </c:pt>
                <c:pt idx="1">
                  <c:v>5.2</c:v>
                </c:pt>
                <c:pt idx="2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18-44A8-B881-924555409A61}"/>
            </c:ext>
          </c:extLst>
        </c:ser>
        <c:ser>
          <c:idx val="3"/>
          <c:order val="3"/>
          <c:tx>
            <c:strRef>
              <c:f>'C5 JÄ-1'!$D$106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JÄ-1'!$F$106:$F$108</c:f>
              <c:numCache>
                <c:formatCode>0.0</c:formatCode>
                <c:ptCount val="3"/>
                <c:pt idx="0">
                  <c:v>13</c:v>
                </c:pt>
                <c:pt idx="1">
                  <c:v>10.5</c:v>
                </c:pt>
                <c:pt idx="2">
                  <c:v>7</c:v>
                </c:pt>
              </c:numCache>
            </c:numRef>
          </c:xVal>
          <c:yVal>
            <c:numRef>
              <c:f>'C5 JÄ-1'!$G$106:$G$108</c:f>
              <c:numCache>
                <c:formatCode>General</c:formatCode>
                <c:ptCount val="3"/>
                <c:pt idx="0">
                  <c:v>8.2078624506075357</c:v>
                </c:pt>
                <c:pt idx="1">
                  <c:v>6.3383157615811667</c:v>
                </c:pt>
                <c:pt idx="2">
                  <c:v>3.8802371965593272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18-44A8-B881-924555409A6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JÄ-1'!$X$97</c:f>
              <c:numCache>
                <c:formatCode>0.0</c:formatCode>
                <c:ptCount val="1"/>
                <c:pt idx="0">
                  <c:v>11.599789107534603</c:v>
                </c:pt>
              </c:numCache>
            </c:numRef>
          </c:xVal>
          <c:yVal>
            <c:numRef>
              <c:f>'C5 JÄ-1'!$X$96</c:f>
              <c:numCache>
                <c:formatCode>0.00</c:formatCode>
                <c:ptCount val="1"/>
                <c:pt idx="0">
                  <c:v>7.1504031737389919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18-44A8-B881-924555409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JÄ-1'!$N$104</c:f>
              <c:strCache>
                <c:ptCount val="1"/>
                <c:pt idx="0">
                  <c:v>13,0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JÄ-1'!$P$104:$P$106</c:f>
              <c:numCache>
                <c:formatCode>0.0</c:formatCode>
                <c:ptCount val="3"/>
                <c:pt idx="0">
                  <c:v>8.198568787238246</c:v>
                </c:pt>
                <c:pt idx="1">
                  <c:v>7.3173159961893077</c:v>
                </c:pt>
                <c:pt idx="2">
                  <c:v>6.2757535548480359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D-4BE1-A946-869F7B144FC7}"/>
            </c:ext>
          </c:extLst>
        </c:ser>
        <c:ser>
          <c:idx val="1"/>
          <c:order val="1"/>
          <c:tx>
            <c:strRef>
              <c:f>'C5 JÄ-1'!$N$110</c:f>
              <c:strCache>
                <c:ptCount val="1"/>
                <c:pt idx="0">
                  <c:v>10,5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JÄ-1'!$P$110:$P$112</c:f>
              <c:numCache>
                <c:formatCode>0.0</c:formatCode>
                <c:ptCount val="3"/>
                <c:pt idx="0">
                  <c:v>6.3775722745262851</c:v>
                </c:pt>
                <c:pt idx="1">
                  <c:v>5.5666187617468674</c:v>
                </c:pt>
                <c:pt idx="2">
                  <c:v>4.8515659678806156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2D-4BE1-A946-869F7B144FC7}"/>
            </c:ext>
          </c:extLst>
        </c:ser>
        <c:ser>
          <c:idx val="2"/>
          <c:order val="2"/>
          <c:tx>
            <c:strRef>
              <c:f>'C5 JÄ-1'!$N$116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JÄ-1'!$P$116:$P$118</c:f>
              <c:numCache>
                <c:formatCode>0.0</c:formatCode>
                <c:ptCount val="3"/>
                <c:pt idx="0">
                  <c:v>3.9588102383936485</c:v>
                </c:pt>
                <c:pt idx="1">
                  <c:v>3.3122869154402719</c:v>
                </c:pt>
                <c:pt idx="2">
                  <c:v>2.976205510151559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2D-4BE1-A946-869F7B144FC7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JÄ-1'!$D$106,'C5 JÄ-1'!$D$107,'C5 JÄ-1'!$D$108)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('C5 JÄ-1'!$G$106,'C5 JÄ-1'!$G$107,'C5 JÄ-1'!$G$108)</c:f>
              <c:numCache>
                <c:formatCode>General</c:formatCode>
                <c:ptCount val="3"/>
                <c:pt idx="0">
                  <c:v>8.2078624506075357</c:v>
                </c:pt>
                <c:pt idx="1">
                  <c:v>6.3383157615811667</c:v>
                </c:pt>
                <c:pt idx="2">
                  <c:v>3.8802371965593272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2D-4BE1-A946-869F7B14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JÄ-1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'C5 JÄ-1'!$AC$26:$AP$26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</c:numCache>
            </c:numRef>
          </c:xVal>
          <c:yVal>
            <c:numRef>
              <c:f>'C5 JÄ-1'!$AC$29:$AP$29</c:f>
              <c:numCache>
                <c:formatCode>0%</c:formatCode>
                <c:ptCount val="14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  <c:pt idx="11">
                  <c:v>0.75513827693765045</c:v>
                </c:pt>
                <c:pt idx="12">
                  <c:v>0.75412873378666423</c:v>
                </c:pt>
                <c:pt idx="13">
                  <c:v>0.753231362096899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4-4D4E-9575-D4EF41FE32DB}"/>
            </c:ext>
          </c:extLst>
        </c:ser>
        <c:ser>
          <c:idx val="1"/>
          <c:order val="1"/>
          <c:tx>
            <c:v>Täysin kondensoiva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7455203870698091"/>
                  <c:y val="-0.158376536512285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JÄ-1'!$AC$26:$AM$26</c:f>
              <c:numCache>
                <c:formatCode>General</c:formatCode>
                <c:ptCount val="11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</c:numCache>
            </c:numRef>
          </c:xVal>
          <c:yVal>
            <c:numRef>
              <c:f>'C5 JÄ-1'!$AC$29:$AM$29</c:f>
              <c:numCache>
                <c:formatCode>0%</c:formatCode>
                <c:ptCount val="11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4-4D4E-9575-D4EF41FE3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82464"/>
        <c:axId val="1835383424"/>
      </c:scatterChart>
      <c:valAx>
        <c:axId val="183538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3424"/>
        <c:crosses val="autoZero"/>
        <c:crossBetween val="midCat"/>
      </c:valAx>
      <c:valAx>
        <c:axId val="18353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Kosteussisällön pieneminen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2.6275709317180804E-2"/>
                  <c:y val="-0.215207559160163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JÄ-1'!$AC$23:$AP$23</c:f>
              <c:numCache>
                <c:formatCode>0%</c:formatCode>
                <c:ptCount val="14"/>
                <c:pt idx="0">
                  <c:v>2.1904621465538554</c:v>
                </c:pt>
                <c:pt idx="1">
                  <c:v>2.1904621465538554</c:v>
                </c:pt>
                <c:pt idx="2">
                  <c:v>2.1904621465538554</c:v>
                </c:pt>
                <c:pt idx="3">
                  <c:v>2.1904621465538554</c:v>
                </c:pt>
                <c:pt idx="4">
                  <c:v>2.1904621465538554</c:v>
                </c:pt>
                <c:pt idx="5">
                  <c:v>1.9500432944955954</c:v>
                </c:pt>
                <c:pt idx="6">
                  <c:v>1.9500432944955954</c:v>
                </c:pt>
                <c:pt idx="7">
                  <c:v>1.9500432944955954</c:v>
                </c:pt>
                <c:pt idx="8">
                  <c:v>1.5904621465538553</c:v>
                </c:pt>
                <c:pt idx="9">
                  <c:v>1.5904621465538553</c:v>
                </c:pt>
                <c:pt idx="10">
                  <c:v>1.5904621465538553</c:v>
                </c:pt>
                <c:pt idx="11">
                  <c:v>0.76845821940737835</c:v>
                </c:pt>
                <c:pt idx="12">
                  <c:v>0.76845821940737835</c:v>
                </c:pt>
                <c:pt idx="13">
                  <c:v>0.76845821940737835</c:v>
                </c:pt>
              </c:numCache>
            </c:numRef>
          </c:xVal>
          <c:yVal>
            <c:numRef>
              <c:f>'C5 JÄ-1'!$AC$12:$AP$12</c:f>
              <c:numCache>
                <c:formatCode>0.0\ %</c:formatCode>
                <c:ptCount val="14"/>
                <c:pt idx="0">
                  <c:v>0.17526869915198262</c:v>
                </c:pt>
                <c:pt idx="1">
                  <c:v>0.14228298565235642</c:v>
                </c:pt>
                <c:pt idx="2">
                  <c:v>0.1171979301809758</c:v>
                </c:pt>
                <c:pt idx="3">
                  <c:v>9.3987875824834033E-2</c:v>
                </c:pt>
                <c:pt idx="4">
                  <c:v>8.5729626937465109E-2</c:v>
                </c:pt>
                <c:pt idx="5">
                  <c:v>8.9692304590656136E-2</c:v>
                </c:pt>
                <c:pt idx="6">
                  <c:v>6.3146210492028287E-2</c:v>
                </c:pt>
                <c:pt idx="7">
                  <c:v>3.6088006950185769E-2</c:v>
                </c:pt>
                <c:pt idx="8">
                  <c:v>7.0230198356522222E-2</c:v>
                </c:pt>
                <c:pt idx="9">
                  <c:v>4.9635931228286578E-2</c:v>
                </c:pt>
                <c:pt idx="10">
                  <c:v>3.7322713209637648E-2</c:v>
                </c:pt>
                <c:pt idx="11">
                  <c:v>6.8888727463567445E-4</c:v>
                </c:pt>
                <c:pt idx="12">
                  <c:v>4.407626866794967E-3</c:v>
                </c:pt>
                <c:pt idx="13">
                  <c:v>3.4060563305741143E-3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44-41EB-ADCA-5AA3A2BC4B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4"/>
            <c:dispRSqr val="0"/>
            <c:dispEq val="0"/>
          </c:trendline>
          <c:xVal>
            <c:numRef>
              <c:f>'C5 JÄ-1'!$AQ$23:$BD$23</c:f>
              <c:numCache>
                <c:formatCode>General</c:formatCode>
                <c:ptCount val="14"/>
              </c:numCache>
            </c:numRef>
          </c:xVal>
          <c:yVal>
            <c:numRef>
              <c:f>'C5 JÄ-1'!$AQ$12:$BD$12</c:f>
              <c:numCache>
                <c:formatCode>General</c:formatCode>
                <c:ptCount val="1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44-41EB-ADCA-5AA3A2BC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733824"/>
        <c:axId val="1808731424"/>
      </c:scatterChart>
      <c:valAx>
        <c:axId val="180873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Osuus vesilämpötila-alueesta (&gt;100 % täysin kondensoiva, &lt; 100 % osittain kondensoiva)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1424"/>
        <c:crosses val="autoZero"/>
        <c:crossBetween val="midCat"/>
      </c:valAx>
      <c:valAx>
        <c:axId val="18087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Kosteussisällön lasku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JÄ-2'!$D$21:$H$21</c:f>
              <c:numCache>
                <c:formatCode>General</c:formatCode>
                <c:ptCount val="5"/>
                <c:pt idx="0">
                  <c:v>1.9</c:v>
                </c:pt>
                <c:pt idx="1">
                  <c:v>2.2999999999999998</c:v>
                </c:pt>
                <c:pt idx="2">
                  <c:v>4.8</c:v>
                </c:pt>
                <c:pt idx="3">
                  <c:v>5.6</c:v>
                </c:pt>
                <c:pt idx="4">
                  <c:v>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E8-4D9F-8A1C-B4284268CC1C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JÄ-2'!$I$21:$K$21</c:f>
              <c:numCache>
                <c:formatCode>General</c:formatCode>
                <c:ptCount val="3"/>
                <c:pt idx="0">
                  <c:v>3.4</c:v>
                </c:pt>
                <c:pt idx="1">
                  <c:v>4.3</c:v>
                </c:pt>
                <c:pt idx="2">
                  <c:v>5.0999999999999996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E8-4D9F-8A1C-B4284268CC1C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JÄ-2'!$L$21:$N$21</c:f>
              <c:numCache>
                <c:formatCode>General</c:formatCode>
                <c:ptCount val="3"/>
                <c:pt idx="0">
                  <c:v>5.7</c:v>
                </c:pt>
                <c:pt idx="1">
                  <c:v>6.9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E8-4D9F-8A1C-B4284268CC1C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JÄ-2'!$O$22:$Q$22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JÄ-2'!$O$21:$Q$21</c:f>
              <c:numCache>
                <c:formatCode>General</c:formatCode>
                <c:ptCount val="3"/>
                <c:pt idx="0">
                  <c:v>5.2</c:v>
                </c:pt>
                <c:pt idx="1">
                  <c:v>6.3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E8-4D9F-8A1C-B4284268CC1C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JÄ-2'!$R$22:$V$22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JÄ-2'!$R$21:$V$21</c:f>
              <c:numCache>
                <c:formatCode>General</c:formatCode>
                <c:ptCount val="5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2.2000000000000002</c:v>
                </c:pt>
                <c:pt idx="4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E8-4D9F-8A1C-B4284268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JÄ-2'!$D$22:$V$22</c:f>
              <c:numCache>
                <c:formatCode>0.000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JÄ-2'!$D$31:$V$31</c:f>
              <c:numCache>
                <c:formatCode>General</c:formatCode>
                <c:ptCount val="19"/>
                <c:pt idx="0">
                  <c:v>6.7</c:v>
                </c:pt>
                <c:pt idx="1">
                  <c:v>13.4</c:v>
                </c:pt>
                <c:pt idx="2">
                  <c:v>21.9</c:v>
                </c:pt>
                <c:pt idx="3">
                  <c:v>32.1</c:v>
                </c:pt>
                <c:pt idx="4">
                  <c:v>43.8</c:v>
                </c:pt>
                <c:pt idx="5">
                  <c:v>13.4</c:v>
                </c:pt>
                <c:pt idx="6">
                  <c:v>21.9</c:v>
                </c:pt>
                <c:pt idx="7">
                  <c:v>32.1</c:v>
                </c:pt>
                <c:pt idx="8">
                  <c:v>13.4</c:v>
                </c:pt>
                <c:pt idx="9">
                  <c:v>21.9</c:v>
                </c:pt>
                <c:pt idx="10">
                  <c:v>32.1</c:v>
                </c:pt>
                <c:pt idx="11">
                  <c:v>13.4</c:v>
                </c:pt>
                <c:pt idx="12">
                  <c:v>21.9</c:v>
                </c:pt>
                <c:pt idx="13">
                  <c:v>32.1</c:v>
                </c:pt>
                <c:pt idx="14">
                  <c:v>6.7</c:v>
                </c:pt>
                <c:pt idx="15">
                  <c:v>13.4</c:v>
                </c:pt>
                <c:pt idx="16">
                  <c:v>21.9</c:v>
                </c:pt>
                <c:pt idx="17">
                  <c:v>32.1</c:v>
                </c:pt>
                <c:pt idx="18">
                  <c:v>43.8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4-4387-81D1-132211CA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Suodattimet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475409011373578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C5'!$BG$9:$BG$13</c:f>
              <c:numCache>
                <c:formatCode>0.0</c:formatCode>
                <c:ptCount val="5"/>
                <c:pt idx="0">
                  <c:v>616.19844494351491</c:v>
                </c:pt>
                <c:pt idx="1">
                  <c:v>589.81331595633981</c:v>
                </c:pt>
                <c:pt idx="2">
                  <c:v>398.23114566001288</c:v>
                </c:pt>
                <c:pt idx="3">
                  <c:v>279.75020595412758</c:v>
                </c:pt>
                <c:pt idx="4">
                  <c:v>152.44227895465414</c:v>
                </c:pt>
              </c:numCache>
            </c:numRef>
          </c:xVal>
          <c:yVal>
            <c:numRef>
              <c:f>'Laskenta tulopuoli C5'!$BH$9:$BH$13</c:f>
              <c:numCache>
                <c:formatCode>0.0</c:formatCode>
                <c:ptCount val="5"/>
                <c:pt idx="0">
                  <c:v>144.333</c:v>
                </c:pt>
                <c:pt idx="1">
                  <c:v>138.11699999999999</c:v>
                </c:pt>
                <c:pt idx="2">
                  <c:v>82.931000000000012</c:v>
                </c:pt>
                <c:pt idx="3">
                  <c:v>53.301000000000002</c:v>
                </c:pt>
                <c:pt idx="4">
                  <c:v>25.874000000000002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3-4575-99E6-015AEF2B91A6}"/>
            </c:ext>
          </c:extLst>
        </c:ser>
        <c:ser>
          <c:idx val="1"/>
          <c:order val="1"/>
          <c:tx>
            <c:strRef>
              <c:f>'Laskenta tulopuoli C5'!$BJ$7</c:f>
              <c:strCache>
                <c:ptCount val="1"/>
                <c:pt idx="0">
                  <c:v>ePM 65% 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798510498687664"/>
                  <c:y val="-0.118470034995625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C5'!$BJ$9:$BJ$17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C5'!$BK$9:$BK$17</c:f>
              <c:numCache>
                <c:formatCode>0.0</c:formatCode>
                <c:ptCount val="9"/>
                <c:pt idx="0">
                  <c:v>11.728</c:v>
                </c:pt>
                <c:pt idx="1">
                  <c:v>19.863000000000003</c:v>
                </c:pt>
                <c:pt idx="2">
                  <c:v>34.451000000000001</c:v>
                </c:pt>
                <c:pt idx="3">
                  <c:v>44.194000000000003</c:v>
                </c:pt>
                <c:pt idx="4">
                  <c:v>54.279999999999994</c:v>
                </c:pt>
                <c:pt idx="5">
                  <c:v>61.194999999999993</c:v>
                </c:pt>
                <c:pt idx="6">
                  <c:v>69.11699999999999</c:v>
                </c:pt>
                <c:pt idx="7">
                  <c:v>77.183000000000007</c:v>
                </c:pt>
                <c:pt idx="8">
                  <c:v>81.073999999999998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3-4575-99E6-015AEF2B91A6}"/>
            </c:ext>
          </c:extLst>
        </c:ser>
        <c:ser>
          <c:idx val="2"/>
          <c:order val="2"/>
          <c:tx>
            <c:strRef>
              <c:f>'Laskenta tulopuoli C5'!$BM$7</c:f>
              <c:strCache>
                <c:ptCount val="1"/>
                <c:pt idx="0">
                  <c:v>ePM10 50% 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3266010498687664"/>
                  <c:y val="-9.68172207640711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C5'!$BM$9:$BM$13</c:f>
              <c:numCache>
                <c:formatCode>0.0</c:formatCode>
                <c:ptCount val="5"/>
                <c:pt idx="0">
                  <c:v>147.37290418265499</c:v>
                </c:pt>
                <c:pt idx="1">
                  <c:v>238.16859601854648</c:v>
                </c:pt>
                <c:pt idx="2">
                  <c:v>349.7764409051448</c:v>
                </c:pt>
                <c:pt idx="3">
                  <c:v>409.0468858558321</c:v>
                </c:pt>
                <c:pt idx="4">
                  <c:v>498.8209699968836</c:v>
                </c:pt>
              </c:numCache>
            </c:numRef>
          </c:xVal>
          <c:yVal>
            <c:numRef>
              <c:f>'Laskenta tulopuoli C5'!$BN$9:$BN$13</c:f>
              <c:numCache>
                <c:formatCode>0.0</c:formatCode>
                <c:ptCount val="5"/>
                <c:pt idx="0">
                  <c:v>5.5680000000000005</c:v>
                </c:pt>
                <c:pt idx="1">
                  <c:v>9.8779999999999983</c:v>
                </c:pt>
                <c:pt idx="2">
                  <c:v>16.643000000000001</c:v>
                </c:pt>
                <c:pt idx="3">
                  <c:v>20.114999999999998</c:v>
                </c:pt>
                <c:pt idx="4">
                  <c:v>26.437999999999999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33-4575-99E6-015AEF2B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11056"/>
        <c:axId val="63909616"/>
      </c:scatterChart>
      <c:valAx>
        <c:axId val="6391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09616"/>
        <c:crosses val="autoZero"/>
        <c:crossBetween val="midCat"/>
      </c:valAx>
      <c:valAx>
        <c:axId val="639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1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JÄ-2'!$D$35:$Q$35</c:f>
              <c:numCache>
                <c:formatCode>General</c:formatCode>
                <c:ptCount val="14"/>
                <c:pt idx="0">
                  <c:v>0.06</c:v>
                </c:pt>
                <c:pt idx="1">
                  <c:v>7.0000000000000007E-2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0.17</c:v>
                </c:pt>
                <c:pt idx="5">
                  <c:v>0.1</c:v>
                </c:pt>
                <c:pt idx="6">
                  <c:v>0.13</c:v>
                </c:pt>
                <c:pt idx="7">
                  <c:v>0.15</c:v>
                </c:pt>
                <c:pt idx="8">
                  <c:v>0.17</c:v>
                </c:pt>
                <c:pt idx="9">
                  <c:v>0.21</c:v>
                </c:pt>
                <c:pt idx="10">
                  <c:v>0.24</c:v>
                </c:pt>
                <c:pt idx="11">
                  <c:v>0.25</c:v>
                </c:pt>
                <c:pt idx="12">
                  <c:v>0.3</c:v>
                </c:pt>
                <c:pt idx="13">
                  <c:v>0.34</c:v>
                </c:pt>
              </c:numCache>
            </c:numRef>
          </c:xVal>
          <c:yVal>
            <c:numRef>
              <c:f>'C5 JÄ-2'!$D$37:$Q$37</c:f>
              <c:numCache>
                <c:formatCode>General</c:formatCode>
                <c:ptCount val="14"/>
                <c:pt idx="0">
                  <c:v>1.3</c:v>
                </c:pt>
                <c:pt idx="1">
                  <c:v>1.6</c:v>
                </c:pt>
                <c:pt idx="2">
                  <c:v>8.1999999999999993</c:v>
                </c:pt>
                <c:pt idx="3">
                  <c:v>10.9</c:v>
                </c:pt>
                <c:pt idx="4">
                  <c:v>12</c:v>
                </c:pt>
                <c:pt idx="5">
                  <c:v>4.3</c:v>
                </c:pt>
                <c:pt idx="6">
                  <c:v>6.6</c:v>
                </c:pt>
                <c:pt idx="7">
                  <c:v>9.3000000000000007</c:v>
                </c:pt>
                <c:pt idx="8">
                  <c:v>11.5</c:v>
                </c:pt>
                <c:pt idx="9">
                  <c:v>16.600000000000001</c:v>
                </c:pt>
                <c:pt idx="10">
                  <c:v>21.6</c:v>
                </c:pt>
                <c:pt idx="11">
                  <c:v>23.8</c:v>
                </c:pt>
                <c:pt idx="12">
                  <c:v>34.299999999999997</c:v>
                </c:pt>
                <c:pt idx="13">
                  <c:v>42.6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64-4933-8099-D6599CA932BD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JÄ-2'!$R$35:$V$35</c:f>
              <c:numCache>
                <c:formatCode>General</c:formatCode>
                <c:ptCount val="5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</c:numCache>
            </c:numRef>
          </c:xVal>
          <c:yVal>
            <c:numRef>
              <c:f>'C5 JÄ-2'!$R$37:$V$37</c:f>
              <c:numCache>
                <c:formatCode>General</c:formatCode>
                <c:ptCount val="5"/>
                <c:pt idx="0">
                  <c:v>2.9</c:v>
                </c:pt>
                <c:pt idx="1">
                  <c:v>3.3</c:v>
                </c:pt>
                <c:pt idx="2">
                  <c:v>3.7</c:v>
                </c:pt>
                <c:pt idx="3">
                  <c:v>3.9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64-4933-8099-D6599CA9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JÄ-2'!$E$83:$E$85</c:f>
              <c:numCache>
                <c:formatCode>0.0</c:formatCode>
                <c:ptCount val="3"/>
                <c:pt idx="0">
                  <c:v>6.8500000000000014</c:v>
                </c:pt>
                <c:pt idx="1">
                  <c:v>7.1999999999999993</c:v>
                </c:pt>
                <c:pt idx="2">
                  <c:v>8.25</c:v>
                </c:pt>
              </c:numCache>
            </c:numRef>
          </c:xVal>
          <c:yVal>
            <c:numRef>
              <c:f>'C5 JÄ-2'!$G$83:$G$85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5.6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F-4A6D-9DBB-0B38F3079BF7}"/>
            </c:ext>
          </c:extLst>
        </c:ser>
        <c:ser>
          <c:idx val="1"/>
          <c:order val="1"/>
          <c:tx>
            <c:strRef>
              <c:f>'C5 JÄ-2'!$D$90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JÄ-2'!$E$90:$E$92</c:f>
              <c:numCache>
                <c:formatCode>0.0</c:formatCode>
                <c:ptCount val="3"/>
                <c:pt idx="0">
                  <c:v>6.6499999999999986</c:v>
                </c:pt>
                <c:pt idx="1">
                  <c:v>7.0500000000000007</c:v>
                </c:pt>
                <c:pt idx="2">
                  <c:v>8</c:v>
                </c:pt>
              </c:numCache>
            </c:numRef>
          </c:xVal>
          <c:yVal>
            <c:numRef>
              <c:f>'C5 JÄ-2'!$G$90:$G$92</c:f>
              <c:numCache>
                <c:formatCode>General</c:formatCode>
                <c:ptCount val="3"/>
                <c:pt idx="0">
                  <c:v>4.3</c:v>
                </c:pt>
                <c:pt idx="1">
                  <c:v>4.8</c:v>
                </c:pt>
                <c:pt idx="2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F-4A6D-9DBB-0B38F3079BF7}"/>
            </c:ext>
          </c:extLst>
        </c:ser>
        <c:ser>
          <c:idx val="2"/>
          <c:order val="2"/>
          <c:tx>
            <c:strRef>
              <c:f>'C5 JÄ-2'!$D$97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JÄ-2'!$E$97:$E$99</c:f>
              <c:numCache>
                <c:formatCode>0.0</c:formatCode>
                <c:ptCount val="3"/>
                <c:pt idx="0">
                  <c:v>6.3999999999999986</c:v>
                </c:pt>
                <c:pt idx="1">
                  <c:v>7.75</c:v>
                </c:pt>
                <c:pt idx="2">
                  <c:v>7.75</c:v>
                </c:pt>
              </c:numCache>
            </c:numRef>
          </c:xVal>
          <c:yVal>
            <c:numRef>
              <c:f>'C5 JÄ-2'!$G$97:$G$99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5F-4A6D-9DBB-0B38F3079BF7}"/>
            </c:ext>
          </c:extLst>
        </c:ser>
        <c:ser>
          <c:idx val="3"/>
          <c:order val="3"/>
          <c:tx>
            <c:strRef>
              <c:f>'C5 JÄ-2'!$D$106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JÄ-2'!$E$106:$E$108</c:f>
              <c:numCache>
                <c:formatCode>0.0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xVal>
          <c:yVal>
            <c:numRef>
              <c:f>'C5 JÄ-2'!$G$106:$G$108</c:f>
              <c:numCache>
                <c:formatCode>General</c:formatCode>
                <c:ptCount val="3"/>
                <c:pt idx="0">
                  <c:v>18.661881757111551</c:v>
                </c:pt>
                <c:pt idx="1">
                  <c:v>12.050466709140974</c:v>
                </c:pt>
                <c:pt idx="2">
                  <c:v>5.3088111275115848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5F-4A6D-9DBB-0B38F3079BF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JÄ-2'!$X$94</c:f>
              <c:numCache>
                <c:formatCode>General</c:formatCode>
                <c:ptCount val="1"/>
              </c:numCache>
            </c:numRef>
          </c:xVal>
          <c:yVal>
            <c:numRef>
              <c:f>'C5 JÄ-2'!$X$93</c:f>
              <c:numCache>
                <c:formatCode>0.0</c:formatCode>
                <c:ptCount val="1"/>
                <c:pt idx="0">
                  <c:v>17.952310732769277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5F-4A6D-9DBB-0B38F30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JÄ-2'!$N$104</c:f>
              <c:strCache>
                <c:ptCount val="1"/>
                <c:pt idx="0">
                  <c:v>14,0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JÄ-2'!$P$104:$P$106</c:f>
              <c:numCache>
                <c:formatCode>0.0</c:formatCode>
                <c:ptCount val="3"/>
                <c:pt idx="0">
                  <c:v>18.134027475388788</c:v>
                </c:pt>
                <c:pt idx="1">
                  <c:v>20.134342538186655</c:v>
                </c:pt>
                <c:pt idx="2">
                  <c:v>19.325905407568257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DB-422F-AD69-D37CB4384B89}"/>
            </c:ext>
          </c:extLst>
        </c:ser>
        <c:ser>
          <c:idx val="1"/>
          <c:order val="1"/>
          <c:tx>
            <c:strRef>
              <c:f>'C5 JÄ-2'!$N$110</c:f>
              <c:strCache>
                <c:ptCount val="1"/>
                <c:pt idx="0">
                  <c:v>11,0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JÄ-2'!$P$110:$P$112</c:f>
              <c:numCache>
                <c:formatCode>0.0</c:formatCode>
                <c:ptCount val="3"/>
                <c:pt idx="0">
                  <c:v>11.829008671379444</c:v>
                </c:pt>
                <c:pt idx="1">
                  <c:v>12.192184711363431</c:v>
                </c:pt>
                <c:pt idx="2">
                  <c:v>11.314482446871287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DB-422F-AD69-D37CB4384B89}"/>
            </c:ext>
          </c:extLst>
        </c:ser>
        <c:ser>
          <c:idx val="2"/>
          <c:order val="2"/>
          <c:tx>
            <c:strRef>
              <c:f>'C5 JÄ-2'!$N$116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JÄ-2'!$P$116:$P$118</c:f>
              <c:numCache>
                <c:formatCode>0.0</c:formatCode>
                <c:ptCount val="3"/>
                <c:pt idx="0">
                  <c:v>5.3112752190570047</c:v>
                </c:pt>
                <c:pt idx="1">
                  <c:v>4.7618607940612341</c:v>
                </c:pt>
                <c:pt idx="2">
                  <c:v>4.1483396069164753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DB-422F-AD69-D37CB4384B89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JÄ-2'!$D$106,'C5 JÄ-2'!$D$107,'C5 JÄ-2'!$D$108)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('C5 JÄ-2'!$G$106,'C5 JÄ-2'!$G$107,'C5 JÄ-2'!$G$108)</c:f>
              <c:numCache>
                <c:formatCode>General</c:formatCode>
                <c:ptCount val="3"/>
                <c:pt idx="0">
                  <c:v>18.661881757111551</c:v>
                </c:pt>
                <c:pt idx="1">
                  <c:v>12.050466709140974</c:v>
                </c:pt>
                <c:pt idx="2">
                  <c:v>5.3088111275115848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DB-422F-AD69-D37CB438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Kosteussisällön pieneneminen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0.4"/>
            <c:dispRSqr val="0"/>
            <c:dispEq val="0"/>
          </c:trendline>
          <c:xVal>
            <c:numRef>
              <c:f>'C5 JÄ-2'!$AC$23:$AP$23</c:f>
              <c:numCache>
                <c:formatCode>0%</c:formatCode>
                <c:ptCount val="14"/>
                <c:pt idx="0">
                  <c:v>0.99403884159615963</c:v>
                </c:pt>
                <c:pt idx="1">
                  <c:v>0.99403884159615963</c:v>
                </c:pt>
                <c:pt idx="2">
                  <c:v>0.99403884159615963</c:v>
                </c:pt>
                <c:pt idx="3">
                  <c:v>0.99403884159615963</c:v>
                </c:pt>
                <c:pt idx="4">
                  <c:v>0.48028638712961147</c:v>
                </c:pt>
                <c:pt idx="5">
                  <c:v>0.48028638712961147</c:v>
                </c:pt>
                <c:pt idx="6">
                  <c:v>0.48028638712961147</c:v>
                </c:pt>
                <c:pt idx="7">
                  <c:v>0.48028638712961147</c:v>
                </c:pt>
                <c:pt idx="8">
                  <c:v>0.84377705905974709</c:v>
                </c:pt>
                <c:pt idx="9">
                  <c:v>0.84377705905974709</c:v>
                </c:pt>
                <c:pt idx="10">
                  <c:v>0.84377705905974709</c:v>
                </c:pt>
                <c:pt idx="11">
                  <c:v>1.5904621465538553</c:v>
                </c:pt>
                <c:pt idx="12">
                  <c:v>1.5904621465538553</c:v>
                </c:pt>
                <c:pt idx="13">
                  <c:v>1.5904621465538553</c:v>
                </c:pt>
              </c:numCache>
            </c:numRef>
          </c:xVal>
          <c:yVal>
            <c:numRef>
              <c:f>'C5 JÄ-2'!$AC$12:$AP$12</c:f>
              <c:numCache>
                <c:formatCode>0.0\ %</c:formatCode>
                <c:ptCount val="14"/>
                <c:pt idx="0">
                  <c:v>2.8799562789955657E-2</c:v>
                </c:pt>
                <c:pt idx="1">
                  <c:v>3.6871445720313423E-3</c:v>
                </c:pt>
                <c:pt idx="2">
                  <c:v>6.4203850022394371E-2</c:v>
                </c:pt>
                <c:pt idx="3">
                  <c:v>4.5913224074078607E-2</c:v>
                </c:pt>
                <c:pt idx="4">
                  <c:v>3.4060563305741143E-3</c:v>
                </c:pt>
                <c:pt idx="5">
                  <c:v>3.2925275937767395E-3</c:v>
                </c:pt>
                <c:pt idx="6">
                  <c:v>6.0736962912617543E-3</c:v>
                </c:pt>
                <c:pt idx="7">
                  <c:v>4.407626866794967E-3</c:v>
                </c:pt>
                <c:pt idx="8">
                  <c:v>5.3412575433956277E-2</c:v>
                </c:pt>
                <c:pt idx="9">
                  <c:v>2.5964758447897807E-2</c:v>
                </c:pt>
                <c:pt idx="10">
                  <c:v>8.5187848644506792E-3</c:v>
                </c:pt>
                <c:pt idx="11">
                  <c:v>0.14786163956770104</c:v>
                </c:pt>
                <c:pt idx="12">
                  <c:v>0.11963845805184514</c:v>
                </c:pt>
                <c:pt idx="13">
                  <c:v>9.0577264034193417E-2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9D-47D5-B75C-83B907A6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452064"/>
        <c:axId val="1569458304"/>
      </c:scatterChart>
      <c:valAx>
        <c:axId val="156945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Kastepiste vs. vesilämpötila-alue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8304"/>
        <c:crosses val="autoZero"/>
        <c:crossBetween val="midCat"/>
      </c:valAx>
      <c:valAx>
        <c:axId val="15694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Kosteusisällön</a:t>
                </a:r>
                <a:r>
                  <a:rPr lang="fi-FI" baseline="0"/>
                  <a:t> poistuminen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7463845144356958"/>
                  <c:y val="4.198745990084572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C5'!$BL$35:$BL$42</c:f>
              <c:numCache>
                <c:formatCode>0.0</c:formatCode>
                <c:ptCount val="8"/>
                <c:pt idx="0">
                  <c:v>0.49729170014446034</c:v>
                </c:pt>
                <c:pt idx="1">
                  <c:v>2.5987455668642259</c:v>
                </c:pt>
                <c:pt idx="2">
                  <c:v>5.5573318339740574</c:v>
                </c:pt>
                <c:pt idx="3">
                  <c:v>9.1481979556772863</c:v>
                </c:pt>
                <c:pt idx="4">
                  <c:v>17.789057672780771</c:v>
                </c:pt>
                <c:pt idx="5">
                  <c:v>27.968190846353394</c:v>
                </c:pt>
                <c:pt idx="6">
                  <c:v>39.390680916873336</c:v>
                </c:pt>
                <c:pt idx="7">
                  <c:v>51.868601872307437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7-4488-9F1B-B85623B0BE37}"/>
            </c:ext>
          </c:extLst>
        </c:ser>
        <c:ser>
          <c:idx val="1"/>
          <c:order val="1"/>
          <c:tx>
            <c:strRef>
              <c:f>'Laskenta tulopuoli C5'!$BM$34</c:f>
              <c:strCache>
                <c:ptCount val="1"/>
                <c:pt idx="0">
                  <c:v>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441229221347331"/>
                  <c:y val="-4.768518518518518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57-4488-9F1B-B85623B0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3647"/>
        <c:axId val="196212607"/>
      </c:scatterChart>
      <c:valAx>
        <c:axId val="196223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12607"/>
        <c:crosses val="autoZero"/>
        <c:crossBetween val="midCat"/>
      </c:valAx>
      <c:valAx>
        <c:axId val="19621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23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C5'!$BR$52:$BR$56</c:f>
              <c:numCache>
                <c:formatCode>0.0</c:formatCode>
                <c:ptCount val="5"/>
                <c:pt idx="0">
                  <c:v>763.72536534345102</c:v>
                </c:pt>
                <c:pt idx="1">
                  <c:v>673.40707460886188</c:v>
                </c:pt>
                <c:pt idx="2">
                  <c:v>547.41802387470148</c:v>
                </c:pt>
                <c:pt idx="3">
                  <c:v>385.75821314096987</c:v>
                </c:pt>
                <c:pt idx="4">
                  <c:v>188.42764240766712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9-4A08-962F-F8877F7D1062}"/>
            </c:ext>
          </c:extLst>
        </c:ser>
        <c:ser>
          <c:idx val="1"/>
          <c:order val="1"/>
          <c:tx>
            <c:v>Laskettu F8 suodattimella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C5'!$BS$52:$BS$56</c:f>
              <c:numCache>
                <c:formatCode>0.0</c:formatCode>
                <c:ptCount val="5"/>
                <c:pt idx="0">
                  <c:v>766.49260320485018</c:v>
                </c:pt>
                <c:pt idx="1">
                  <c:v>682.87046601288398</c:v>
                </c:pt>
                <c:pt idx="2">
                  <c:v>565.16956350452858</c:v>
                </c:pt>
                <c:pt idx="3">
                  <c:v>413.38989567978422</c:v>
                </c:pt>
                <c:pt idx="4">
                  <c:v>227.53146253865077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19-4A08-962F-F8877F7D1062}"/>
            </c:ext>
          </c:extLst>
        </c:ser>
        <c:ser>
          <c:idx val="2"/>
          <c:order val="2"/>
          <c:tx>
            <c:v>F8 suodattimen lisä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C5'!$BU$52:$BU$56</c:f>
              <c:numCache>
                <c:formatCode>0.0</c:formatCode>
                <c:ptCount val="5"/>
                <c:pt idx="0">
                  <c:v>2.7672378613991446</c:v>
                </c:pt>
                <c:pt idx="1">
                  <c:v>9.4633914040220528</c:v>
                </c:pt>
                <c:pt idx="2">
                  <c:v>17.751539629827093</c:v>
                </c:pt>
                <c:pt idx="3">
                  <c:v>27.631682538814268</c:v>
                </c:pt>
                <c:pt idx="4">
                  <c:v>39.103820130983571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19-4A08-962F-F8877F7D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996256"/>
        <c:axId val="396293456"/>
      </c:scatterChart>
      <c:valAx>
        <c:axId val="3529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6293456"/>
        <c:crosses val="autoZero"/>
        <c:crossBetween val="midCat"/>
      </c:valAx>
      <c:valAx>
        <c:axId val="3962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29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Muutos</a:t>
            </a:r>
            <a:r>
              <a:rPr lang="fi-FI" sz="1100" baseline="0"/>
              <a:t> mitattuun konstruktioon valituilla pattereilla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C5'!$BG$88:$BG$95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C5'!$BU$88:$BU$95</c:f>
              <c:numCache>
                <c:formatCode>0.0</c:formatCode>
                <c:ptCount val="8"/>
                <c:pt idx="0">
                  <c:v>-0.33986762810880661</c:v>
                </c:pt>
                <c:pt idx="1">
                  <c:v>-1.1027829885067084</c:v>
                </c:pt>
                <c:pt idx="2">
                  <c:v>-2.1953882717493856</c:v>
                </c:pt>
                <c:pt idx="3">
                  <c:v>-3.5782469972410822</c:v>
                </c:pt>
                <c:pt idx="4">
                  <c:v>-7.1234699601260143</c:v>
                </c:pt>
                <c:pt idx="5">
                  <c:v>-11.610490646580137</c:v>
                </c:pt>
                <c:pt idx="6">
                  <c:v>-16.959531830783696</c:v>
                </c:pt>
                <c:pt idx="7">
                  <c:v>-23.113826800387677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A-40B9-B07A-BEB9BA98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044671"/>
        <c:axId val="1610048511"/>
      </c:scatterChart>
      <c:valAx>
        <c:axId val="1610044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8511"/>
        <c:crosses val="autoZero"/>
        <c:crossBetween val="midCat"/>
      </c:valAx>
      <c:valAx>
        <c:axId val="161004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Paine-ero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C5'!$D$59:$D$62</c:f>
              <c:numCache>
                <c:formatCode>0.0</c:formatCode>
                <c:ptCount val="4"/>
                <c:pt idx="0">
                  <c:v>659.74777394030639</c:v>
                </c:pt>
                <c:pt idx="1">
                  <c:v>568.52649588001736</c:v>
                </c:pt>
                <c:pt idx="2">
                  <c:v>489.96282161159729</c:v>
                </c:pt>
                <c:pt idx="3">
                  <c:v>368.79959938967784</c:v>
                </c:pt>
              </c:numCache>
            </c:numRef>
          </c:xVal>
          <c:yVal>
            <c:numRef>
              <c:f>'Laskenta poistopuoli C5'!$E$59:$E$62</c:f>
              <c:numCache>
                <c:formatCode>0.0</c:formatCode>
                <c:ptCount val="4"/>
                <c:pt idx="0">
                  <c:v>59.504945869055348</c:v>
                </c:pt>
                <c:pt idx="1">
                  <c:v>58.803978275778192</c:v>
                </c:pt>
                <c:pt idx="2">
                  <c:v>60.138959595926607</c:v>
                </c:pt>
                <c:pt idx="3">
                  <c:v>65.101418355422581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5A-4893-89EE-B2FC92AB3CFE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C5'!$D$64:$D$67</c:f>
              <c:numCache>
                <c:formatCode>0.0</c:formatCode>
                <c:ptCount val="4"/>
                <c:pt idx="0">
                  <c:v>593.18755608109893</c:v>
                </c:pt>
                <c:pt idx="1">
                  <c:v>512.47903369866151</c:v>
                </c:pt>
                <c:pt idx="2">
                  <c:v>440.15284535326958</c:v>
                </c:pt>
                <c:pt idx="3">
                  <c:v>304.88365385737308</c:v>
                </c:pt>
              </c:numCache>
            </c:numRef>
          </c:xVal>
          <c:yVal>
            <c:numRef>
              <c:f>'Laskenta poistopuoli C5'!$E$64:$E$67</c:f>
              <c:numCache>
                <c:formatCode>0.0</c:formatCode>
                <c:ptCount val="4"/>
                <c:pt idx="0">
                  <c:v>56.951001475564766</c:v>
                </c:pt>
                <c:pt idx="1">
                  <c:v>56.551844589514474</c:v>
                </c:pt>
                <c:pt idx="2">
                  <c:v>59.059301371869097</c:v>
                </c:pt>
                <c:pt idx="3">
                  <c:v>63.131068945160543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5A-4893-89EE-B2FC92AB3CFE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C5'!$D$69:$D$72</c:f>
              <c:numCache>
                <c:formatCode>0.0</c:formatCode>
                <c:ptCount val="4"/>
                <c:pt idx="0">
                  <c:v>430.30872909001937</c:v>
                </c:pt>
                <c:pt idx="1">
                  <c:v>368.90614526736601</c:v>
                </c:pt>
                <c:pt idx="2">
                  <c:v>317.3986650009623</c:v>
                </c:pt>
                <c:pt idx="3">
                  <c:v>217.42027214016494</c:v>
                </c:pt>
              </c:numCache>
            </c:numRef>
          </c:xVal>
          <c:yVal>
            <c:numRef>
              <c:f>'Laskenta poistopuoli C5'!$E$69:$E$72</c:f>
              <c:numCache>
                <c:formatCode>0.0</c:formatCode>
                <c:ptCount val="4"/>
                <c:pt idx="0">
                  <c:v>51.397697447343972</c:v>
                </c:pt>
                <c:pt idx="1">
                  <c:v>51.037513345127785</c:v>
                </c:pt>
                <c:pt idx="2">
                  <c:v>52.190283617600741</c:v>
                </c:pt>
                <c:pt idx="3">
                  <c:v>54.684693977224782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5A-4893-89EE-B2FC92AB3CFE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C5'!$D$74:$D$77</c:f>
              <c:numCache>
                <c:formatCode>0.0</c:formatCode>
                <c:ptCount val="4"/>
                <c:pt idx="0">
                  <c:v>266.43484969305598</c:v>
                </c:pt>
                <c:pt idx="1">
                  <c:v>233.04270388510514</c:v>
                </c:pt>
                <c:pt idx="2">
                  <c:v>205.04785756402154</c:v>
                </c:pt>
                <c:pt idx="3">
                  <c:v>143.42845546559386</c:v>
                </c:pt>
              </c:numCache>
            </c:numRef>
          </c:xVal>
          <c:yVal>
            <c:numRef>
              <c:f>'Laskenta poistopuoli C5'!$E$74:$E$77</c:f>
              <c:numCache>
                <c:formatCode>0.0</c:formatCode>
                <c:ptCount val="4"/>
                <c:pt idx="0">
                  <c:v>42.19961491072317</c:v>
                </c:pt>
                <c:pt idx="1">
                  <c:v>41.878496746319378</c:v>
                </c:pt>
                <c:pt idx="2">
                  <c:v>43.508336621902302</c:v>
                </c:pt>
                <c:pt idx="3">
                  <c:v>48.035214640180726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5A-4893-89EE-B2FC92AB3CFE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5A-4893-89EE-B2FC92AB3CF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5A-4893-89EE-B2FC92AB3CFE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C5'!$AF$34:$AF$37</c:f>
              <c:numCache>
                <c:formatCode>0.0</c:formatCode>
                <c:ptCount val="4"/>
                <c:pt idx="0">
                  <c:v>58.921427225462942</c:v>
                </c:pt>
                <c:pt idx="1">
                  <c:v>56.805776139352474</c:v>
                </c:pt>
                <c:pt idx="2">
                  <c:v>51.191191689196408</c:v>
                </c:pt>
                <c:pt idx="3">
                  <c:v>41.941759779311163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A5A-4893-89EE-B2FC92AB3CF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C5'!$W$5</c:f>
              <c:numCache>
                <c:formatCode>0.0</c:formatCode>
                <c:ptCount val="1"/>
                <c:pt idx="0">
                  <c:v>54.941720020505876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A5A-4893-89EE-B2FC92A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C5'!$N$59:$N$62</c:f>
              <c:numCache>
                <c:formatCode>0.0</c:formatCode>
                <c:ptCount val="4"/>
                <c:pt idx="0">
                  <c:v>678.37536862073512</c:v>
                </c:pt>
                <c:pt idx="1">
                  <c:v>567.72716207379733</c:v>
                </c:pt>
                <c:pt idx="2">
                  <c:v>477.85861076194726</c:v>
                </c:pt>
                <c:pt idx="3">
                  <c:v>361.89300280682511</c:v>
                </c:pt>
              </c:numCache>
            </c:numRef>
          </c:xVal>
          <c:yVal>
            <c:numRef>
              <c:f>'Laskenta poistopuoli C5'!$O$59:$O$62</c:f>
              <c:numCache>
                <c:formatCode>0.0</c:formatCode>
                <c:ptCount val="4"/>
                <c:pt idx="0">
                  <c:v>78.872081958332544</c:v>
                </c:pt>
                <c:pt idx="1">
                  <c:v>77.457986603824793</c:v>
                </c:pt>
                <c:pt idx="2">
                  <c:v>77.682071539287904</c:v>
                </c:pt>
                <c:pt idx="3">
                  <c:v>80.883626535567686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34-49D3-A949-E60F597465CB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C5'!$N$64:$N$67</c:f>
              <c:numCache>
                <c:formatCode>0.0</c:formatCode>
                <c:ptCount val="4"/>
                <c:pt idx="0">
                  <c:v>609.3294572190905</c:v>
                </c:pt>
                <c:pt idx="1">
                  <c:v>511.4537803117347</c:v>
                </c:pt>
                <c:pt idx="2">
                  <c:v>420.17908106004865</c:v>
                </c:pt>
                <c:pt idx="3">
                  <c:v>310.62720108835543</c:v>
                </c:pt>
              </c:numCache>
            </c:numRef>
          </c:xVal>
          <c:yVal>
            <c:numRef>
              <c:f>'Laskenta poistopuoli C5'!$O$64:$O$67</c:f>
              <c:numCache>
                <c:formatCode>0.0</c:formatCode>
                <c:ptCount val="4"/>
                <c:pt idx="0">
                  <c:v>76.622311352178684</c:v>
                </c:pt>
                <c:pt idx="1">
                  <c:v>75.29988739232023</c:v>
                </c:pt>
                <c:pt idx="2">
                  <c:v>75.537881211747461</c:v>
                </c:pt>
                <c:pt idx="3">
                  <c:v>79.20794803152809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34-49D3-A949-E60F597465CB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C5'!$N$69:$N$72</c:f>
              <c:numCache>
                <c:formatCode>0.0</c:formatCode>
                <c:ptCount val="4"/>
                <c:pt idx="0">
                  <c:v>454.51647897858771</c:v>
                </c:pt>
                <c:pt idx="1">
                  <c:v>386.08513097658857</c:v>
                </c:pt>
                <c:pt idx="2">
                  <c:v>316.43665668347194</c:v>
                </c:pt>
                <c:pt idx="3">
                  <c:v>229.46728062953824</c:v>
                </c:pt>
              </c:numCache>
            </c:numRef>
          </c:xVal>
          <c:yVal>
            <c:numRef>
              <c:f>'Laskenta poistopuoli C5'!$O$69:$O$72</c:f>
              <c:numCache>
                <c:formatCode>0.0</c:formatCode>
                <c:ptCount val="4"/>
                <c:pt idx="0">
                  <c:v>70.481695997192162</c:v>
                </c:pt>
                <c:pt idx="1">
                  <c:v>69.141028251455381</c:v>
                </c:pt>
                <c:pt idx="2">
                  <c:v>68.789053648530512</c:v>
                </c:pt>
                <c:pt idx="3">
                  <c:v>69.947584972349176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434-49D3-A949-E60F597465CB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C5'!$N$74:$N$77</c:f>
              <c:numCache>
                <c:formatCode>0.0</c:formatCode>
                <c:ptCount val="4"/>
                <c:pt idx="0">
                  <c:v>275.51386387143219</c:v>
                </c:pt>
                <c:pt idx="1">
                  <c:v>239.40233610308692</c:v>
                </c:pt>
                <c:pt idx="2">
                  <c:v>197.91474592192031</c:v>
                </c:pt>
                <c:pt idx="3">
                  <c:v>146.0847854684252</c:v>
                </c:pt>
              </c:numCache>
            </c:numRef>
          </c:xVal>
          <c:yVal>
            <c:numRef>
              <c:f>'Laskenta poistopuoli C5'!$O$74:$O$77</c:f>
              <c:numCache>
                <c:formatCode>0.0</c:formatCode>
                <c:ptCount val="4"/>
                <c:pt idx="0">
                  <c:v>58.122879852100439</c:v>
                </c:pt>
                <c:pt idx="1">
                  <c:v>57.40969440146219</c:v>
                </c:pt>
                <c:pt idx="2">
                  <c:v>57.662941812501856</c:v>
                </c:pt>
                <c:pt idx="3">
                  <c:v>59.193625260276654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434-49D3-A949-E60F597465C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24646952881018785"/>
                  <c:y val="0.5211288836439660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C5'!$AG$34:$AG$37</c:f>
              <c:numCache>
                <c:formatCode>0.0</c:formatCode>
                <c:ptCount val="4"/>
                <c:pt idx="0">
                  <c:v>77.83042019826182</c:v>
                </c:pt>
                <c:pt idx="1">
                  <c:v>75.607677195622259</c:v>
                </c:pt>
                <c:pt idx="2">
                  <c:v>69.48304794930074</c:v>
                </c:pt>
                <c:pt idx="3">
                  <c:v>57.652192824355836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434-49D3-A949-E60F597465C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C5'!$W$6</c:f>
              <c:numCache>
                <c:formatCode>0.0</c:formatCode>
                <c:ptCount val="1"/>
                <c:pt idx="0">
                  <c:v>73.38823287919044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34-49D3-A949-E60F5974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C5'!$AJ$36:$AJ$38</c:f>
              <c:numCache>
                <c:formatCode>0.0</c:formatCode>
                <c:ptCount val="3"/>
                <c:pt idx="0">
                  <c:v>555.40791353352108</c:v>
                </c:pt>
                <c:pt idx="1">
                  <c:v>404.59061250578213</c:v>
                </c:pt>
                <c:pt idx="2">
                  <c:v>253.72169819754239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AF-4EC9-99A3-9F2DEECDE9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poistopuoli C5'!$AJ$34:$AJ$35</c:f>
              <c:numCache>
                <c:formatCode>0.0</c:formatCode>
                <c:ptCount val="2"/>
                <c:pt idx="0">
                  <c:v>617.37093145484971</c:v>
                </c:pt>
                <c:pt idx="1">
                  <c:v>593.12729266393512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AF-4EC9-99A3-9F2DEECDE9D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C5'!$W$9</c:f>
              <c:numCache>
                <c:formatCode>0.00</c:formatCode>
                <c:ptCount val="1"/>
                <c:pt idx="0">
                  <c:v>7.2652429851960978</c:v>
                </c:pt>
              </c:numCache>
            </c:numRef>
          </c:xVal>
          <c:y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AF-4EC9-99A3-9F2DEECDE9D7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3AF-4EC9-99A3-9F2DEECDE9D7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C5'!$AR$36</c:f>
              <c:numCache>
                <c:formatCode>0.0</c:formatCode>
                <c:ptCount val="1"/>
                <c:pt idx="0">
                  <c:v>7.5967132178967631</c:v>
                </c:pt>
              </c:numCache>
            </c:numRef>
          </c:xVal>
          <c:yVal>
            <c:numRef>
              <c:f>'Laskenta poistopuoli C5'!$AO$36</c:f>
              <c:numCache>
                <c:formatCode>0.0</c:formatCode>
                <c:ptCount val="1"/>
                <c:pt idx="0">
                  <c:v>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3AF-4EC9-99A3-9F2DEECDE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TuloksetC!$C$10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TuloksetC!$AJ$12:$AJ$18</c:f>
              <c:numCache>
                <c:formatCode>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TuloksetC!$AI$12:$AI$18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8-4817-9EE3-0F91E6C43597}"/>
            </c:ext>
          </c:extLst>
        </c:ser>
        <c:ser>
          <c:idx val="8"/>
          <c:order val="1"/>
          <c:tx>
            <c:strRef>
              <c:f>TuloksetC!$E$10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TuloksetC!$AL$12:$AL$18</c:f>
              <c:numCache>
                <c:formatCode>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TuloksetC!$AK$12:$AK$18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F8-4817-9EE3-0F91E6C43597}"/>
            </c:ext>
          </c:extLst>
        </c:ser>
        <c:ser>
          <c:idx val="9"/>
          <c:order val="2"/>
          <c:tx>
            <c:strRef>
              <c:f>TuloksetC!$G$10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TuloksetC!$AN$12:$AN$17</c:f>
              <c:numCache>
                <c:formatCode>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TuloksetC!$AM$12:$AM$17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F8-4817-9EE3-0F91E6C43597}"/>
            </c:ext>
          </c:extLst>
        </c:ser>
        <c:ser>
          <c:idx val="10"/>
          <c:order val="3"/>
          <c:tx>
            <c:strRef>
              <c:f>TuloksetC!$I$10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TuloksetC!$AP$12:$AP$16</c:f>
              <c:numCache>
                <c:formatCode>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TuloksetC!$AO$12:$AO$16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F8-4817-9EE3-0F91E6C43597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'C-series'!$E$33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'C-series'!$E$44</c:f>
              <c:numCache>
                <c:formatCode>General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F8-4817-9EE3-0F91E6C43597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'C-series'!$G$33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'C-series'!$G$44</c:f>
              <c:numCache>
                <c:formatCode>General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F8-4817-9EE3-0F91E6C43597}"/>
            </c:ext>
          </c:extLst>
        </c:ser>
        <c:ser>
          <c:idx val="0"/>
          <c:order val="6"/>
          <c:tx>
            <c:strRef>
              <c:f>TuloksetC!$N$10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TuloksetC!$AS$12:$AS$18</c:f>
              <c:numCache>
                <c:formatCode>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TuloksetC!$AR$12:$AR$18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F8-4817-9EE3-0F91E6C43597}"/>
            </c:ext>
          </c:extLst>
        </c:ser>
        <c:ser>
          <c:idx val="1"/>
          <c:order val="7"/>
          <c:tx>
            <c:strRef>
              <c:f>TuloksetC!$P$10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TuloksetC!$AU$12:$AU$18</c:f>
              <c:numCache>
                <c:formatCode>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TuloksetC!$AT$12:$AT$18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F8-4817-9EE3-0F91E6C43597}"/>
            </c:ext>
          </c:extLst>
        </c:ser>
        <c:ser>
          <c:idx val="2"/>
          <c:order val="8"/>
          <c:tx>
            <c:strRef>
              <c:f>TuloksetC!$R$10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TuloksetC!$AW$12:$AW$17</c:f>
              <c:numCache>
                <c:formatCode>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TuloksetC!$AV$12:$AV$17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F8-4817-9EE3-0F91E6C43597}"/>
            </c:ext>
          </c:extLst>
        </c:ser>
        <c:ser>
          <c:idx val="3"/>
          <c:order val="9"/>
          <c:tx>
            <c:strRef>
              <c:f>TuloksetC!$T$10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TuloksetC!$AY$12:$AY$16</c:f>
              <c:numCache>
                <c:formatCode>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TuloksetC!$AX$12:$AX$16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F8-4817-9EE3-0F91E6C43597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0986158-4F65-794E-91DE-8A9CBF8EA03A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62641C-B09B-2F40-ABB4-2AEA737CCE28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D9BE7E0-D635-7545-8491-1A5565B2534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570F29E-155C-164E-B6A5-7BCA4EDC325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(TuloksetC!$AJ$18,TuloksetC!$AL$18,TuloksetC!$AN$17,TuloksetC!$AP$16)</c:f>
              <c:numCache>
                <c:formatCode>0</c:formatCode>
                <c:ptCount val="4"/>
                <c:pt idx="0">
                  <c:v>473.2925954290904</c:v>
                </c:pt>
                <c:pt idx="1">
                  <c:v>330.67113176285858</c:v>
                </c:pt>
                <c:pt idx="2">
                  <c:v>190.64733408241827</c:v>
                </c:pt>
                <c:pt idx="3">
                  <c:v>82.992893577309133</c:v>
                </c:pt>
              </c:numCache>
            </c:numRef>
          </c:xVal>
          <c:yVal>
            <c:numRef>
              <c:f>(TuloksetC!$AI$18,TuloksetC!$AK$18,TuloksetC!$AM$17,TuloksetC!$AO$16)</c:f>
              <c:numCache>
                <c:formatCode>0</c:formatCode>
                <c:ptCount val="4"/>
                <c:pt idx="0">
                  <c:v>520</c:v>
                </c:pt>
                <c:pt idx="1">
                  <c:v>510</c:v>
                </c:pt>
                <c:pt idx="2">
                  <c:v>320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(TuloksetC!$C$10,TuloksetC!$E$10,TuloksetC!$G$10,TuloksetC!$I$10)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6F8-4817-9EE3-0F91E6C43597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7C7AB89-1BA4-8C4A-A351-8BC43F015E29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FD6095-687A-2742-8333-547CC318BFAF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1AC4D3B-E219-BF43-94BA-1F6E8118DA1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A861466-6387-2C46-940B-A41E2224BA66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(TuloksetC!$AS$18,TuloksetC!$AU$18,TuloksetC!$AW$17,TuloksetC!$AY$16)</c:f>
              <c:numCache>
                <c:formatCode>0</c:formatCode>
                <c:ptCount val="4"/>
                <c:pt idx="0">
                  <c:v>477.66458782780904</c:v>
                </c:pt>
                <c:pt idx="1">
                  <c:v>362.1499176804237</c:v>
                </c:pt>
                <c:pt idx="2">
                  <c:v>206.76262174494295</c:v>
                </c:pt>
                <c:pt idx="3">
                  <c:v>95.104674324430036</c:v>
                </c:pt>
              </c:numCache>
            </c:numRef>
          </c:xVal>
          <c:yVal>
            <c:numRef>
              <c:f>(TuloksetC!$AR$18,TuloksetC!$AT$18,TuloksetC!$AV$17,TuloksetC!$AX$16)</c:f>
              <c:numCache>
                <c:formatCode>0</c:formatCode>
                <c:ptCount val="4"/>
                <c:pt idx="0">
                  <c:v>530</c:v>
                </c:pt>
                <c:pt idx="1">
                  <c:v>510</c:v>
                </c:pt>
                <c:pt idx="2">
                  <c:v>330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(TuloksetC!$N$10,TuloksetC!$P$10,TuloksetC!$R$10,TuloksetC!$T$10)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C6F8-4817-9EE3-0F91E6C43597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TuloksetC!$DB$10:$DB$11</c:f>
              <c:numCache>
                <c:formatCode>0</c:formatCode>
                <c:ptCount val="2"/>
                <c:pt idx="0">
                  <c:v>1</c:v>
                </c:pt>
                <c:pt idx="1">
                  <c:v>500</c:v>
                </c:pt>
              </c:numCache>
            </c:numRef>
          </c:xVal>
          <c:yVal>
            <c:numRef>
              <c:f>TuloksetC!$DC$10:$DC$11</c:f>
              <c:numCache>
                <c:formatCode>0</c:formatCode>
                <c:ptCount val="2"/>
                <c:pt idx="0">
                  <c:v>5.9599999999999996E-4</c:v>
                </c:pt>
                <c:pt idx="1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F8-4817-9EE3-0F91E6C43597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E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TuloksetC!$DB$14:$DB$15</c:f>
              <c:numCache>
                <c:formatCode>0</c:formatCode>
                <c:ptCount val="2"/>
                <c:pt idx="0">
                  <c:v>2</c:v>
                </c:pt>
                <c:pt idx="1">
                  <c:v>500</c:v>
                </c:pt>
              </c:numCache>
            </c:numRef>
          </c:xVal>
          <c:yVal>
            <c:numRef>
              <c:f>TuloksetC!$DC$14:$DC$15</c:f>
              <c:numCache>
                <c:formatCode>0</c:formatCode>
                <c:ptCount val="2"/>
                <c:pt idx="0">
                  <c:v>2.3839999999999998E-3</c:v>
                </c:pt>
                <c:pt idx="1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6F8-4817-9EE3-0F91E6C43597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F8-4817-9EE3-0F91E6C43597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TuloksetC!$DB$11:$DB$12</c:f>
              <c:numCache>
                <c:formatCode>0</c:formatCode>
                <c:ptCount val="2"/>
                <c:pt idx="0">
                  <c:v>500</c:v>
                </c:pt>
                <c:pt idx="1">
                  <c:v>525</c:v>
                </c:pt>
              </c:numCache>
            </c:numRef>
          </c:xVal>
          <c:yVal>
            <c:numRef>
              <c:f>TuloksetC!$DC$11:$DC$12</c:f>
              <c:numCache>
                <c:formatCode>0</c:formatCode>
                <c:ptCount val="2"/>
                <c:pt idx="0">
                  <c:v>149</c:v>
                </c:pt>
                <c:pt idx="1">
                  <c:v>164.27249999999998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6F8-4817-9EE3-0F91E6C43597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TuloksetC!$DB$15:$DB$16</c:f>
              <c:numCache>
                <c:formatCode>0</c:formatCode>
                <c:ptCount val="2"/>
                <c:pt idx="0">
                  <c:v>500</c:v>
                </c:pt>
                <c:pt idx="1">
                  <c:v>525</c:v>
                </c:pt>
              </c:numCache>
            </c:numRef>
          </c:xVal>
          <c:yVal>
            <c:numRef>
              <c:f>TuloksetC!$DC$15:$DC$16</c:f>
              <c:numCache>
                <c:formatCode>0</c:formatCode>
                <c:ptCount val="2"/>
                <c:pt idx="0">
                  <c:v>149</c:v>
                </c:pt>
                <c:pt idx="1">
                  <c:v>164.27249999999998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6F8-4817-9EE3-0F91E6C4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TuloksetC!$AK$6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KirjastoC!$M$5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C5'!$X$59:$X$69</c:f>
              <c:numCache>
                <c:formatCode>0.0</c:formatCode>
                <c:ptCount val="11"/>
                <c:pt idx="0">
                  <c:v>674.36299626286564</c:v>
                </c:pt>
                <c:pt idx="1">
                  <c:v>619.75622950943864</c:v>
                </c:pt>
                <c:pt idx="2">
                  <c:v>575.70979967708138</c:v>
                </c:pt>
                <c:pt idx="3">
                  <c:v>531.9102128639488</c:v>
                </c:pt>
                <c:pt idx="4">
                  <c:v>485.87360304356628</c:v>
                </c:pt>
                <c:pt idx="5">
                  <c:v>448.27724667478429</c:v>
                </c:pt>
                <c:pt idx="6">
                  <c:v>382.24188801319252</c:v>
                </c:pt>
                <c:pt idx="7">
                  <c:v>332.98888663241814</c:v>
                </c:pt>
                <c:pt idx="8">
                  <c:v>290.35150148577384</c:v>
                </c:pt>
                <c:pt idx="9">
                  <c:v>253.09258262991236</c:v>
                </c:pt>
                <c:pt idx="10">
                  <c:v>136.29100234952259</c:v>
                </c:pt>
              </c:numCache>
            </c:numRef>
          </c:xVal>
          <c:yVal>
            <c:numRef>
              <c:f>'Laskenta poistopuoli C5'!$Y$59:$Y$69</c:f>
              <c:numCache>
                <c:formatCode>0.0</c:formatCode>
                <c:ptCount val="11"/>
                <c:pt idx="0">
                  <c:v>716.49618113958047</c:v>
                </c:pt>
                <c:pt idx="1">
                  <c:v>721.23941765082304</c:v>
                </c:pt>
                <c:pt idx="2">
                  <c:v>711.92594926186428</c:v>
                </c:pt>
                <c:pt idx="3">
                  <c:v>721.69185282983938</c:v>
                </c:pt>
                <c:pt idx="4">
                  <c:v>712.82728802907093</c:v>
                </c:pt>
                <c:pt idx="5">
                  <c:v>727.13082927200526</c:v>
                </c:pt>
                <c:pt idx="6">
                  <c:v>722.57752963845462</c:v>
                </c:pt>
                <c:pt idx="7">
                  <c:v>727.98009833787376</c:v>
                </c:pt>
                <c:pt idx="8">
                  <c:v>721.57159322242205</c:v>
                </c:pt>
                <c:pt idx="9">
                  <c:v>719.45378862223436</c:v>
                </c:pt>
                <c:pt idx="10">
                  <c:v>658.16186854383761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606-B30E-5E75C2FAEADF}"/>
            </c:ext>
          </c:extLst>
        </c:ser>
        <c:ser>
          <c:idx val="1"/>
          <c:order val="1"/>
          <c:tx>
            <c:strRef>
              <c:f>'Laskenta poistopuoli C5'!$W$72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C5'!$X$72:$X$79</c:f>
              <c:numCache>
                <c:formatCode>0.0</c:formatCode>
                <c:ptCount val="8"/>
                <c:pt idx="0">
                  <c:v>122.24905658867428</c:v>
                </c:pt>
                <c:pt idx="1">
                  <c:v>219.8837048137799</c:v>
                </c:pt>
                <c:pt idx="2">
                  <c:v>291.37655253171908</c:v>
                </c:pt>
                <c:pt idx="3">
                  <c:v>373.61515858933637</c:v>
                </c:pt>
                <c:pt idx="4">
                  <c:v>432.72526367431328</c:v>
                </c:pt>
                <c:pt idx="5">
                  <c:v>492.23312696216925</c:v>
                </c:pt>
                <c:pt idx="6">
                  <c:v>553.35682118021884</c:v>
                </c:pt>
                <c:pt idx="7">
                  <c:v>608.06270403317217</c:v>
                </c:pt>
              </c:numCache>
            </c:numRef>
          </c:xVal>
          <c:yVal>
            <c:numRef>
              <c:f>'Laskenta poistopuoli C5'!$Y$72:$Y$79</c:f>
              <c:numCache>
                <c:formatCode>0.0</c:formatCode>
                <c:ptCount val="8"/>
                <c:pt idx="0">
                  <c:v>375.40970534107731</c:v>
                </c:pt>
                <c:pt idx="1">
                  <c:v>432.04163254398071</c:v>
                </c:pt>
                <c:pt idx="2">
                  <c:v>475.10664093817343</c:v>
                </c:pt>
                <c:pt idx="3">
                  <c:v>511.29601912261444</c:v>
                </c:pt>
                <c:pt idx="4">
                  <c:v>523.11688322085115</c:v>
                </c:pt>
                <c:pt idx="5">
                  <c:v>534.23326105690774</c:v>
                </c:pt>
                <c:pt idx="6">
                  <c:v>537.65762294250646</c:v>
                </c:pt>
                <c:pt idx="7">
                  <c:v>529.85369164769452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C-4606-B30E-5E75C2FAEADF}"/>
            </c:ext>
          </c:extLst>
        </c:ser>
        <c:ser>
          <c:idx val="2"/>
          <c:order val="2"/>
          <c:tx>
            <c:strRef>
              <c:f>'Laskenta poistopuoli C5'!$W$82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C5'!$X$82:$X$87</c:f>
              <c:numCache>
                <c:formatCode>0.0</c:formatCode>
                <c:ptCount val="6"/>
                <c:pt idx="0">
                  <c:v>437.09502645593631</c:v>
                </c:pt>
                <c:pt idx="1">
                  <c:v>394.28163711981273</c:v>
                </c:pt>
                <c:pt idx="2">
                  <c:v>328.64795566701792</c:v>
                </c:pt>
                <c:pt idx="3">
                  <c:v>239.26687501329309</c:v>
                </c:pt>
                <c:pt idx="4">
                  <c:v>125.09677847359325</c:v>
                </c:pt>
                <c:pt idx="5">
                  <c:v>87.518883253945248</c:v>
                </c:pt>
              </c:numCache>
            </c:numRef>
          </c:xVal>
          <c:yVal>
            <c:numRef>
              <c:f>'Laskenta poistopuoli C5'!$Y$82:$Y$87</c:f>
              <c:numCache>
                <c:formatCode>0.0</c:formatCode>
                <c:ptCount val="6"/>
                <c:pt idx="0">
                  <c:v>233.97933626846964</c:v>
                </c:pt>
                <c:pt idx="1">
                  <c:v>233.34624325599171</c:v>
                </c:pt>
                <c:pt idx="2">
                  <c:v>228.01839565857776</c:v>
                </c:pt>
                <c:pt idx="3">
                  <c:v>212.65556833899674</c:v>
                </c:pt>
                <c:pt idx="4">
                  <c:v>176.73553697391463</c:v>
                </c:pt>
                <c:pt idx="5">
                  <c:v>162.52122575298847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C-4606-B30E-5E75C2FAEADF}"/>
            </c:ext>
          </c:extLst>
        </c:ser>
        <c:ser>
          <c:idx val="3"/>
          <c:order val="3"/>
          <c:tx>
            <c:strRef>
              <c:f>'Laskenta poistopuoli C5'!$W$90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C5'!$X$90:$X$96</c:f>
              <c:numCache>
                <c:formatCode>0.0</c:formatCode>
                <c:ptCount val="7"/>
                <c:pt idx="0">
                  <c:v>51.013168217665502</c:v>
                </c:pt>
                <c:pt idx="1">
                  <c:v>136.01442023400173</c:v>
                </c:pt>
                <c:pt idx="2">
                  <c:v>183.80496602763066</c:v>
                </c:pt>
                <c:pt idx="3">
                  <c:v>259.6592085033314</c:v>
                </c:pt>
              </c:numCache>
            </c:numRef>
          </c:xVal>
          <c:yVal>
            <c:numRef>
              <c:f>'Laskenta poistopuoli C5'!$Y$90:$Y$96</c:f>
              <c:numCache>
                <c:formatCode>0.0</c:formatCode>
                <c:ptCount val="7"/>
                <c:pt idx="0">
                  <c:v>56.660474770685525</c:v>
                </c:pt>
                <c:pt idx="1">
                  <c:v>68.298652958386654</c:v>
                </c:pt>
                <c:pt idx="2">
                  <c:v>73.600868699606707</c:v>
                </c:pt>
                <c:pt idx="3">
                  <c:v>77.833394759423982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FC-4606-B30E-5E75C2FAEADF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C5'!$AC$34:$AC$38</c:f>
              <c:numCache>
                <c:formatCode>0.0</c:formatCode>
                <c:ptCount val="5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C5'!$AE$34:$AE$37</c:f>
              <c:numCache>
                <c:formatCode>0.0</c:formatCode>
                <c:ptCount val="4"/>
                <c:pt idx="0">
                  <c:v>717.00300962803965</c:v>
                </c:pt>
                <c:pt idx="1">
                  <c:v>535.6767113227038</c:v>
                </c:pt>
                <c:pt idx="2">
                  <c:v>233.75161641824178</c:v>
                </c:pt>
                <c:pt idx="3">
                  <c:v>77.674593582349658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4FC-4606-B30E-5E75C2FAEAD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C5'!$W$13</c:f>
              <c:numCache>
                <c:formatCode>0.0</c:formatCode>
                <c:ptCount val="1"/>
                <c:pt idx="0">
                  <c:v>401.74482016316426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4FC-4606-B30E-5E75C2F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C5'!$AB$6:$AB$12</c:f>
              <c:numCache>
                <c:formatCode>0.0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'Laskenta poistopuoli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3B-41F0-AB7C-C1889B235E91}"/>
            </c:ext>
          </c:extLst>
        </c:ser>
        <c:ser>
          <c:idx val="1"/>
          <c:order val="1"/>
          <c:tx>
            <c:strRef>
              <c:f>'Laskenta poistopuoli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C5'!$AD$6:$AD$12</c:f>
              <c:numCache>
                <c:formatCode>0.0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'Laskenta poistopuoli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3B-41F0-AB7C-C1889B235E91}"/>
            </c:ext>
          </c:extLst>
        </c:ser>
        <c:ser>
          <c:idx val="2"/>
          <c:order val="2"/>
          <c:tx>
            <c:strRef>
              <c:f>'Laskenta poistopuoli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C5'!$AF$6:$AF$11</c:f>
              <c:numCache>
                <c:formatCode>0.0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'Laskenta poistopuoli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3B-41F0-AB7C-C1889B235E91}"/>
            </c:ext>
          </c:extLst>
        </c:ser>
        <c:ser>
          <c:idx val="3"/>
          <c:order val="3"/>
          <c:tx>
            <c:strRef>
              <c:f>'Laskenta poistopuoli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C5'!$AH$6:$AH$10</c:f>
              <c:numCache>
                <c:formatCode>0.0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'Laskenta poistopuoli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3B-41F0-AB7C-C1889B235E9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C5'!$L$3</c:f>
              <c:numCache>
                <c:formatCode>0.0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3B-41F0-AB7C-C1889B235E91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C5'!$AD$34:$AD$37</c:f>
              <c:numCache>
                <c:formatCode>0.0</c:formatCode>
                <c:ptCount val="4"/>
                <c:pt idx="0">
                  <c:v>227.16353273523532</c:v>
                </c:pt>
                <c:pt idx="1">
                  <c:v>183.85285844773284</c:v>
                </c:pt>
                <c:pt idx="2">
                  <c:v>97.56136398177108</c:v>
                </c:pt>
                <c:pt idx="3">
                  <c:v>38.367321281201924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3B-41F0-AB7C-C1889B23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C5'!$BL$34</c:f>
              <c:strCache>
                <c:ptCount val="1"/>
                <c:pt idx="0">
                  <c:v>F8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C5'!$BL$35:$BL$42</c:f>
              <c:numCache>
                <c:formatCode>0.0</c:formatCode>
                <c:ptCount val="8"/>
                <c:pt idx="0">
                  <c:v>-5.057058167252519</c:v>
                </c:pt>
                <c:pt idx="1">
                  <c:v>-11.828731773246385</c:v>
                </c:pt>
                <c:pt idx="2">
                  <c:v>-19.442447052578736</c:v>
                </c:pt>
                <c:pt idx="3">
                  <c:v>-27.659473365827463</c:v>
                </c:pt>
                <c:pt idx="4">
                  <c:v>-45.454307651400235</c:v>
                </c:pt>
                <c:pt idx="5">
                  <c:v>-64.655991154677309</c:v>
                </c:pt>
                <c:pt idx="6">
                  <c:v>-84.975450290562151</c:v>
                </c:pt>
                <c:pt idx="7">
                  <c:v>-106.23177075078027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A0-41CB-93C6-E152D51B9D45}"/>
            </c:ext>
          </c:extLst>
        </c:ser>
        <c:ser>
          <c:idx val="1"/>
          <c:order val="1"/>
          <c:tx>
            <c:strRef>
              <c:f>'Laskenta poistopuoli C5'!$BM$34</c:f>
              <c:strCache>
                <c:ptCount val="1"/>
                <c:pt idx="0">
                  <c:v>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A0-41CB-93C6-E152D51B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31647"/>
        <c:axId val="196319647"/>
      </c:scatterChart>
      <c:valAx>
        <c:axId val="19633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19647"/>
        <c:crosses val="autoZero"/>
        <c:crossBetween val="midCat"/>
      </c:valAx>
      <c:valAx>
        <c:axId val="19631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31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C5'!$AI$6:$AP$6</c:f>
              <c:numCache>
                <c:formatCode>0.0</c:formatCode>
                <c:ptCount val="8"/>
                <c:pt idx="0">
                  <c:v>13.317620503860631</c:v>
                </c:pt>
                <c:pt idx="1">
                  <c:v>7.8414448100259193</c:v>
                </c:pt>
                <c:pt idx="2">
                  <c:v>2.1858868283992479</c:v>
                </c:pt>
                <c:pt idx="3">
                  <c:v>-5.6899823581434461</c:v>
                </c:pt>
                <c:pt idx="4">
                  <c:v>-7.3704802169901384</c:v>
                </c:pt>
                <c:pt idx="5">
                  <c:v>-7.7581315805515061</c:v>
                </c:pt>
                <c:pt idx="6">
                  <c:v>-15.110390277441205</c:v>
                </c:pt>
                <c:pt idx="7">
                  <c:v>-16.912071015358805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A2C-ADCF-9D452937444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C5'!$AI$7:$AP$7</c:f>
              <c:numCache>
                <c:formatCode>0.0</c:formatCode>
                <c:ptCount val="8"/>
                <c:pt idx="0">
                  <c:v>11.143161084714244</c:v>
                </c:pt>
                <c:pt idx="1">
                  <c:v>6.8943764052016263</c:v>
                </c:pt>
                <c:pt idx="2">
                  <c:v>3.4340996038558274</c:v>
                </c:pt>
                <c:pt idx="3">
                  <c:v>-5.923756657956126</c:v>
                </c:pt>
                <c:pt idx="4">
                  <c:v>-7.5243536452204722</c:v>
                </c:pt>
                <c:pt idx="5">
                  <c:v>-7.766204860065244</c:v>
                </c:pt>
                <c:pt idx="6">
                  <c:v>-15.085977285872104</c:v>
                </c:pt>
                <c:pt idx="7">
                  <c:v>-16.528760857455524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A2C-ADCF-9D452937444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C5'!$AI$8:$AP$8</c:f>
              <c:numCache>
                <c:formatCode>0.0</c:formatCode>
                <c:ptCount val="8"/>
                <c:pt idx="0">
                  <c:v>14.084158539930662</c:v>
                </c:pt>
                <c:pt idx="1">
                  <c:v>7.2187582468243789</c:v>
                </c:pt>
                <c:pt idx="2">
                  <c:v>5.8199423790437024</c:v>
                </c:pt>
                <c:pt idx="3">
                  <c:v>-6.5979160926362184</c:v>
                </c:pt>
                <c:pt idx="4">
                  <c:v>-9.4923627652980613</c:v>
                </c:pt>
                <c:pt idx="5">
                  <c:v>-9.7863880095754539</c:v>
                </c:pt>
                <c:pt idx="6">
                  <c:v>-17.157214434025299</c:v>
                </c:pt>
                <c:pt idx="7">
                  <c:v>-18.334378030320714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A2C-ADCF-9D452937444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C5'!$AI$9:$AP$9</c:f>
              <c:numCache>
                <c:formatCode>0.0</c:formatCode>
                <c:ptCount val="8"/>
                <c:pt idx="0">
                  <c:v>13.230731303693673</c:v>
                </c:pt>
                <c:pt idx="1">
                  <c:v>7.946946974029629</c:v>
                </c:pt>
                <c:pt idx="2">
                  <c:v>6.9590887588304184</c:v>
                </c:pt>
                <c:pt idx="3">
                  <c:v>-6.3561629386226315</c:v>
                </c:pt>
                <c:pt idx="4">
                  <c:v>-11.724679174266349</c:v>
                </c:pt>
                <c:pt idx="5">
                  <c:v>-12.384798210090537</c:v>
                </c:pt>
                <c:pt idx="6">
                  <c:v>-19.397884493720014</c:v>
                </c:pt>
                <c:pt idx="7">
                  <c:v>-20.792883215836362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A2C-ADCF-9D452937444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C5'!$AI$10:$AP$10</c:f>
              <c:numCache>
                <c:formatCode>0.0</c:formatCode>
                <c:ptCount val="8"/>
                <c:pt idx="0">
                  <c:v>12.034803122594028</c:v>
                </c:pt>
                <c:pt idx="1">
                  <c:v>7.720716742199663</c:v>
                </c:pt>
                <c:pt idx="2">
                  <c:v>4.932429368804911</c:v>
                </c:pt>
                <c:pt idx="3">
                  <c:v>-7.3085514499700466</c:v>
                </c:pt>
                <c:pt idx="4">
                  <c:v>-7.6371588036365878</c:v>
                </c:pt>
                <c:pt idx="5">
                  <c:v>-8.6746734170980559</c:v>
                </c:pt>
                <c:pt idx="6">
                  <c:v>-16.574079816115145</c:v>
                </c:pt>
                <c:pt idx="7">
                  <c:v>-17.70381731030049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D-4A2C-ADCF-9D452937444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C5'!$AI$11:$AP$11</c:f>
              <c:numCache>
                <c:formatCode>0.0</c:formatCode>
                <c:ptCount val="8"/>
                <c:pt idx="0">
                  <c:v>11.496611493199943</c:v>
                </c:pt>
                <c:pt idx="1">
                  <c:v>9.2105160553050496</c:v>
                </c:pt>
                <c:pt idx="2">
                  <c:v>5.1947736196387879</c:v>
                </c:pt>
                <c:pt idx="3">
                  <c:v>-7.9595160423561921</c:v>
                </c:pt>
                <c:pt idx="4">
                  <c:v>-8.7650781107489877</c:v>
                </c:pt>
                <c:pt idx="5">
                  <c:v>-9.6145816725434941</c:v>
                </c:pt>
                <c:pt idx="6">
                  <c:v>-17.039365831568929</c:v>
                </c:pt>
                <c:pt idx="7">
                  <c:v>-18.754754396306062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D-4A2C-ADCF-9D452937444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C5'!$AI$12:$AP$12</c:f>
              <c:numCache>
                <c:formatCode>0.0</c:formatCode>
                <c:ptCount val="8"/>
                <c:pt idx="0">
                  <c:v>10.774254704440693</c:v>
                </c:pt>
                <c:pt idx="1">
                  <c:v>7.0474895421262644</c:v>
                </c:pt>
                <c:pt idx="2">
                  <c:v>7.590341727038215</c:v>
                </c:pt>
                <c:pt idx="3">
                  <c:v>-8.3413505485184487</c:v>
                </c:pt>
                <c:pt idx="4">
                  <c:v>-10.167607670511188</c:v>
                </c:pt>
                <c:pt idx="5">
                  <c:v>-10.629620795137249</c:v>
                </c:pt>
                <c:pt idx="6">
                  <c:v>-18.374190872192145</c:v>
                </c:pt>
                <c:pt idx="7">
                  <c:v>-19.971777035957505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6D-4A2C-ADCF-9D452937444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C5'!$AI$13:$AP$13</c:f>
              <c:numCache>
                <c:formatCode>0.0</c:formatCode>
                <c:ptCount val="8"/>
                <c:pt idx="0">
                  <c:v>9.6730002373975168</c:v>
                </c:pt>
                <c:pt idx="1">
                  <c:v>8.8049206887459164</c:v>
                </c:pt>
                <c:pt idx="2">
                  <c:v>8.0139479345164801</c:v>
                </c:pt>
                <c:pt idx="3">
                  <c:v>-7.2828421999878401</c:v>
                </c:pt>
                <c:pt idx="4">
                  <c:v>-12.632203285751359</c:v>
                </c:pt>
                <c:pt idx="5">
                  <c:v>-14.145427393127783</c:v>
                </c:pt>
                <c:pt idx="6">
                  <c:v>-20.9398095684124</c:v>
                </c:pt>
                <c:pt idx="7">
                  <c:v>-23.160271635371487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6D-4A2C-ADCF-9D452937444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C5'!$AI$14:$AP$14</c:f>
              <c:numCache>
                <c:formatCode>0.0</c:formatCode>
                <c:ptCount val="8"/>
                <c:pt idx="0">
                  <c:v>8.9184898292681822</c:v>
                </c:pt>
                <c:pt idx="1">
                  <c:v>10.453746426657609</c:v>
                </c:pt>
                <c:pt idx="2">
                  <c:v>5.5338367833626521</c:v>
                </c:pt>
                <c:pt idx="3">
                  <c:v>-8.0702110071208892</c:v>
                </c:pt>
                <c:pt idx="4">
                  <c:v>-8.8822288919734476</c:v>
                </c:pt>
                <c:pt idx="5">
                  <c:v>-10.862326683041147</c:v>
                </c:pt>
                <c:pt idx="6">
                  <c:v>-20.683207176857707</c:v>
                </c:pt>
                <c:pt idx="7">
                  <c:v>-20.239104166433336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D-4A2C-ADCF-9D452937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'Laskenta vaipan läpi C5'!$L$23:$L$38</c:f>
              <c:numCache>
                <c:formatCode>0.0</c:formatCode>
                <c:ptCount val="16"/>
                <c:pt idx="0">
                  <c:v>10.013000000000002</c:v>
                </c:pt>
                <c:pt idx="1">
                  <c:v>9.9978999999999996</c:v>
                </c:pt>
                <c:pt idx="2">
                  <c:v>9.9989999999999988</c:v>
                </c:pt>
                <c:pt idx="3">
                  <c:v>10.010999999999997</c:v>
                </c:pt>
                <c:pt idx="4">
                  <c:v>8</c:v>
                </c:pt>
                <c:pt idx="5">
                  <c:v>7.9989999999999997</c:v>
                </c:pt>
                <c:pt idx="6">
                  <c:v>8.0071999999999992</c:v>
                </c:pt>
                <c:pt idx="7">
                  <c:v>8.0139999999999976</c:v>
                </c:pt>
                <c:pt idx="8">
                  <c:v>5.9979999999999993</c:v>
                </c:pt>
                <c:pt idx="9">
                  <c:v>6.0060000000000002</c:v>
                </c:pt>
                <c:pt idx="10">
                  <c:v>5.9969999999999999</c:v>
                </c:pt>
                <c:pt idx="11">
                  <c:v>6.0099999999999989</c:v>
                </c:pt>
                <c:pt idx="12">
                  <c:v>4</c:v>
                </c:pt>
                <c:pt idx="13">
                  <c:v>3.9969999999999999</c:v>
                </c:pt>
                <c:pt idx="14">
                  <c:v>3.9940000000000007</c:v>
                </c:pt>
                <c:pt idx="15">
                  <c:v>3.9969999999999999</c:v>
                </c:pt>
              </c:numCache>
            </c:numRef>
          </c:xVal>
          <c:yVal>
            <c:numRef>
              <c:f>'Laskenta vaipan läpi C5'!$M$23:$M$38</c:f>
              <c:numCache>
                <c:formatCode>0.0</c:formatCode>
                <c:ptCount val="16"/>
                <c:pt idx="0">
                  <c:v>49.959495723320273</c:v>
                </c:pt>
                <c:pt idx="1">
                  <c:v>49.622154443664968</c:v>
                </c:pt>
                <c:pt idx="2">
                  <c:v>51.572881755630256</c:v>
                </c:pt>
                <c:pt idx="3">
                  <c:v>55.375528164873884</c:v>
                </c:pt>
                <c:pt idx="4">
                  <c:v>48.124368787598968</c:v>
                </c:pt>
                <c:pt idx="5">
                  <c:v>48.629008822714624</c:v>
                </c:pt>
                <c:pt idx="6">
                  <c:v>49.868043464847737</c:v>
                </c:pt>
                <c:pt idx="7">
                  <c:v>54.011171297709097</c:v>
                </c:pt>
                <c:pt idx="8">
                  <c:v>43.043444610882446</c:v>
                </c:pt>
                <c:pt idx="9">
                  <c:v>44.274271017518608</c:v>
                </c:pt>
                <c:pt idx="10">
                  <c:v>47.201799492571297</c:v>
                </c:pt>
                <c:pt idx="11">
                  <c:v>51.067704078772323</c:v>
                </c:pt>
                <c:pt idx="12">
                  <c:v>39.056417756173836</c:v>
                </c:pt>
                <c:pt idx="13">
                  <c:v>38.730135277951547</c:v>
                </c:pt>
                <c:pt idx="14">
                  <c:v>40.22421910685906</c:v>
                </c:pt>
                <c:pt idx="15">
                  <c:v>42.82591117655501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C-4BD4-85D0-74AA2C7A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56352"/>
        <c:axId val="679456832"/>
      </c:scatterChart>
      <c:valAx>
        <c:axId val="67945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832"/>
        <c:crosses val="autoZero"/>
        <c:crossBetween val="midCat"/>
      </c:valAx>
      <c:valAx>
        <c:axId val="6794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C5'!$P$23:$P$38</c:f>
              <c:numCache>
                <c:formatCode>0.000</c:formatCode>
                <c:ptCount val="16"/>
                <c:pt idx="0">
                  <c:v>4.6922380111074106E-4</c:v>
                </c:pt>
                <c:pt idx="1">
                  <c:v>1.1209100075275313E-3</c:v>
                </c:pt>
                <c:pt idx="2">
                  <c:v>2.5167069131668985E-3</c:v>
                </c:pt>
                <c:pt idx="3">
                  <c:v>5.3442602339547843E-3</c:v>
                </c:pt>
                <c:pt idx="4">
                  <c:v>4.6356462084177423E-4</c:v>
                </c:pt>
                <c:pt idx="5">
                  <c:v>1.1584910671669983E-3</c:v>
                </c:pt>
                <c:pt idx="6">
                  <c:v>2.5726352045864582E-3</c:v>
                </c:pt>
                <c:pt idx="7">
                  <c:v>6.2392403650575173E-3</c:v>
                </c:pt>
                <c:pt idx="8">
                  <c:v>4.764289228730012E-4</c:v>
                </c:pt>
                <c:pt idx="9">
                  <c:v>1.2473190328029799E-3</c:v>
                </c:pt>
                <c:pt idx="10">
                  <c:v>2.7534654133972896E-3</c:v>
                </c:pt>
                <c:pt idx="11">
                  <c:v>6.9169708764218549E-3</c:v>
                </c:pt>
                <c:pt idx="12">
                  <c:v>4.6787903161027303E-4</c:v>
                </c:pt>
                <c:pt idx="13">
                  <c:v>1.2150850310684693E-3</c:v>
                </c:pt>
                <c:pt idx="14">
                  <c:v>2.711603986132711E-3</c:v>
                </c:pt>
                <c:pt idx="15">
                  <c:v>7.0092621976853946E-3</c:v>
                </c:pt>
              </c:numCache>
            </c:numRef>
          </c:xVal>
          <c:yVal>
            <c:numRef>
              <c:f>'Laskenta vaipan läpi C5'!$S$23:$S$38</c:f>
              <c:numCache>
                <c:formatCode>0.0</c:formatCode>
                <c:ptCount val="16"/>
                <c:pt idx="0">
                  <c:v>-2.4129763200221106</c:v>
                </c:pt>
                <c:pt idx="1">
                  <c:v>-2.7310781848444492</c:v>
                </c:pt>
                <c:pt idx="2">
                  <c:v>-0.78175340062511367</c:v>
                </c:pt>
                <c:pt idx="3">
                  <c:v>3.0056027208076657</c:v>
                </c:pt>
                <c:pt idx="4">
                  <c:v>-1.3868456949423091</c:v>
                </c:pt>
                <c:pt idx="5">
                  <c:v>-0.88061202573069153</c:v>
                </c:pt>
                <c:pt idx="6">
                  <c:v>0.34536069392184032</c:v>
                </c:pt>
                <c:pt idx="7">
                  <c:v>4.4776668303363749</c:v>
                </c:pt>
                <c:pt idx="8">
                  <c:v>-2.7960692970633403</c:v>
                </c:pt>
                <c:pt idx="9">
                  <c:v>-1.582234930175801</c:v>
                </c:pt>
                <c:pt idx="10">
                  <c:v>1.3644111829520753</c:v>
                </c:pt>
                <c:pt idx="11">
                  <c:v>5.2027105968535921</c:v>
                </c:pt>
                <c:pt idx="12">
                  <c:v>-1.6183652056937134</c:v>
                </c:pt>
                <c:pt idx="13">
                  <c:v>-1.9350828897191406</c:v>
                </c:pt>
                <c:pt idx="14">
                  <c:v>-0.43142708493905957</c:v>
                </c:pt>
                <c:pt idx="15">
                  <c:v>2.1606930088843228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3-4824-A069-74091713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82752"/>
        <c:axId val="679466432"/>
      </c:scatterChart>
      <c:valAx>
        <c:axId val="6794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66432"/>
        <c:crosses val="autoZero"/>
        <c:crossBetween val="midCat"/>
      </c:valAx>
      <c:valAx>
        <c:axId val="6794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C5'!$O$8:$O$14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C0-4EA4-9021-6C3665F7612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C5'!$O$18:$O$22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C0-4EA4-9021-6C3665F7612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C5'!$O$26:$O$30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C0-4EA4-9021-6C3665F7612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C5'!$O$34:$O$38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C0-4EA4-9021-6C3665F7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FC-4581-BB4B-D015A63EC735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C5'!$I$6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vesipatteri C5'!$S$22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FC-4581-BB4B-D015A63E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1-4A01-913B-8CF6959B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59.955184484106653</c:v>
                </c:pt>
                <c:pt idx="1">
                  <c:v>55.77716054504107</c:v>
                </c:pt>
                <c:pt idx="2">
                  <c:v>49.3372428680917</c:v>
                </c:pt>
                <c:pt idx="3">
                  <c:v>40.702644663301612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44.346199606703017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hyötysuhde_C'!$F$104:$F$112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92-4C20-9A6E-28DB151A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75.71744077706883</c:v>
                </c:pt>
                <c:pt idx="1">
                  <c:v>71.733263072816172</c:v>
                </c:pt>
                <c:pt idx="2">
                  <c:v>65.230682783370469</c:v>
                </c:pt>
                <c:pt idx="3">
                  <c:v>55.844212068632928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59.780596319087948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94.868604190524394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100.69409505370878</c:v>
                </c:pt>
                <c:pt idx="1">
                  <c:v>94.868604190524394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4.7127720046843589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  <c:pt idx="4">
                  <c:v>94.868604190524394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158.01866039900077</c:v>
                </c:pt>
                <c:pt idx="1">
                  <c:v>96.381524368062856</c:v>
                </c:pt>
                <c:pt idx="2">
                  <c:v>43.842499385534595</c:v>
                </c:pt>
                <c:pt idx="3">
                  <c:v>15.391215549318181</c:v>
                </c:pt>
                <c:pt idx="4">
                  <c:v>123.47527925957563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22.063588519004107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304.0778302465601</c:v>
                </c:pt>
                <c:pt idx="1">
                  <c:v>208.77182069810107</c:v>
                </c:pt>
                <c:pt idx="2">
                  <c:v>109.47478502080335</c:v>
                </c:pt>
                <c:pt idx="3">
                  <c:v>40.159127038885018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63.858071201980053</c:v>
                </c:pt>
                <c:pt idx="1">
                  <c:v>59.357096988441683</c:v>
                </c:pt>
                <c:pt idx="2">
                  <c:v>52.90723266033018</c:v>
                </c:pt>
                <c:pt idx="3">
                  <c:v>44.938699273780458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44.948869406533539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75.119907633352625</c:v>
                </c:pt>
                <c:pt idx="1">
                  <c:v>70.924316667215521</c:v>
                </c:pt>
                <c:pt idx="2">
                  <c:v>64.802494368330841</c:v>
                </c:pt>
                <c:pt idx="3">
                  <c:v>55.853429264173442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56.158911218843045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104.87968134721032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112.96216821503235</c:v>
                </c:pt>
                <c:pt idx="1">
                  <c:v>104.87968134721032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4.0531319918766719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  <c:pt idx="4">
                  <c:v>104.87968134721032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163.49413242133181</c:v>
                </c:pt>
                <c:pt idx="1">
                  <c:v>97.174003795856535</c:v>
                </c:pt>
                <c:pt idx="2">
                  <c:v>44.133401085330902</c:v>
                </c:pt>
                <c:pt idx="3">
                  <c:v>15.981485783395716</c:v>
                </c:pt>
                <c:pt idx="4">
                  <c:v>143.52822392425961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16.228304091521537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346.40972982737833</c:v>
                </c:pt>
                <c:pt idx="1">
                  <c:v>234.1655051046626</c:v>
                </c:pt>
                <c:pt idx="2">
                  <c:v>127.97735742875983</c:v>
                </c:pt>
                <c:pt idx="3">
                  <c:v>52.018958009427216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hyötysuhde_C'!$F$130:$F$138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F3B-AC1F-14D74324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204.44830020683185</c:v>
                </c:pt>
                <c:pt idx="1">
                  <c:v>158.0889767042238</c:v>
                </c:pt>
                <c:pt idx="2">
                  <c:v>60.178200565171835</c:v>
                </c:pt>
                <c:pt idx="3">
                  <c:v>15.130033748581958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1AA1D1E-E05C-4007-9C04-4DA36296938B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0BE88DD-8237-6A42-867C-3681906C69E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8450EA7-FD10-7445-ADB7-63C76EAF7349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FF235D8-76D5-8A4B-809C-FAA6987AEFCD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72.604312691550433</c:v>
                </c:pt>
                <c:pt idx="1">
                  <c:v>44.795173505299879</c:v>
                </c:pt>
                <c:pt idx="2">
                  <c:v>22.461128515271891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82.566405177863032</c:v>
                </c:pt>
                <c:pt idx="1">
                  <c:v>72.604312691550433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5.0302292391501711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61.198023167181752</c:v>
                </c:pt>
                <c:pt idx="1">
                  <c:v>59.332735309711786</c:v>
                </c:pt>
                <c:pt idx="2">
                  <c:v>51.118135525881435</c:v>
                </c:pt>
                <c:pt idx="3">
                  <c:v>40.9693078489491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51.680219360758947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72.824145449934122</c:v>
                </c:pt>
                <c:pt idx="1">
                  <c:v>70.462999129185164</c:v>
                </c:pt>
                <c:pt idx="2">
                  <c:v>61.67043540609842</c:v>
                </c:pt>
                <c:pt idx="3">
                  <c:v>50.991512401145307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62.405545621946942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103.58447842556433</c:v>
                </c:pt>
                <c:pt idx="1">
                  <c:v>74.118260611681706</c:v>
                </c:pt>
                <c:pt idx="2">
                  <c:v>23.012152222672796</c:v>
                </c:pt>
                <c:pt idx="3">
                  <c:v>6.8623915241176103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22.813847178921428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228.72690133803752</c:v>
                </c:pt>
                <c:pt idx="1">
                  <c:v>193.19294831676325</c:v>
                </c:pt>
                <c:pt idx="2">
                  <c:v>75.028067808738285</c:v>
                </c:pt>
                <c:pt idx="3">
                  <c:v>22.360350913994857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952B904-710B-47D1-8E16-555A7E415B59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732110D-EDF5-B34D-A6A7-C3857F2884B0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AFCC7-6599-5742-B000-C0C974FC558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E83599-5782-D445-8EF7-E35B8A2ECB4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84.359425594010247</c:v>
                </c:pt>
                <c:pt idx="1">
                  <c:v>52.571438408524578</c:v>
                </c:pt>
                <c:pt idx="2">
                  <c:v>28.699695321676753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91.79026042354208</c:v>
                </c:pt>
                <c:pt idx="1">
                  <c:v>84.359425594010247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4.309833456421293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63.809183640227481</c:v>
                </c:pt>
                <c:pt idx="1">
                  <c:v>61.724794198700707</c:v>
                </c:pt>
                <c:pt idx="2">
                  <c:v>52.779986304920797</c:v>
                </c:pt>
                <c:pt idx="3">
                  <c:v>42.008574798830779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50.043779448357903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74.194050248878867</c:v>
                </c:pt>
                <c:pt idx="1">
                  <c:v>72.627922286967632</c:v>
                </c:pt>
                <c:pt idx="2">
                  <c:v>63.432746796363475</c:v>
                </c:pt>
                <c:pt idx="3">
                  <c:v>51.479934476687312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60.140030197120907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hyötysuhde_C'!$AJ$101:$AJ$108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hyötysuhde_C'!$AL$101:$AL$108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F-469B-BDB1-D6CE7F402109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hyötysuhde_C'!$AK$130:$AK$136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hyötysuhde_C'!$AV$130:$AV$136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F-469B-BDB1-D6CE7F402109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hyötysuhde_C'!$AK$133:$AK$136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hyötysuhde_C'!$AV$133:$AV$136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5F-469B-BDB1-D6CE7F402109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hyötysuhde_C'!$AR$119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hyötysuhde_C'!$AW$121</c:f>
              <c:numCache>
                <c:formatCode>0.0</c:formatCode>
                <c:ptCount val="1"/>
                <c:pt idx="0">
                  <c:v>78.692155044346237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5F-469B-BDB1-D6CE7F40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114.23560883962223</c:v>
                </c:pt>
                <c:pt idx="1">
                  <c:v>89.401348971642591</c:v>
                </c:pt>
                <c:pt idx="2">
                  <c:v>27.717754071956222</c:v>
                </c:pt>
                <c:pt idx="3">
                  <c:v>7.7104112968649705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17.754934733499603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0.16476388404371153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0.55180496780168875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59.766386746332813</c:v>
                </c:pt>
                <c:pt idx="1">
                  <c:v>54.387346769698617</c:v>
                </c:pt>
                <c:pt idx="2">
                  <c:v>49.002505039094423</c:v>
                </c:pt>
                <c:pt idx="3">
                  <c:v>39.581460420087545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37.114768212132461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76.621681215119608</c:v>
                </c:pt>
                <c:pt idx="1">
                  <c:v>72.373720338502551</c:v>
                </c:pt>
                <c:pt idx="2">
                  <c:v>66.538320868792781</c:v>
                </c:pt>
                <c:pt idx="3">
                  <c:v>56.960573069316865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54.684900992146197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114.75092544599043</c:v>
                </c:pt>
                <c:pt idx="1">
                  <c:v>81.893045588599378</c:v>
                </c:pt>
                <c:pt idx="2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142.46762474241928</c:v>
                </c:pt>
                <c:pt idx="1">
                  <c:v>130.2193516647132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3.6362588253855237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  <c:pt idx="4">
                  <c:v>106.3415006787484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271.48697517506355</c:v>
                </c:pt>
                <c:pt idx="1">
                  <c:v>152.00360588996386</c:v>
                </c:pt>
                <c:pt idx="2">
                  <c:v>68.406592650767124</c:v>
                </c:pt>
                <c:pt idx="3">
                  <c:v>28.032784466218004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24.735367445419278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608.70815290217581</c:v>
                </c:pt>
                <c:pt idx="1">
                  <c:v>394.90182857182918</c:v>
                </c:pt>
                <c:pt idx="2">
                  <c:v>201.12719498053667</c:v>
                </c:pt>
                <c:pt idx="3">
                  <c:v>79.04878956000158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716.72321876177148</c:v>
                </c:pt>
                <c:pt idx="1">
                  <c:v>479.46149159892548</c:v>
                </c:pt>
                <c:pt idx="2">
                  <c:v>265.63213592390093</c:v>
                </c:pt>
                <c:pt idx="3">
                  <c:v>115.20670602644462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92.719999459737778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58.714345219568912</c:v>
                </c:pt>
                <c:pt idx="1">
                  <c:v>53.513715349666363</c:v>
                </c:pt>
                <c:pt idx="2">
                  <c:v>48.806030071581283</c:v>
                </c:pt>
                <c:pt idx="3">
                  <c:v>39.284775763307032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35.781862997423623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76.769936267264811</c:v>
                </c:pt>
                <c:pt idx="1">
                  <c:v>71.743113991983364</c:v>
                </c:pt>
                <c:pt idx="2">
                  <c:v>65.284212536754453</c:v>
                </c:pt>
                <c:pt idx="3">
                  <c:v>55.304711315396467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51.187489198229144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hyötysuhde_C'!$G$24:$G$30</c:f>
              <c:numCache>
                <c:formatCode>0.0\ %</c:formatCode>
                <c:ptCount val="7"/>
                <c:pt idx="0">
                  <c:v>0.83</c:v>
                </c:pt>
                <c:pt idx="1">
                  <c:v>0.83400000000000007</c:v>
                </c:pt>
                <c:pt idx="2">
                  <c:v>0.85199999999999998</c:v>
                </c:pt>
                <c:pt idx="3">
                  <c:v>0.85299999999999998</c:v>
                </c:pt>
                <c:pt idx="4">
                  <c:v>0.85299999999999998</c:v>
                </c:pt>
                <c:pt idx="5">
                  <c:v>0.85099999999999998</c:v>
                </c:pt>
                <c:pt idx="6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9-45D7-99A3-7AB676D55043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hyötysuhde_C'!$F$38</c:f>
              <c:numCache>
                <c:formatCode>0.00</c:formatCode>
                <c:ptCount val="1"/>
                <c:pt idx="0">
                  <c:v>0.85299999999999998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9-45D7-99A3-7AB676D55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121.21031277492094</c:v>
                </c:pt>
                <c:pt idx="1">
                  <c:v>86.561094418036447</c:v>
                </c:pt>
                <c:pt idx="2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149.95745068650263</c:v>
                </c:pt>
                <c:pt idx="1">
                  <c:v>137.50149800513088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3.4493235372979947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  <c:pt idx="4">
                  <c:v>112.32816230416189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254.39056803317524</c:v>
                </c:pt>
                <c:pt idx="1">
                  <c:v>153.23123350627674</c:v>
                </c:pt>
                <c:pt idx="2">
                  <c:v>68.14026338257375</c:v>
                </c:pt>
                <c:pt idx="3">
                  <c:v>28.014982970755362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23.171215815794739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610.46411494566701</c:v>
                </c:pt>
                <c:pt idx="1">
                  <c:v>398.84411301337485</c:v>
                </c:pt>
                <c:pt idx="2">
                  <c:v>203.40869794777888</c:v>
                </c:pt>
                <c:pt idx="3">
                  <c:v>80.314801888086976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700.56589595263733</c:v>
                </c:pt>
                <c:pt idx="1">
                  <c:v>462.08982449798731</c:v>
                </c:pt>
                <c:pt idx="2">
                  <c:v>252.00448813845148</c:v>
                </c:pt>
                <c:pt idx="3">
                  <c:v>107.3159754445777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77.874823469031625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59.766386746332813</c:v>
                </c:pt>
                <c:pt idx="1">
                  <c:v>54.387346769698617</c:v>
                </c:pt>
                <c:pt idx="2">
                  <c:v>49.002505039094423</c:v>
                </c:pt>
                <c:pt idx="3">
                  <c:v>39.581460420087545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37.114768212132461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76.621681215119608</c:v>
                </c:pt>
                <c:pt idx="1">
                  <c:v>72.373720338502551</c:v>
                </c:pt>
                <c:pt idx="2">
                  <c:v>66.538320868792781</c:v>
                </c:pt>
                <c:pt idx="3">
                  <c:v>56.960573069316865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54.684900992146197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114.75092544599043</c:v>
                </c:pt>
                <c:pt idx="1">
                  <c:v>81.893045588599378</c:v>
                </c:pt>
                <c:pt idx="2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142.46762474241928</c:v>
                </c:pt>
                <c:pt idx="1">
                  <c:v>130.2193516647132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3.6362588253855237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4.1977982673106373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54.12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271.48697517506355</c:v>
                </c:pt>
                <c:pt idx="1">
                  <c:v>152.00360588996386</c:v>
                </c:pt>
                <c:pt idx="2">
                  <c:v>68.406592650767124</c:v>
                </c:pt>
                <c:pt idx="3">
                  <c:v>28.032784466218004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24.735367445419278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hyötysuhde_C'!$H$24:$H$30</c:f>
              <c:numCache>
                <c:formatCode>0.000\ %</c:formatCode>
                <c:ptCount val="7"/>
                <c:pt idx="0">
                  <c:v>0.87</c:v>
                </c:pt>
                <c:pt idx="1">
                  <c:v>0.86900000000000011</c:v>
                </c:pt>
                <c:pt idx="2">
                  <c:v>0.84</c:v>
                </c:pt>
                <c:pt idx="3">
                  <c:v>0.82200000000000006</c:v>
                </c:pt>
                <c:pt idx="4">
                  <c:v>0.81</c:v>
                </c:pt>
                <c:pt idx="5">
                  <c:v>0.79900000000000004</c:v>
                </c:pt>
                <c:pt idx="6">
                  <c:v>0.79099999999999993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8-42FB-9030-35E2D8459D5B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hyötysuhde_C'!$F$39</c:f>
              <c:numCache>
                <c:formatCode>0.00</c:formatCode>
                <c:ptCount val="1"/>
                <c:pt idx="0">
                  <c:v>0.80999999999999994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58-42FB-9030-35E2D845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608.70815290217581</c:v>
                </c:pt>
                <c:pt idx="1">
                  <c:v>394.90182857182918</c:v>
                </c:pt>
                <c:pt idx="2">
                  <c:v>201.12719498053667</c:v>
                </c:pt>
                <c:pt idx="3">
                  <c:v>79.04878956000158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716.72321876177148</c:v>
                </c:pt>
                <c:pt idx="1">
                  <c:v>479.46149159892548</c:v>
                </c:pt>
                <c:pt idx="2">
                  <c:v>265.63213592390093</c:v>
                </c:pt>
                <c:pt idx="3">
                  <c:v>115.20670602644462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92.719999459737778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58.714345219568912</c:v>
                </c:pt>
                <c:pt idx="1">
                  <c:v>53.513715349666363</c:v>
                </c:pt>
                <c:pt idx="2">
                  <c:v>48.806030071581283</c:v>
                </c:pt>
                <c:pt idx="3">
                  <c:v>39.284775763307032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35.781862997423623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76.769936267264811</c:v>
                </c:pt>
                <c:pt idx="1">
                  <c:v>71.743113991983364</c:v>
                </c:pt>
                <c:pt idx="2">
                  <c:v>65.284212536754453</c:v>
                </c:pt>
                <c:pt idx="3">
                  <c:v>55.304711315396467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51.187489198229144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121.21031277492094</c:v>
                </c:pt>
                <c:pt idx="1">
                  <c:v>86.561094418036447</c:v>
                </c:pt>
                <c:pt idx="2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149.95745068650263</c:v>
                </c:pt>
                <c:pt idx="1">
                  <c:v>137.50149800513088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3.4493235372979947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3.9739758968741987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53.52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254.39056803317524</c:v>
                </c:pt>
                <c:pt idx="1">
                  <c:v>153.23123350627674</c:v>
                </c:pt>
                <c:pt idx="2">
                  <c:v>68.14026338257375</c:v>
                </c:pt>
                <c:pt idx="3">
                  <c:v>28.014982970755362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23.171215815794739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610.46411494566701</c:v>
                </c:pt>
                <c:pt idx="1">
                  <c:v>398.84411301337485</c:v>
                </c:pt>
                <c:pt idx="2">
                  <c:v>203.40869794777888</c:v>
                </c:pt>
                <c:pt idx="3">
                  <c:v>80.314801888086976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700.56589595263733</c:v>
                </c:pt>
                <c:pt idx="1">
                  <c:v>462.08982449798731</c:v>
                </c:pt>
                <c:pt idx="2">
                  <c:v>252.00448813845148</c:v>
                </c:pt>
                <c:pt idx="3">
                  <c:v>107.3159754445777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77.874823469031625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C5'!$C$59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0.11786675444785626"/>
                  <c:y val="8.5372682335047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C5'!$D$59:$D$62</c:f>
              <c:numCache>
                <c:formatCode>0.0</c:formatCode>
                <c:ptCount val="4"/>
                <c:pt idx="0">
                  <c:v>611.24785436810203</c:v>
                </c:pt>
                <c:pt idx="1">
                  <c:v>541.62478974594433</c:v>
                </c:pt>
                <c:pt idx="2">
                  <c:v>461.52175623506179</c:v>
                </c:pt>
                <c:pt idx="3">
                  <c:v>357.67806103248057</c:v>
                </c:pt>
              </c:numCache>
            </c:numRef>
          </c:xVal>
          <c:yVal>
            <c:numRef>
              <c:f>'Laskenta tulopuoli C5'!$E$59:$E$62</c:f>
              <c:numCache>
                <c:formatCode>0.0</c:formatCode>
                <c:ptCount val="4"/>
                <c:pt idx="0">
                  <c:v>56.039310494973591</c:v>
                </c:pt>
                <c:pt idx="1">
                  <c:v>55.032590691675303</c:v>
                </c:pt>
                <c:pt idx="2">
                  <c:v>57.55522907548734</c:v>
                </c:pt>
                <c:pt idx="3">
                  <c:v>63.567010423443264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9F-4D01-8221-72F7248AC51F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0484383510690112"/>
                  <c:y val="0.13536113927717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C5'!$D$64:$D$67</c:f>
              <c:numCache>
                <c:formatCode>0.0</c:formatCode>
                <c:ptCount val="4"/>
                <c:pt idx="0">
                  <c:v>542.17973154723245</c:v>
                </c:pt>
                <c:pt idx="1">
                  <c:v>472.47464976336812</c:v>
                </c:pt>
                <c:pt idx="2">
                  <c:v>389.74060928785525</c:v>
                </c:pt>
                <c:pt idx="3">
                  <c:v>292.98939438082436</c:v>
                </c:pt>
              </c:numCache>
            </c:numRef>
          </c:xVal>
          <c:yVal>
            <c:numRef>
              <c:f>'Laskenta tulopuoli C5'!$E$64:$E$67</c:f>
              <c:numCache>
                <c:formatCode>0.0</c:formatCode>
                <c:ptCount val="4"/>
                <c:pt idx="0">
                  <c:v>55.408722331093671</c:v>
                </c:pt>
                <c:pt idx="1">
                  <c:v>54.475572963562122</c:v>
                </c:pt>
                <c:pt idx="2">
                  <c:v>55.826521838973228</c:v>
                </c:pt>
                <c:pt idx="3">
                  <c:v>60.12898930801839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9F-4D01-8221-72F7248AC51F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1936167470669527"/>
                  <c:y val="0.131954352864489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C5'!$D$69:$D$72</c:f>
              <c:numCache>
                <c:formatCode>0.0</c:formatCode>
                <c:ptCount val="4"/>
                <c:pt idx="0">
                  <c:v>387.63817389018845</c:v>
                </c:pt>
                <c:pt idx="1">
                  <c:v>335.53377285666636</c:v>
                </c:pt>
                <c:pt idx="2">
                  <c:v>277.64440783292383</c:v>
                </c:pt>
                <c:pt idx="3">
                  <c:v>191.37159094168865</c:v>
                </c:pt>
              </c:numCache>
            </c:numRef>
          </c:xVal>
          <c:yVal>
            <c:numRef>
              <c:f>'Laskenta tulopuoli C5'!$E$69:$E$72</c:f>
              <c:numCache>
                <c:formatCode>0.0</c:formatCode>
                <c:ptCount val="4"/>
                <c:pt idx="0">
                  <c:v>48.06850608295192</c:v>
                </c:pt>
                <c:pt idx="1">
                  <c:v>46.922722267487693</c:v>
                </c:pt>
                <c:pt idx="2">
                  <c:v>47.930748155823295</c:v>
                </c:pt>
                <c:pt idx="3">
                  <c:v>53.052885496574561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9F-4D01-8221-72F7248AC51F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8.263818775215509E-2"/>
                  <c:y val="0.115620925979575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C5'!$D$74:$D$77</c:f>
              <c:numCache>
                <c:formatCode>0.0</c:formatCode>
                <c:ptCount val="4"/>
                <c:pt idx="0">
                  <c:v>241.54774717790758</c:v>
                </c:pt>
                <c:pt idx="1">
                  <c:v>210.39256375926465</c:v>
                </c:pt>
                <c:pt idx="2">
                  <c:v>175.32883927084114</c:v>
                </c:pt>
                <c:pt idx="3">
                  <c:v>131.62355365636563</c:v>
                </c:pt>
              </c:numCache>
            </c:numRef>
          </c:xVal>
          <c:yVal>
            <c:numRef>
              <c:f>'Laskenta tulopuoli C5'!$E$74:$E$77</c:f>
              <c:numCache>
                <c:formatCode>0.0</c:formatCode>
                <c:ptCount val="4"/>
                <c:pt idx="0">
                  <c:v>39.832465884352047</c:v>
                </c:pt>
                <c:pt idx="1">
                  <c:v>38.90781019036568</c:v>
                </c:pt>
                <c:pt idx="2">
                  <c:v>42.096114198066246</c:v>
                </c:pt>
                <c:pt idx="3">
                  <c:v>45.163853243501777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C9F-4D01-8221-72F7248AC51F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BC9F-4D01-8221-72F7248AC51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C9F-4D01-8221-72F7248AC51F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4.5263059823858934E-2"/>
                  <c:y val="-0.1278726370681538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C5'!$AF$34:$AF$37</c:f>
              <c:numCache>
                <c:formatCode>0.0</c:formatCode>
                <c:ptCount val="4"/>
                <c:pt idx="0">
                  <c:v>55.359713397034199</c:v>
                </c:pt>
                <c:pt idx="1">
                  <c:v>54.810768429920557</c:v>
                </c:pt>
                <c:pt idx="2">
                  <c:v>47.392285596895412</c:v>
                </c:pt>
                <c:pt idx="3">
                  <c:v>39.339090880450151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C9F-4D01-8221-72F7248AC5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C5'!$W$5</c:f>
              <c:numCache>
                <c:formatCode>0.0</c:formatCode>
                <c:ptCount val="1"/>
                <c:pt idx="0">
                  <c:v>53.010413371069873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C9F-4D01-8221-72F7248A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61.463772608084341</c:v>
                </c:pt>
                <c:pt idx="1">
                  <c:v>56.664699444084086</c:v>
                </c:pt>
                <c:pt idx="2">
                  <c:v>50.271040832610737</c:v>
                </c:pt>
                <c:pt idx="3">
                  <c:v>38.682435539113378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52.054193223984704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72.998321056326319</c:v>
                </c:pt>
                <c:pt idx="1">
                  <c:v>67.514723767959595</c:v>
                </c:pt>
                <c:pt idx="2">
                  <c:v>61.088036068481493</c:v>
                </c:pt>
                <c:pt idx="3">
                  <c:v>49.926134441218167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63.166842089688146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59.80758975113757</c:v>
                </c:pt>
                <c:pt idx="1">
                  <c:v>41.185589788344139</c:v>
                </c:pt>
                <c:pt idx="2">
                  <c:v>19.642726720766603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79.741789709765186</c:v>
                </c:pt>
                <c:pt idx="1">
                  <c:v>70.712256563959329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5.2606981527034833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6.0493245906815094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54.12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95.40325574657399</c:v>
                </c:pt>
                <c:pt idx="1">
                  <c:v>45.835954608284695</c:v>
                </c:pt>
                <c:pt idx="2">
                  <c:v>20.949341361693321</c:v>
                </c:pt>
                <c:pt idx="3">
                  <c:v>6.5168169308963897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24.006013717721586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190.69912861446176</c:v>
                </c:pt>
                <c:pt idx="1">
                  <c:v>107.27273479592679</c:v>
                </c:pt>
                <c:pt idx="2">
                  <c:v>50.870655099551712</c:v>
                </c:pt>
                <c:pt idx="3">
                  <c:v>11.571250630345872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61.961302980290775</c:v>
                </c:pt>
                <c:pt idx="1">
                  <c:v>56.653715140019358</c:v>
                </c:pt>
                <c:pt idx="2">
                  <c:v>50.230733038797275</c:v>
                </c:pt>
                <c:pt idx="3">
                  <c:v>38.720662308536909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48.991849262605832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73.809721520211866</c:v>
                </c:pt>
                <c:pt idx="1">
                  <c:v>68.850678573350066</c:v>
                </c:pt>
                <c:pt idx="2">
                  <c:v>62.66828289334282</c:v>
                </c:pt>
                <c:pt idx="3">
                  <c:v>50.747230144839612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61.131940217930122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69.083296304840971</c:v>
                </c:pt>
                <c:pt idx="1">
                  <c:v>49.280885068234205</c:v>
                </c:pt>
                <c:pt idx="2">
                  <c:v>24.79324513329987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89.264929459149343</c:v>
                </c:pt>
                <c:pt idx="1">
                  <c:v>81.404774720167921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4.5864116691067442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5.2925485252393409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53.52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103.57761301250554</c:v>
                </c:pt>
                <c:pt idx="1">
                  <c:v>53.602195253932109</c:v>
                </c:pt>
                <c:pt idx="2">
                  <c:v>23.942222890066784</c:v>
                </c:pt>
                <c:pt idx="3">
                  <c:v>6.9234013753118306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18.150117836193097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216.31457102130202</c:v>
                </c:pt>
                <c:pt idx="1">
                  <c:v>129.55976328223596</c:v>
                </c:pt>
                <c:pt idx="2">
                  <c:v>65.929691019254093</c:v>
                </c:pt>
                <c:pt idx="3">
                  <c:v>16.687481262922276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7.4974059348454011E-2"/>
                  <c:y val="-0.14711514087057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C5'!$N$59:$N$62</c:f>
              <c:numCache>
                <c:formatCode>0.0</c:formatCode>
                <c:ptCount val="4"/>
                <c:pt idx="0">
                  <c:v>629.17768837462597</c:v>
                </c:pt>
                <c:pt idx="1">
                  <c:v>532.65794809164368</c:v>
                </c:pt>
                <c:pt idx="2">
                  <c:v>450.08128754152114</c:v>
                </c:pt>
                <c:pt idx="3">
                  <c:v>348.23126989901903</c:v>
                </c:pt>
              </c:numCache>
            </c:numRef>
          </c:xVal>
          <c:yVal>
            <c:numRef>
              <c:f>'Laskenta tulopuoli C5'!$O$59:$O$62</c:f>
              <c:numCache>
                <c:formatCode>0.0</c:formatCode>
                <c:ptCount val="4"/>
                <c:pt idx="0">
                  <c:v>75.462279505439284</c:v>
                </c:pt>
                <c:pt idx="1">
                  <c:v>75.545028409837727</c:v>
                </c:pt>
                <c:pt idx="2">
                  <c:v>76.90227839282656</c:v>
                </c:pt>
                <c:pt idx="3">
                  <c:v>80.924803422663771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A-4936-BFA6-8941DF9A6A48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2655566343080063"/>
                  <c:y val="7.4840434200043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C5'!$N$64:$N$67</c:f>
              <c:numCache>
                <c:formatCode>0.0</c:formatCode>
                <c:ptCount val="4"/>
                <c:pt idx="0">
                  <c:v>549.80364039694439</c:v>
                </c:pt>
                <c:pt idx="1">
                  <c:v>468.9663385731302</c:v>
                </c:pt>
                <c:pt idx="2">
                  <c:v>390.47715559199054</c:v>
                </c:pt>
                <c:pt idx="3">
                  <c:v>288.52325300426202</c:v>
                </c:pt>
              </c:numCache>
            </c:numRef>
          </c:xVal>
          <c:yVal>
            <c:numRef>
              <c:f>'Laskenta tulopuoli C5'!$O$64:$O$67</c:f>
              <c:numCache>
                <c:formatCode>0.0</c:formatCode>
                <c:ptCount val="4"/>
                <c:pt idx="0">
                  <c:v>72.753765860813573</c:v>
                </c:pt>
                <c:pt idx="1">
                  <c:v>72.714694319392635</c:v>
                </c:pt>
                <c:pt idx="2">
                  <c:v>74.279931700530938</c:v>
                </c:pt>
                <c:pt idx="3">
                  <c:v>77.576983980648919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2A-4936-BFA6-8941DF9A6A48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8146213201548506"/>
                  <c:y val="8.4549503874846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C5'!$N$69:$N$72</c:f>
              <c:numCache>
                <c:formatCode>0.0</c:formatCode>
                <c:ptCount val="4"/>
                <c:pt idx="0">
                  <c:v>395.54495018994675</c:v>
                </c:pt>
                <c:pt idx="1">
                  <c:v>345.88484092861643</c:v>
                </c:pt>
                <c:pt idx="2">
                  <c:v>286.08482041588422</c:v>
                </c:pt>
                <c:pt idx="3">
                  <c:v>208.46631996655969</c:v>
                </c:pt>
              </c:numCache>
            </c:numRef>
          </c:xVal>
          <c:yVal>
            <c:numRef>
              <c:f>'Laskenta tulopuoli C5'!$O$69:$O$72</c:f>
              <c:numCache>
                <c:formatCode>0.0</c:formatCode>
                <c:ptCount val="4"/>
                <c:pt idx="0">
                  <c:v>67.733794046754298</c:v>
                </c:pt>
                <c:pt idx="1">
                  <c:v>66.324854410521937</c:v>
                </c:pt>
                <c:pt idx="2">
                  <c:v>67.682274039692331</c:v>
                </c:pt>
                <c:pt idx="3">
                  <c:v>68.582481035887938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2A-4936-BFA6-8941DF9A6A48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23050945980553275"/>
                  <c:y val="4.88493155645686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C5'!$N$74:$N$77</c:f>
              <c:numCache>
                <c:formatCode>0.0</c:formatCode>
                <c:ptCount val="4"/>
                <c:pt idx="0">
                  <c:v>245.95007777378834</c:v>
                </c:pt>
                <c:pt idx="1">
                  <c:v>212.4938738313096</c:v>
                </c:pt>
                <c:pt idx="2">
                  <c:v>178.25322186533424</c:v>
                </c:pt>
                <c:pt idx="3">
                  <c:v>133.67050235069436</c:v>
                </c:pt>
              </c:numCache>
            </c:numRef>
          </c:xVal>
          <c:yVal>
            <c:numRef>
              <c:f>'Laskenta tulopuoli C5'!$O$74:$O$77</c:f>
              <c:numCache>
                <c:formatCode>0.0</c:formatCode>
                <c:ptCount val="4"/>
                <c:pt idx="0">
                  <c:v>56.064320354440241</c:v>
                </c:pt>
                <c:pt idx="1">
                  <c:v>55.848634076637381</c:v>
                </c:pt>
                <c:pt idx="2">
                  <c:v>57.266066149065502</c:v>
                </c:pt>
                <c:pt idx="3">
                  <c:v>59.021513629604186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2A-4936-BFA6-8941DF9A6A4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0.13903518385871783"/>
                  <c:y val="-0.1576813391757803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C5'!$AG$34:$AG$37</c:f>
              <c:numCache>
                <c:formatCode>0.0</c:formatCode>
                <c:ptCount val="4"/>
                <c:pt idx="0">
                  <c:v>75.215327713145669</c:v>
                </c:pt>
                <c:pt idx="1">
                  <c:v>72.528737381113203</c:v>
                </c:pt>
                <c:pt idx="2">
                  <c:v>67.126751310889659</c:v>
                </c:pt>
                <c:pt idx="3">
                  <c:v>55.859842145957458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2A-4936-BFA6-8941DF9A6A4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C5'!$W$6</c:f>
              <c:numCache>
                <c:formatCode>0.0</c:formatCode>
                <c:ptCount val="1"/>
                <c:pt idx="0">
                  <c:v>71.998695825235586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52A-4936-BFA6-8941DF9A6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57.485766917538591</c:v>
                </c:pt>
                <c:pt idx="1">
                  <c:v>55.481869113261148</c:v>
                </c:pt>
                <c:pt idx="2">
                  <c:v>49.46109817697095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43.008140150514052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55.481869113261148</c:v>
                </c:pt>
                <c:pt idx="1">
                  <c:v>49.46109817697095</c:v>
                </c:pt>
                <c:pt idx="2">
                  <c:v>38.396288150418357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71.749992019399883</c:v>
                </c:pt>
                <c:pt idx="1">
                  <c:v>66.495597333717583</c:v>
                </c:pt>
                <c:pt idx="2">
                  <c:v>60.882678406379974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54.482587945306371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66.495597333717583</c:v>
                </c:pt>
                <c:pt idx="1">
                  <c:v>60.882678406379974</c:v>
                </c:pt>
                <c:pt idx="2">
                  <c:v>49.960630436698324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115.93663118892658</c:v>
                </c:pt>
                <c:pt idx="1">
                  <c:v>85.422192137902883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3.6877421805560395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54.12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4.3198701780401114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  <c:pt idx="3">
                  <c:v>35.437711812675495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167.18526507109277</c:v>
                </c:pt>
                <c:pt idx="1">
                  <c:v>78.785696018219909</c:v>
                </c:pt>
                <c:pt idx="2">
                  <c:v>38.577162367964604</c:v>
                </c:pt>
                <c:pt idx="3">
                  <c:v>12.079569716085981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17.74322983365461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  <c:pt idx="3">
                  <c:v>35.437711812675495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403.10492551052755</c:v>
                </c:pt>
                <c:pt idx="1">
                  <c:v>218.83570163781519</c:v>
                </c:pt>
                <c:pt idx="2">
                  <c:v>120.85230090093529</c:v>
                </c:pt>
                <c:pt idx="3">
                  <c:v>37.662408999765319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57.034164072970967</c:v>
                </c:pt>
                <c:pt idx="1">
                  <c:v>54.276599406506769</c:v>
                </c:pt>
                <c:pt idx="2">
                  <c:v>49.422740134112566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43.064242377048664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54.276599406506769</c:v>
                </c:pt>
                <c:pt idx="1">
                  <c:v>49.422740134112566</c:v>
                </c:pt>
                <c:pt idx="2">
                  <c:v>41.737581575792611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72.511898077091431</c:v>
                </c:pt>
                <c:pt idx="1">
                  <c:v>68.987143144400747</c:v>
                </c:pt>
                <c:pt idx="2">
                  <c:v>62.304254286340907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52.754986167199483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68.987143144400747</c:v>
                </c:pt>
                <c:pt idx="1">
                  <c:v>62.304254286340907</c:v>
                </c:pt>
                <c:pt idx="2">
                  <c:v>50.730923171135956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128.73838603633715</c:v>
                </c:pt>
                <c:pt idx="1">
                  <c:v>91.225226530790579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3.2818510375758847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53.52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3.8975550932320275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  <c:pt idx="3">
                  <c:v>40.518458810699457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168.27720488349144</c:v>
                </c:pt>
                <c:pt idx="1">
                  <c:v>75.344312571558845</c:v>
                </c:pt>
                <c:pt idx="2">
                  <c:v>36.496529084891819</c:v>
                </c:pt>
                <c:pt idx="3">
                  <c:v>11.868415149394449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13.697258155112504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Tulokset!$W$5" fmlaRange="Tulokset!$X$12:$X$17" noThreeD="1" sel="2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Style="combo" dx="26" fmlaLink="'C koodit'!$B$115" fmlaRange="Valikko_S" noThreeD="1" sel="3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Style="combo" dx="26" fmlaLink="'C koodit'!$B$79" fmlaRange="Valikko_A" noThreeD="1" sel="1" val="0"/>
</file>

<file path=xl/ctrlProps/ctrlProp21.xml><?xml version="1.0" encoding="utf-8"?>
<formControlPr xmlns="http://schemas.microsoft.com/office/spreadsheetml/2009/9/main" objectType="Drop" dropStyle="combo" dx="26" fmlaLink="'C koodit'!$B$81" fmlaRange="Valikko_B" noThreeD="1" sel="1" val="0"/>
</file>

<file path=xl/ctrlProps/ctrlProp22.xml><?xml version="1.0" encoding="utf-8"?>
<formControlPr xmlns="http://schemas.microsoft.com/office/spreadsheetml/2009/9/main" objectType="Drop" dropStyle="combo" dx="26" fmlaLink="'C koodit'!$B$83" fmlaRange="Valikko_C" noThreeD="1" sel="1" val="0"/>
</file>

<file path=xl/ctrlProps/ctrlProp23.xml><?xml version="1.0" encoding="utf-8"?>
<formControlPr xmlns="http://schemas.microsoft.com/office/spreadsheetml/2009/9/main" objectType="Drop" dropStyle="combo" dx="26" fmlaLink="'C koodit'!$B$85" fmlaRange="Valikko_D" noThreeD="1" sel="1" val="0"/>
</file>

<file path=xl/ctrlProps/ctrlProp24.xml><?xml version="1.0" encoding="utf-8"?>
<formControlPr xmlns="http://schemas.microsoft.com/office/spreadsheetml/2009/9/main" objectType="Drop" dropStyle="combo" dx="26" fmlaLink="'C koodit'!$B$89" fmlaRange="Valikko_F" noThreeD="1" sel="1" val="0"/>
</file>

<file path=xl/ctrlProps/ctrlProp25.xml><?xml version="1.0" encoding="utf-8"?>
<formControlPr xmlns="http://schemas.microsoft.com/office/spreadsheetml/2009/9/main" objectType="Drop" dropStyle="combo" dx="26" fmlaLink="'C koodit'!$B$87" fmlaRange="Valikko_E" noThreeD="1" sel="2" val="0"/>
</file>

<file path=xl/ctrlProps/ctrlProp26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27.xml><?xml version="1.0" encoding="utf-8"?>
<formControlPr xmlns="http://schemas.microsoft.com/office/spreadsheetml/2009/9/main" objectType="Drop" dropStyle="combo" dx="26" fmlaLink="'C koodit'!$B$93" fmlaRange="Valikko_H" noThreeD="1" sel="3" val="0"/>
</file>

<file path=xl/ctrlProps/ctrlProp28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29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30.xml><?xml version="1.0" encoding="utf-8"?>
<formControlPr xmlns="http://schemas.microsoft.com/office/spreadsheetml/2009/9/main" objectType="Drop" dropStyle="combo" dx="26" fmlaLink="'C koodit'!$B$99" fmlaRange="Valikko_K" noThreeD="1" sel="1" val="0"/>
</file>

<file path=xl/ctrlProps/ctrlProp31.xml><?xml version="1.0" encoding="utf-8"?>
<formControlPr xmlns="http://schemas.microsoft.com/office/spreadsheetml/2009/9/main" objectType="Drop" dropStyle="combo" dx="26" fmlaLink="'C koodit'!$B$101" fmlaRange="Valikko_L" noThreeD="1" sel="1" val="0"/>
</file>

<file path=xl/ctrlProps/ctrlProp32.xml><?xml version="1.0" encoding="utf-8"?>
<formControlPr xmlns="http://schemas.microsoft.com/office/spreadsheetml/2009/9/main" objectType="Drop" dropStyle="combo" dx="26" fmlaLink="'C koodit'!$B$103" fmlaRange="Valikko_M" noThreeD="1" sel="1" val="0"/>
</file>

<file path=xl/ctrlProps/ctrlProp33.xml><?xml version="1.0" encoding="utf-8"?>
<formControlPr xmlns="http://schemas.microsoft.com/office/spreadsheetml/2009/9/main" objectType="Drop" dropStyle="combo" dx="26" fmlaLink="'C koodit'!$B$105" fmlaRange="Valikko_N" noThreeD="1" sel="1" val="0"/>
</file>

<file path=xl/ctrlProps/ctrlProp34.xml><?xml version="1.0" encoding="utf-8"?>
<formControlPr xmlns="http://schemas.microsoft.com/office/spreadsheetml/2009/9/main" objectType="Drop" dropStyle="combo" dx="26" fmlaLink="'C koodit'!$B$107" fmlaRange="Valikko_O" noThreeD="1" sel="1" val="0"/>
</file>

<file path=xl/ctrlProps/ctrlProp35.xml><?xml version="1.0" encoding="utf-8"?>
<formControlPr xmlns="http://schemas.microsoft.com/office/spreadsheetml/2009/9/main" objectType="Drop" dropStyle="combo" dx="26" fmlaLink="'C koodit'!$B$109" fmlaRange="Valikko_P" noThreeD="1" sel="1" val="0"/>
</file>

<file path=xl/ctrlProps/ctrlProp36.xml><?xml version="1.0" encoding="utf-8"?>
<formControlPr xmlns="http://schemas.microsoft.com/office/spreadsheetml/2009/9/main" objectType="Drop" dropStyle="combo" dx="26" fmlaLink="'C koodit'!$B$111" fmlaRange="Valikko_Q" noThreeD="1" sel="1" val="0"/>
</file>

<file path=xl/ctrlProps/ctrlProp37.xml><?xml version="1.0" encoding="utf-8"?>
<formControlPr xmlns="http://schemas.microsoft.com/office/spreadsheetml/2009/9/main" objectType="Drop" dropStyle="combo" dx="26" fmlaLink="'C koodit'!$B$113" fmlaRange="Valikko_R" noThreeD="1" sel="1" val="0"/>
</file>

<file path=xl/ctrlProps/ctrlProp38.xml><?xml version="1.0" encoding="utf-8"?>
<formControlPr xmlns="http://schemas.microsoft.com/office/spreadsheetml/2009/9/main" objectType="Radio" checked="Checked" firstButton="1" fmlaLink="KirjastoC!$B$4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40.xml><?xml version="1.0" encoding="utf-8"?>
<formControlPr xmlns="http://schemas.microsoft.com/office/spreadsheetml/2009/9/main" objectType="Drop" dropLines="15" dropStyle="combo" dx="22" fmlaLink="SäädataC!$B$27" fmlaRange="AluelistausC" noThreeD="1" sel="4" val="0"/>
</file>

<file path=xl/ctrlProps/ctrlProp41.xml><?xml version="1.0" encoding="utf-8"?>
<formControlPr xmlns="http://schemas.microsoft.com/office/spreadsheetml/2009/9/main" objectType="Drop" dropLines="2" dropStyle="combo" dx="22" fmlaLink="Laskenta_vuosihyötysuhde_C!$C$34" fmlaRange="Laskenta_vuosihyötysuhde_C!$B$32:$B$33" noThreeD="1" sel="1" val="0"/>
</file>

<file path=xl/ctrlProps/ctrlProp42.xml><?xml version="1.0" encoding="utf-8"?>
<formControlPr xmlns="http://schemas.microsoft.com/office/spreadsheetml/2009/9/main" objectType="Radio" checked="Checked" firstButton="1" fmlaLink="KirjastoC!$B$4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45.xml><?xml version="1.0" encoding="utf-8"?>
<formControlPr xmlns="http://schemas.microsoft.com/office/spreadsheetml/2009/9/main" objectType="Drop" dropLines="5" dropStyle="combo" dx="22" fmlaLink="TuloksetC!$DK$3" fmlaRange="TuloksetC!$DJ$10:$DJ$14" noThreeD="1" sel="1" val="0"/>
</file>

<file path=xl/ctrlProps/ctrlProp46.xml><?xml version="1.0" encoding="utf-8"?>
<formControlPr xmlns="http://schemas.microsoft.com/office/spreadsheetml/2009/9/main" objectType="Drop" dropLines="6" dropStyle="combo" dx="22" fmlaLink="TuloksetC!$W$5" fmlaRange="TuloksetC!$X$12:$X$17" noThreeD="1" sel="1" val="0"/>
</file>

<file path=xl/ctrlProps/ctrlProp47.xml><?xml version="1.0" encoding="utf-8"?>
<formControlPr xmlns="http://schemas.microsoft.com/office/spreadsheetml/2009/9/main" objectType="Drop" dropLines="2" dropStyle="combo" dx="22" fmlaLink="'SEC-laskenta_C'!$H$7" fmlaRange="'SEC-laskenta_C'!$C$7:$C$8" noThreeD="1" sel="2" val="0"/>
</file>

<file path=xl/ctrlProps/ctrlProp48.xml><?xml version="1.0" encoding="utf-8"?>
<formControlPr xmlns="http://schemas.microsoft.com/office/spreadsheetml/2009/9/main" objectType="Drop" dropLines="4" dropStyle="combo" dx="22" fmlaLink="'SEC-laskenta_C'!$H$11" fmlaRange="'SEC-laskenta_C'!$C$11:$C$14" noThreeD="1" sel="1" val="0"/>
</file>

<file path=xl/ctrlProps/ctrlProp49.xml><?xml version="1.0" encoding="utf-8"?>
<formControlPr xmlns="http://schemas.microsoft.com/office/spreadsheetml/2009/9/main" objectType="Drop" dropLines="4" dropStyle="combo" dx="22" fmlaLink="'SEC-laskenta_C'!$H$17" fmlaRange="'SEC-laskenta_C'!$C$17:$C$20" noThreeD="1" sel="2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50.xml><?xml version="1.0" encoding="utf-8"?>
<formControlPr xmlns="http://schemas.microsoft.com/office/spreadsheetml/2009/9/main" objectType="Drop" dropLines="3" dropStyle="combo" dx="22" fmlaLink="'SEC-laskenta_C'!$L$23" fmlaRange="'SEC-laskenta_C'!$C$23:$C$25" noThreeD="1" sel="1" val="0"/>
</file>

<file path=xl/ctrlProps/ctrlProp51.xml><?xml version="1.0" encoding="utf-8"?>
<formControlPr xmlns="http://schemas.microsoft.com/office/spreadsheetml/2009/9/main" objectType="Drop" dropLines="7" dropStyle="combo" dx="22" fmlaLink="Laskenta_vuosihyötysuhde_C!$E$13" fmlaRange="Valtiolistaus" sel="1" val="0"/>
</file>

<file path=xl/ctrlProps/ctrlProp52.xml><?xml version="1.0" encoding="utf-8"?>
<formControlPr xmlns="http://schemas.microsoft.com/office/spreadsheetml/2009/9/main" objectType="Drop" dropLines="4" dropStyle="combo" dx="22" fmlaLink="Laskenta_vuosihyötysuhde_C!$E$14" fmlaRange="Kuntalistaus" sel="1" val="0"/>
</file>

<file path=xl/ctrlProps/ctrlProp53.xml><?xml version="1.0" encoding="utf-8"?>
<formControlPr xmlns="http://schemas.microsoft.com/office/spreadsheetml/2009/9/main" objectType="Drop" dropLines="6" dropStyle="combo" dx="22" fmlaLink="$W$5" fmlaRange="$X$12:$X$17" noThreeD="1" sel="2" val="0"/>
</file>

<file path=xl/ctrlProps/ctrlProp54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55.xml><?xml version="1.0" encoding="utf-8"?>
<formControlPr xmlns="http://schemas.microsoft.com/office/spreadsheetml/2009/9/main" objectType="Drop" dropLines="15" dropStyle="combo" dx="22" fmlaLink="$B$27" fmlaRange="AluelistausC" noThreeD="1" sel="4" val="0"/>
</file>

<file path=xl/ctrlProps/ctrlProp56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57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58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59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6.xml><?xml version="1.0" encoding="utf-8"?>
<formControlPr xmlns="http://schemas.microsoft.com/office/spreadsheetml/2009/9/main" objectType="CheckBox" fmlaLink="Tulokset!$BD$2"/>
</file>

<file path=xl/ctrlProps/ctrlProp60.xml><?xml version="1.0" encoding="utf-8"?>
<formControlPr xmlns="http://schemas.microsoft.com/office/spreadsheetml/2009/9/main" objectType="Drop" dropStyle="combo" dx="26" fmlaLink="'C koodit'!$B$93" fmlaRange="Valikko_H" noThreeD="1" sel="3" val="0"/>
</file>

<file path=xl/ctrlProps/ctrlProp61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62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63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64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8.xml><?xml version="1.0" encoding="utf-8"?>
<formControlPr xmlns="http://schemas.microsoft.com/office/spreadsheetml/2009/9/main" objectType="CheckBox" fmlaLink="Tulokset!$D$40" lockText="1"/>
</file>

<file path=xl/ctrlProps/ctrlProp9.xml><?xml version="1.0" encoding="utf-8"?>
<formControlPr xmlns="http://schemas.microsoft.com/office/spreadsheetml/2009/9/main" objectType="Radio" checked="Checked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chart" Target="../charts/chart2.xml"/><Relationship Id="rId5" Type="http://schemas.openxmlformats.org/officeDocument/2006/relationships/image" Target="../media/image12.jpeg"/><Relationship Id="rId4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4" Type="http://schemas.openxmlformats.org/officeDocument/2006/relationships/image" Target="../media/image1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5" Type="http://schemas.openxmlformats.org/officeDocument/2006/relationships/chart" Target="../charts/chart132.xml"/><Relationship Id="rId4" Type="http://schemas.openxmlformats.org/officeDocument/2006/relationships/chart" Target="../charts/chart13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10</xdr:row>
      <xdr:rowOff>19051</xdr:rowOff>
    </xdr:from>
    <xdr:to>
      <xdr:col>14</xdr:col>
      <xdr:colOff>0</xdr:colOff>
      <xdr:row>33</xdr:row>
      <xdr:rowOff>47625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164581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9424180" y="3096392"/>
          <a:ext cx="2936768" cy="428150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1168400</xdr:colOff>
          <xdr:row>6</xdr:row>
          <xdr:rowOff>25400</xdr:rowOff>
        </xdr:from>
        <xdr:to>
          <xdr:col>3</xdr:col>
          <xdr:colOff>482600</xdr:colOff>
          <xdr:row>6</xdr:row>
          <xdr:rowOff>215900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131251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1778000</xdr:colOff>
          <xdr:row>56</xdr:row>
          <xdr:rowOff>0</xdr:rowOff>
        </xdr:from>
        <xdr:to>
          <xdr:col>3</xdr:col>
          <xdr:colOff>38100</xdr:colOff>
          <xdr:row>56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357406</xdr:colOff>
      <xdr:row>77</xdr:row>
      <xdr:rowOff>131332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10</xdr:col>
          <xdr:colOff>711200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457200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139700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922119</xdr:colOff>
      <xdr:row>1</xdr:row>
      <xdr:rowOff>123370</xdr:rowOff>
    </xdr:from>
    <xdr:to>
      <xdr:col>10</xdr:col>
      <xdr:colOff>282834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359" y="291010"/>
          <a:ext cx="30559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5681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71826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Tuloilma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Poistoilma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Äänenvaimennuskotelo: 'dB-paketti' (Huom! Vaatii kaappirungon) 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Vesikiertoinen lämmityspatteri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10</xdr:col>
          <xdr:colOff>711200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444500</xdr:colOff>
          <xdr:row>3</xdr:row>
          <xdr:rowOff>63500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215900</xdr:colOff>
          <xdr:row>3</xdr:row>
          <xdr:rowOff>63500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909310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74218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917666</xdr:colOff>
      <xdr:row>2</xdr:row>
      <xdr:rowOff>271490</xdr:rowOff>
    </xdr:from>
    <xdr:to>
      <xdr:col>10</xdr:col>
      <xdr:colOff>288924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0906" y="606770"/>
          <a:ext cx="316138" cy="18533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197EB53-0549-4550-8026-552225F4C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4B03F6C1-2BE7-4224-A131-52BF5231D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28174</xdr:colOff>
      <xdr:row>12</xdr:row>
      <xdr:rowOff>63659</xdr:rowOff>
    </xdr:from>
    <xdr:to>
      <xdr:col>34</xdr:col>
      <xdr:colOff>6219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C2ED4E0-3811-41C8-BC8E-4369566E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0793971-08DC-4663-975A-84F153827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B1B210D-63F0-485F-B01D-031375B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463923</xdr:colOff>
      <xdr:row>8</xdr:row>
      <xdr:rowOff>57710</xdr:rowOff>
    </xdr:from>
    <xdr:to>
      <xdr:col>77</xdr:col>
      <xdr:colOff>194982</xdr:colOff>
      <xdr:row>24</xdr:row>
      <xdr:rowOff>26894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22E456C4-FB14-0D11-3987-DBDAD7869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69</xdr:col>
      <xdr:colOff>400050</xdr:colOff>
      <xdr:row>24</xdr:row>
      <xdr:rowOff>147637</xdr:rowOff>
    </xdr:from>
    <xdr:to>
      <xdr:col>77</xdr:col>
      <xdr:colOff>95250</xdr:colOff>
      <xdr:row>42</xdr:row>
      <xdr:rowOff>161925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0E995FF9-0EDA-F038-0AD9-9A4C7C0538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599513</xdr:colOff>
      <xdr:row>56</xdr:row>
      <xdr:rowOff>45942</xdr:rowOff>
    </xdr:from>
    <xdr:to>
      <xdr:col>77</xdr:col>
      <xdr:colOff>560294</xdr:colOff>
      <xdr:row>74</xdr:row>
      <xdr:rowOff>123263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9AC30B4-C040-CB4D-3B42-D22AB5581F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610721</xdr:colOff>
      <xdr:row>96</xdr:row>
      <xdr:rowOff>79560</xdr:rowOff>
    </xdr:from>
    <xdr:to>
      <xdr:col>73</xdr:col>
      <xdr:colOff>5604</xdr:colOff>
      <xdr:row>112</xdr:row>
      <xdr:rowOff>133348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B6BD2B69-6471-F2FB-EA87-25E03B05D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EF8DF3F-2C76-4F30-9AD5-1F6D2F7E2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0242E2E-0D68-4493-853F-04F36328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2931E76-3013-4C86-BD64-C3B82C08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430529</xdr:colOff>
      <xdr:row>47</xdr:row>
      <xdr:rowOff>80010</xdr:rowOff>
    </xdr:from>
    <xdr:to>
      <xdr:col>45</xdr:col>
      <xdr:colOff>195942</xdr:colOff>
      <xdr:row>89</xdr:row>
      <xdr:rowOff>21772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C0A6ACF-6AB5-47C0-ADA2-269F3DC4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1D79B806-9009-4F4B-AA34-5CBDC0E04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65</xdr:col>
      <xdr:colOff>296636</xdr:colOff>
      <xdr:row>25</xdr:row>
      <xdr:rowOff>107496</xdr:rowOff>
    </xdr:from>
    <xdr:to>
      <xdr:col>72</xdr:col>
      <xdr:colOff>582386</xdr:colOff>
      <xdr:row>41</xdr:row>
      <xdr:rowOff>20411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C8A8A144-B34E-2857-C117-AC24A81F9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391870</xdr:colOff>
      <xdr:row>24</xdr:row>
      <xdr:rowOff>113291</xdr:rowOff>
    </xdr:from>
    <xdr:to>
      <xdr:col>46</xdr:col>
      <xdr:colOff>87070</xdr:colOff>
      <xdr:row>41</xdr:row>
      <xdr:rowOff>155425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02925B-351D-44B4-BE46-7F7247E04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22412</xdr:colOff>
      <xdr:row>21</xdr:row>
      <xdr:rowOff>134472</xdr:rowOff>
    </xdr:from>
    <xdr:to>
      <xdr:col>32</xdr:col>
      <xdr:colOff>327212</xdr:colOff>
      <xdr:row>37</xdr:row>
      <xdr:rowOff>152401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D7F33CE-1221-99E7-6A84-649BB023E3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237564</xdr:colOff>
      <xdr:row>30</xdr:row>
      <xdr:rowOff>161364</xdr:rowOff>
    </xdr:from>
    <xdr:to>
      <xdr:col>30</xdr:col>
      <xdr:colOff>8965</xdr:colOff>
      <xdr:row>45</xdr:row>
      <xdr:rowOff>143435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5F5D194C-7960-E6CC-406B-6EE81A042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11ADBE-039D-4132-8553-996C29AA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35F0D955-37E0-4800-A046-74E89108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82A4C31-49C6-42B3-897A-2278BDCD3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C528FAD9-3F3C-4B8C-82E5-9EDCC5E8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152400</xdr:rowOff>
        </xdr:from>
        <xdr:to>
          <xdr:col>4</xdr:col>
          <xdr:colOff>0</xdr:colOff>
          <xdr:row>12</xdr:row>
          <xdr:rowOff>152400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0D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13</xdr:row>
          <xdr:rowOff>0</xdr:rowOff>
        </xdr:from>
        <xdr:to>
          <xdr:col>4</xdr:col>
          <xdr:colOff>38100</xdr:colOff>
          <xdr:row>14</xdr:row>
          <xdr:rowOff>12700</xdr:rowOff>
        </xdr:to>
        <xdr:sp macro="" textlink="">
          <xdr:nvSpPr>
            <xdr:cNvPr id="201730" name="Drop Down 3" hidden="1">
              <a:extLst>
                <a:ext uri="{63B3BB69-23CF-44E3-9099-C40C66FF867C}">
                  <a14:compatExt spid="_x0000_s201730"/>
                </a:ext>
                <a:ext uri="{FF2B5EF4-FFF2-40B4-BE49-F238E27FC236}">
                  <a16:creationId xmlns:a16="http://schemas.microsoft.com/office/drawing/2014/main" id="{00000000-0008-0000-0D00-000002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8" name="Suora yhdysviiva 17">
          <a:extLst>
            <a:ext uri="{FF2B5EF4-FFF2-40B4-BE49-F238E27FC236}">
              <a16:creationId xmlns:a16="http://schemas.microsoft.com/office/drawing/2014/main" id="{47084826-EC9F-4E8B-A1D5-C5FDDAAAA0BE}"/>
            </a:ext>
          </a:extLst>
        </xdr:cNvPr>
        <xdr:cNvCxnSpPr/>
      </xdr:nvCxnSpPr>
      <xdr:spPr>
        <a:xfrm flipV="1">
          <a:off x="9750242" y="38190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9" name="Suora yhdysviiva 18">
          <a:extLst>
            <a:ext uri="{FF2B5EF4-FFF2-40B4-BE49-F238E27FC236}">
              <a16:creationId xmlns:a16="http://schemas.microsoft.com/office/drawing/2014/main" id="{3D0A5D45-73A3-4DF0-ACF6-1D7E843AA16F}"/>
            </a:ext>
          </a:extLst>
        </xdr:cNvPr>
        <xdr:cNvCxnSpPr/>
      </xdr:nvCxnSpPr>
      <xdr:spPr>
        <a:xfrm flipV="1">
          <a:off x="9745860" y="392109"/>
          <a:ext cx="406830" cy="18532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20" name="Suora yhdysviiva 19">
          <a:extLst>
            <a:ext uri="{FF2B5EF4-FFF2-40B4-BE49-F238E27FC236}">
              <a16:creationId xmlns:a16="http://schemas.microsoft.com/office/drawing/2014/main" id="{8E9AF329-61C0-48C3-BB5A-71138F7E5218}"/>
            </a:ext>
          </a:extLst>
        </xdr:cNvPr>
        <xdr:cNvCxnSpPr/>
      </xdr:nvCxnSpPr>
      <xdr:spPr>
        <a:xfrm>
          <a:off x="9744892" y="405900"/>
          <a:ext cx="406833" cy="16595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E3303C48-28B5-441A-876E-E1ED77DDC834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53BC3244-3133-4DDE-B753-B0EC7A3B8D51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D204C9FB-BB31-48D6-A5D4-5E09FF47624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351AC148-A25C-4C84-825B-EDDE1B4F8AC3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E2390EC7-9B78-442C-8578-4F30D1248976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34CA23A2-9986-4C0E-A84F-7C134CD1B06B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7F425776-1F6E-4678-A813-C430B34FA07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AE25DDAE-0CD1-444D-9A82-F89627995A79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A90B42DC-92C8-4DA4-AA01-0E516AF0907E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4E9063E4-AFC0-4BFF-A960-C2C210CFF6F9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78B163A1-0A99-45E0-B37F-A544BE0FF3E2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89EC3138-777A-47CE-B918-1057C074B628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30195549-71A7-4C00-8B7C-26F30E0EC407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47C9B95-02F3-4B64-91BF-0974404A5A16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179FE4DC-5887-40DC-99D6-1ED6F616379F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FDA17983-46B5-4C2B-A6ED-006148F860A2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1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145675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1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0.72527</cdr:x>
      <cdr:y>0.04112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543799" y="181734"/>
          <a:ext cx="2489502" cy="3194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0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Ilman tiheys: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15</xdr:row>
          <xdr:rowOff>63500</xdr:rowOff>
        </xdr:from>
        <xdr:to>
          <xdr:col>32</xdr:col>
          <xdr:colOff>63500</xdr:colOff>
          <xdr:row>15</xdr:row>
          <xdr:rowOff>266700</xdr:rowOff>
        </xdr:to>
        <xdr:sp macro="" textlink="">
          <xdr:nvSpPr>
            <xdr:cNvPr id="163841" name="Drop Down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01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17</xdr:row>
          <xdr:rowOff>63500</xdr:rowOff>
        </xdr:from>
        <xdr:to>
          <xdr:col>32</xdr:col>
          <xdr:colOff>63500</xdr:colOff>
          <xdr:row>17</xdr:row>
          <xdr:rowOff>279400</xdr:rowOff>
        </xdr:to>
        <xdr:sp macro="" textlink="">
          <xdr:nvSpPr>
            <xdr:cNvPr id="163842" name="Drop Down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01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19</xdr:row>
          <xdr:rowOff>63500</xdr:rowOff>
        </xdr:from>
        <xdr:to>
          <xdr:col>32</xdr:col>
          <xdr:colOff>63500</xdr:colOff>
          <xdr:row>19</xdr:row>
          <xdr:rowOff>279400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0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50800</xdr:rowOff>
        </xdr:from>
        <xdr:to>
          <xdr:col>32</xdr:col>
          <xdr:colOff>50800</xdr:colOff>
          <xdr:row>21</xdr:row>
          <xdr:rowOff>254000</xdr:rowOff>
        </xdr:to>
        <xdr:sp macro="" textlink="">
          <xdr:nvSpPr>
            <xdr:cNvPr id="163844" name="Drop Down 4" hidden="1">
              <a:extLst>
                <a:ext uri="{63B3BB69-23CF-44E3-9099-C40C66FF867C}">
                  <a14:compatExt spid="_x0000_s163844"/>
                </a:ext>
                <a:ext uri="{FF2B5EF4-FFF2-40B4-BE49-F238E27FC236}">
                  <a16:creationId xmlns:a16="http://schemas.microsoft.com/office/drawing/2014/main" id="{00000000-0008-0000-0100-00000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26</xdr:row>
          <xdr:rowOff>63500</xdr:rowOff>
        </xdr:from>
        <xdr:to>
          <xdr:col>32</xdr:col>
          <xdr:colOff>63500</xdr:colOff>
          <xdr:row>26</xdr:row>
          <xdr:rowOff>266700</xdr:rowOff>
        </xdr:to>
        <xdr:sp macro="" textlink="">
          <xdr:nvSpPr>
            <xdr:cNvPr id="163845" name="Drop Dow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0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24</xdr:row>
          <xdr:rowOff>63500</xdr:rowOff>
        </xdr:from>
        <xdr:to>
          <xdr:col>32</xdr:col>
          <xdr:colOff>50800</xdr:colOff>
          <xdr:row>24</xdr:row>
          <xdr:rowOff>266700</xdr:rowOff>
        </xdr:to>
        <xdr:sp macro="" textlink="">
          <xdr:nvSpPr>
            <xdr:cNvPr id="163846" name="Drop Dow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0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29</xdr:row>
          <xdr:rowOff>63500</xdr:rowOff>
        </xdr:from>
        <xdr:to>
          <xdr:col>32</xdr:col>
          <xdr:colOff>63500</xdr:colOff>
          <xdr:row>29</xdr:row>
          <xdr:rowOff>266700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0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31</xdr:row>
          <xdr:rowOff>63500</xdr:rowOff>
        </xdr:from>
        <xdr:to>
          <xdr:col>32</xdr:col>
          <xdr:colOff>63500</xdr:colOff>
          <xdr:row>31</xdr:row>
          <xdr:rowOff>266700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0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33</xdr:row>
          <xdr:rowOff>63500</xdr:rowOff>
        </xdr:from>
        <xdr:to>
          <xdr:col>32</xdr:col>
          <xdr:colOff>63500</xdr:colOff>
          <xdr:row>33</xdr:row>
          <xdr:rowOff>279400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0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35</xdr:row>
          <xdr:rowOff>63500</xdr:rowOff>
        </xdr:from>
        <xdr:to>
          <xdr:col>32</xdr:col>
          <xdr:colOff>63500</xdr:colOff>
          <xdr:row>35</xdr:row>
          <xdr:rowOff>266700</xdr:rowOff>
        </xdr:to>
        <xdr:sp macro="" textlink="">
          <xdr:nvSpPr>
            <xdr:cNvPr id="163850" name="Drop Down 10" hidden="1">
              <a:extLst>
                <a:ext uri="{63B3BB69-23CF-44E3-9099-C40C66FF867C}">
                  <a14:compatExt spid="_x0000_s163850"/>
                </a:ext>
                <a:ext uri="{FF2B5EF4-FFF2-40B4-BE49-F238E27FC236}">
                  <a16:creationId xmlns:a16="http://schemas.microsoft.com/office/drawing/2014/main" id="{00000000-0008-0000-0100-00000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38</xdr:row>
          <xdr:rowOff>63500</xdr:rowOff>
        </xdr:from>
        <xdr:to>
          <xdr:col>32</xdr:col>
          <xdr:colOff>63500</xdr:colOff>
          <xdr:row>38</xdr:row>
          <xdr:rowOff>266700</xdr:rowOff>
        </xdr:to>
        <xdr:sp macro="" textlink="">
          <xdr:nvSpPr>
            <xdr:cNvPr id="163851" name="Drop Down 11" hidden="1">
              <a:extLst>
                <a:ext uri="{63B3BB69-23CF-44E3-9099-C40C66FF867C}">
                  <a14:compatExt spid="_x0000_s163851"/>
                </a:ext>
                <a:ext uri="{FF2B5EF4-FFF2-40B4-BE49-F238E27FC236}">
                  <a16:creationId xmlns:a16="http://schemas.microsoft.com/office/drawing/2014/main" id="{00000000-0008-0000-0100-00000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</xdr:colOff>
          <xdr:row>40</xdr:row>
          <xdr:rowOff>63500</xdr:rowOff>
        </xdr:from>
        <xdr:to>
          <xdr:col>32</xdr:col>
          <xdr:colOff>63500</xdr:colOff>
          <xdr:row>40</xdr:row>
          <xdr:rowOff>266700</xdr:rowOff>
        </xdr:to>
        <xdr:sp macro="" textlink="">
          <xdr:nvSpPr>
            <xdr:cNvPr id="163852" name="Drop Down 12" hidden="1">
              <a:extLst>
                <a:ext uri="{63B3BB69-23CF-44E3-9099-C40C66FF867C}">
                  <a14:compatExt spid="_x0000_s163852"/>
                </a:ext>
                <a:ext uri="{FF2B5EF4-FFF2-40B4-BE49-F238E27FC236}">
                  <a16:creationId xmlns:a16="http://schemas.microsoft.com/office/drawing/2014/main" id="{00000000-0008-0000-0100-00000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42</xdr:row>
          <xdr:rowOff>63500</xdr:rowOff>
        </xdr:from>
        <xdr:to>
          <xdr:col>32</xdr:col>
          <xdr:colOff>63500</xdr:colOff>
          <xdr:row>42</xdr:row>
          <xdr:rowOff>266700</xdr:rowOff>
        </xdr:to>
        <xdr:sp macro="" textlink="">
          <xdr:nvSpPr>
            <xdr:cNvPr id="163853" name="Drop Down 13" hidden="1">
              <a:extLst>
                <a:ext uri="{63B3BB69-23CF-44E3-9099-C40C66FF867C}">
                  <a14:compatExt spid="_x0000_s163853"/>
                </a:ext>
                <a:ext uri="{FF2B5EF4-FFF2-40B4-BE49-F238E27FC236}">
                  <a16:creationId xmlns:a16="http://schemas.microsoft.com/office/drawing/2014/main" id="{00000000-0008-0000-0100-00000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44</xdr:row>
          <xdr:rowOff>63500</xdr:rowOff>
        </xdr:from>
        <xdr:to>
          <xdr:col>32</xdr:col>
          <xdr:colOff>63500</xdr:colOff>
          <xdr:row>44</xdr:row>
          <xdr:rowOff>266700</xdr:rowOff>
        </xdr:to>
        <xdr:sp macro="" textlink="">
          <xdr:nvSpPr>
            <xdr:cNvPr id="163854" name="Drop Down 14" hidden="1">
              <a:extLst>
                <a:ext uri="{63B3BB69-23CF-44E3-9099-C40C66FF867C}">
                  <a14:compatExt spid="_x0000_s163854"/>
                </a:ext>
                <a:ext uri="{FF2B5EF4-FFF2-40B4-BE49-F238E27FC236}">
                  <a16:creationId xmlns:a16="http://schemas.microsoft.com/office/drawing/2014/main" id="{00000000-0008-0000-0100-00000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46</xdr:row>
          <xdr:rowOff>50800</xdr:rowOff>
        </xdr:from>
        <xdr:to>
          <xdr:col>32</xdr:col>
          <xdr:colOff>63500</xdr:colOff>
          <xdr:row>46</xdr:row>
          <xdr:rowOff>254000</xdr:rowOff>
        </xdr:to>
        <xdr:sp macro="" textlink="">
          <xdr:nvSpPr>
            <xdr:cNvPr id="163855" name="Drop Down 15" hidden="1">
              <a:extLst>
                <a:ext uri="{63B3BB69-23CF-44E3-9099-C40C66FF867C}">
                  <a14:compatExt spid="_x0000_s163855"/>
                </a:ext>
                <a:ext uri="{FF2B5EF4-FFF2-40B4-BE49-F238E27FC236}">
                  <a16:creationId xmlns:a16="http://schemas.microsoft.com/office/drawing/2014/main" id="{00000000-0008-0000-0100-00000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48</xdr:row>
          <xdr:rowOff>50800</xdr:rowOff>
        </xdr:from>
        <xdr:to>
          <xdr:col>32</xdr:col>
          <xdr:colOff>63500</xdr:colOff>
          <xdr:row>48</xdr:row>
          <xdr:rowOff>254000</xdr:rowOff>
        </xdr:to>
        <xdr:sp macro="" textlink="">
          <xdr:nvSpPr>
            <xdr:cNvPr id="163856" name="Drop Down 16" hidden="1">
              <a:extLst>
                <a:ext uri="{63B3BB69-23CF-44E3-9099-C40C66FF867C}">
                  <a14:compatExt spid="_x0000_s163856"/>
                </a:ext>
                <a:ext uri="{FF2B5EF4-FFF2-40B4-BE49-F238E27FC236}">
                  <a16:creationId xmlns:a16="http://schemas.microsoft.com/office/drawing/2014/main" id="{00000000-0008-0000-0100-00001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51</xdr:row>
          <xdr:rowOff>63500</xdr:rowOff>
        </xdr:from>
        <xdr:to>
          <xdr:col>32</xdr:col>
          <xdr:colOff>63500</xdr:colOff>
          <xdr:row>51</xdr:row>
          <xdr:rowOff>279400</xdr:rowOff>
        </xdr:to>
        <xdr:sp macro="" textlink="">
          <xdr:nvSpPr>
            <xdr:cNvPr id="163857" name="Drop Down 17" hidden="1">
              <a:extLst>
                <a:ext uri="{63B3BB69-23CF-44E3-9099-C40C66FF867C}">
                  <a14:compatExt spid="_x0000_s163857"/>
                </a:ext>
                <a:ext uri="{FF2B5EF4-FFF2-40B4-BE49-F238E27FC236}">
                  <a16:creationId xmlns:a16="http://schemas.microsoft.com/office/drawing/2014/main" id="{00000000-0008-0000-0100-00001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53</xdr:row>
          <xdr:rowOff>63500</xdr:rowOff>
        </xdr:from>
        <xdr:to>
          <xdr:col>32</xdr:col>
          <xdr:colOff>63500</xdr:colOff>
          <xdr:row>53</xdr:row>
          <xdr:rowOff>279400</xdr:rowOff>
        </xdr:to>
        <xdr:sp macro="" textlink="">
          <xdr:nvSpPr>
            <xdr:cNvPr id="163858" name="Drop Down 18" hidden="1">
              <a:extLst>
                <a:ext uri="{63B3BB69-23CF-44E3-9099-C40C66FF867C}">
                  <a14:compatExt spid="_x0000_s163858"/>
                </a:ext>
                <a:ext uri="{FF2B5EF4-FFF2-40B4-BE49-F238E27FC236}">
                  <a16:creationId xmlns:a16="http://schemas.microsoft.com/office/drawing/2014/main" id="{00000000-0008-0000-0100-00001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55</xdr:row>
          <xdr:rowOff>63500</xdr:rowOff>
        </xdr:from>
        <xdr:to>
          <xdr:col>32</xdr:col>
          <xdr:colOff>63500</xdr:colOff>
          <xdr:row>55</xdr:row>
          <xdr:rowOff>266700</xdr:rowOff>
        </xdr:to>
        <xdr:sp macro="" textlink="">
          <xdr:nvSpPr>
            <xdr:cNvPr id="163859" name="Drop Down 19" hidden="1">
              <a:extLst>
                <a:ext uri="{63B3BB69-23CF-44E3-9099-C40C66FF867C}">
                  <a14:compatExt spid="_x0000_s163859"/>
                </a:ext>
                <a:ext uri="{FF2B5EF4-FFF2-40B4-BE49-F238E27FC236}">
                  <a16:creationId xmlns:a16="http://schemas.microsoft.com/office/drawing/2014/main" id="{00000000-0008-0000-0100-00001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28</xdr:col>
      <xdr:colOff>228600</xdr:colOff>
      <xdr:row>1</xdr:row>
      <xdr:rowOff>161924</xdr:rowOff>
    </xdr:from>
    <xdr:to>
      <xdr:col>32</xdr:col>
      <xdr:colOff>49392</xdr:colOff>
      <xdr:row>5</xdr:row>
      <xdr:rowOff>99059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9896FE8A-39EA-462F-989A-263ECF5B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820" y="329564"/>
          <a:ext cx="1039992" cy="8058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2</xdr:row>
          <xdr:rowOff>63500</xdr:rowOff>
        </xdr:from>
        <xdr:to>
          <xdr:col>25</xdr:col>
          <xdr:colOff>139700</xdr:colOff>
          <xdr:row>2</xdr:row>
          <xdr:rowOff>266700</xdr:rowOff>
        </xdr:to>
        <xdr:sp macro="" textlink="">
          <xdr:nvSpPr>
            <xdr:cNvPr id="163860" name="Option Button 20" descr="Suomi" hidden="1">
              <a:extLst>
                <a:ext uri="{63B3BB69-23CF-44E3-9099-C40C66FF867C}">
                  <a14:compatExt spid="_x0000_s163860"/>
                </a:ext>
                <a:ext uri="{FF2B5EF4-FFF2-40B4-BE49-F238E27FC236}">
                  <a16:creationId xmlns:a16="http://schemas.microsoft.com/office/drawing/2014/main" id="{00000000-0008-0000-0100-00001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292100</xdr:colOff>
          <xdr:row>2</xdr:row>
          <xdr:rowOff>63500</xdr:rowOff>
        </xdr:from>
        <xdr:to>
          <xdr:col>27</xdr:col>
          <xdr:colOff>101600</xdr:colOff>
          <xdr:row>3</xdr:row>
          <xdr:rowOff>0</xdr:rowOff>
        </xdr:to>
        <xdr:sp macro="" textlink="">
          <xdr:nvSpPr>
            <xdr:cNvPr id="163861" name="Option Button 21" hidden="1">
              <a:extLst>
                <a:ext uri="{63B3BB69-23CF-44E3-9099-C40C66FF867C}">
                  <a14:compatExt spid="_x0000_s163861"/>
                </a:ext>
                <a:ext uri="{FF2B5EF4-FFF2-40B4-BE49-F238E27FC236}">
                  <a16:creationId xmlns:a16="http://schemas.microsoft.com/office/drawing/2014/main" id="{00000000-0008-0000-0100-00001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213360</xdr:colOff>
      <xdr:row>2</xdr:row>
      <xdr:rowOff>83820</xdr:rowOff>
    </xdr:from>
    <xdr:to>
      <xdr:col>24</xdr:col>
      <xdr:colOff>107475</xdr:colOff>
      <xdr:row>2</xdr:row>
      <xdr:rowOff>263873</xdr:rowOff>
    </xdr:to>
    <xdr:pic>
      <xdr:nvPicPr>
        <xdr:cNvPr id="3" name="Kuva 2" descr="Finland flag icon - Country flags">
          <a:extLst>
            <a:ext uri="{FF2B5EF4-FFF2-40B4-BE49-F238E27FC236}">
              <a16:creationId xmlns:a16="http://schemas.microsoft.com/office/drawing/2014/main" id="{2EC07648-9C2B-4C90-9099-B4ED0B4E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19100"/>
          <a:ext cx="29797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107989</xdr:colOff>
      <xdr:row>2</xdr:row>
      <xdr:rowOff>94647</xdr:rowOff>
    </xdr:from>
    <xdr:to>
      <xdr:col>26</xdr:col>
      <xdr:colOff>26007</xdr:colOff>
      <xdr:row>2</xdr:row>
      <xdr:rowOff>260454</xdr:rowOff>
    </xdr:to>
    <xdr:pic>
      <xdr:nvPicPr>
        <xdr:cNvPr id="4" name="Kuva 3" descr="Free Vector | Illustration of uk flag">
          <a:extLst>
            <a:ext uri="{FF2B5EF4-FFF2-40B4-BE49-F238E27FC236}">
              <a16:creationId xmlns:a16="http://schemas.microsoft.com/office/drawing/2014/main" id="{E430CF40-1A81-4136-B1ED-B2A6AFC9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22549" y="429927"/>
          <a:ext cx="321878" cy="165807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239617" name="Drop Down 1" hidden="1">
              <a:extLst>
                <a:ext uri="{63B3BB69-23CF-44E3-9099-C40C66FF867C}">
                  <a14:compatExt spid="_x0000_s239617"/>
                </a:ext>
                <a:ext uri="{FF2B5EF4-FFF2-40B4-BE49-F238E27FC236}">
                  <a16:creationId xmlns:a16="http://schemas.microsoft.com/office/drawing/2014/main" id="{00000000-0008-0000-2600-000001A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872408E-528B-44FD-A6FB-DE72422A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15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15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2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8</xdr:row>
      <xdr:rowOff>78443</xdr:rowOff>
    </xdr:from>
    <xdr:to>
      <xdr:col>14</xdr:col>
      <xdr:colOff>0</xdr:colOff>
      <xdr:row>37</xdr:row>
      <xdr:rowOff>112058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0E469A5-FD5F-4EDB-A2C9-3E3CF5CD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400603</xdr:colOff>
      <xdr:row>4</xdr:row>
      <xdr:rowOff>28575</xdr:rowOff>
    </xdr:from>
    <xdr:to>
      <xdr:col>13</xdr:col>
      <xdr:colOff>469381</xdr:colOff>
      <xdr:row>7</xdr:row>
      <xdr:rowOff>71622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84EBD299-2E8C-49DB-BC4D-86B994B0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878" y="1009650"/>
          <a:ext cx="992703" cy="747897"/>
        </a:xfrm>
        <a:prstGeom prst="rect">
          <a:avLst/>
        </a:prstGeom>
      </xdr:spPr>
    </xdr:pic>
    <xdr:clientData/>
  </xdr:twoCellAnchor>
  <xdr:twoCellAnchor>
    <xdr:from>
      <xdr:col>10</xdr:col>
      <xdr:colOff>750600</xdr:colOff>
      <xdr:row>12</xdr:row>
      <xdr:rowOff>12106</xdr:rowOff>
    </xdr:from>
    <xdr:to>
      <xdr:col>13</xdr:col>
      <xdr:colOff>526479</xdr:colOff>
      <xdr:row>14</xdr:row>
      <xdr:rowOff>67961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D9DBBE58-C98D-4FB4-AC13-5D55B74948B4}"/>
            </a:ext>
          </a:extLst>
        </xdr:cNvPr>
        <xdr:cNvGrpSpPr/>
      </xdr:nvGrpSpPr>
      <xdr:grpSpPr>
        <a:xfrm>
          <a:off x="9434225" y="2647356"/>
          <a:ext cx="2919129" cy="468605"/>
          <a:chOff x="9315822" y="1784262"/>
          <a:chExt cx="1630951" cy="194320"/>
        </a:xfrm>
      </xdr:grpSpPr>
      <xdr:sp macro="" textlink="">
        <xdr:nvSpPr>
          <xdr:cNvPr id="5" name="Tekstiruutu 4">
            <a:extLst>
              <a:ext uri="{FF2B5EF4-FFF2-40B4-BE49-F238E27FC236}">
                <a16:creationId xmlns:a16="http://schemas.microsoft.com/office/drawing/2014/main" id="{57949DD3-3B6A-CECE-2E8D-FE6B9FDB2A85}"/>
              </a:ext>
            </a:extLst>
          </xdr:cNvPr>
          <xdr:cNvSpPr txBox="1"/>
        </xdr:nvSpPr>
        <xdr:spPr>
          <a:xfrm>
            <a:off x="9315822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6" name="Ryhmä 5">
            <a:extLst>
              <a:ext uri="{FF2B5EF4-FFF2-40B4-BE49-F238E27FC236}">
                <a16:creationId xmlns:a16="http://schemas.microsoft.com/office/drawing/2014/main" id="{93EBDA5B-2361-210D-F8D9-AA3D2326714D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7" name="Suora yhdysviiva 6">
              <a:extLst>
                <a:ext uri="{FF2B5EF4-FFF2-40B4-BE49-F238E27FC236}">
                  <a16:creationId xmlns:a16="http://schemas.microsoft.com/office/drawing/2014/main" id="{B4DBF94C-33D5-C7E1-4CBA-DEF825FDB328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uora yhdysviiva 7">
              <a:extLst>
                <a:ext uri="{FF2B5EF4-FFF2-40B4-BE49-F238E27FC236}">
                  <a16:creationId xmlns:a16="http://schemas.microsoft.com/office/drawing/2014/main" id="{1CEA96AF-CE00-728C-11E9-F47DD95E9DCA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26</xdr:col>
      <xdr:colOff>344260</xdr:colOff>
      <xdr:row>2</xdr:row>
      <xdr:rowOff>124098</xdr:rowOff>
    </xdr:from>
    <xdr:to>
      <xdr:col>28</xdr:col>
      <xdr:colOff>549968</xdr:colOff>
      <xdr:row>6</xdr:row>
      <xdr:rowOff>68035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1EB86CA5-BE60-4230-99CC-FB696BD8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289" y="450669"/>
          <a:ext cx="1359593" cy="986245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72</xdr:row>
      <xdr:rowOff>261566</xdr:rowOff>
    </xdr:from>
    <xdr:ext cx="937025" cy="219074"/>
    <xdr:pic>
      <xdr:nvPicPr>
        <xdr:cNvPr id="11" name="Kuva 10">
          <a:extLst>
            <a:ext uri="{FF2B5EF4-FFF2-40B4-BE49-F238E27FC236}">
              <a16:creationId xmlns:a16="http://schemas.microsoft.com/office/drawing/2014/main" id="{3EA53E5C-ACD9-4C48-BB73-475336A8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7489" y="14644316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1</xdr:row>
          <xdr:rowOff>165100</xdr:rowOff>
        </xdr:from>
        <xdr:to>
          <xdr:col>12</xdr:col>
          <xdr:colOff>673100</xdr:colOff>
          <xdr:row>2</xdr:row>
          <xdr:rowOff>190500</xdr:rowOff>
        </xdr:to>
        <xdr:sp macro="" textlink="">
          <xdr:nvSpPr>
            <xdr:cNvPr id="93193" name="Option Button 9" descr="Suomi" hidden="1">
              <a:extLst>
                <a:ext uri="{63B3BB69-23CF-44E3-9099-C40C66FF867C}">
                  <a14:compatExt spid="_x0000_s93193"/>
                </a:ext>
                <a:ext uri="{FF2B5EF4-FFF2-40B4-BE49-F238E27FC236}">
                  <a16:creationId xmlns:a16="http://schemas.microsoft.com/office/drawing/2014/main" id="{00000000-0008-0000-0200-000009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533400</xdr:colOff>
          <xdr:row>1</xdr:row>
          <xdr:rowOff>165100</xdr:rowOff>
        </xdr:from>
        <xdr:to>
          <xdr:col>13</xdr:col>
          <xdr:colOff>508000</xdr:colOff>
          <xdr:row>2</xdr:row>
          <xdr:rowOff>203200</xdr:rowOff>
        </xdr:to>
        <xdr:sp macro="" textlink="">
          <xdr:nvSpPr>
            <xdr:cNvPr id="93194" name="Option Button 10" hidden="1">
              <a:extLst>
                <a:ext uri="{63B3BB69-23CF-44E3-9099-C40C66FF867C}">
                  <a14:compatExt spid="_x0000_s93194"/>
                </a:ext>
                <a:ext uri="{FF2B5EF4-FFF2-40B4-BE49-F238E27FC236}">
                  <a16:creationId xmlns:a16="http://schemas.microsoft.com/office/drawing/2014/main" id="{00000000-0008-0000-0200-00000A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903069</xdr:colOff>
      <xdr:row>1</xdr:row>
      <xdr:rowOff>170995</xdr:rowOff>
    </xdr:from>
    <xdr:to>
      <xdr:col>12</xdr:col>
      <xdr:colOff>263784</xdr:colOff>
      <xdr:row>2</xdr:row>
      <xdr:rowOff>183408</xdr:rowOff>
    </xdr:to>
    <xdr:pic>
      <xdr:nvPicPr>
        <xdr:cNvPr id="12" name="Kuva 11" descr="Finland flag icon - Country flags">
          <a:extLst>
            <a:ext uri="{FF2B5EF4-FFF2-40B4-BE49-F238E27FC236}">
              <a16:creationId xmlns:a16="http://schemas.microsoft.com/office/drawing/2014/main" id="{B534B0AA-F274-43E1-B03F-044AA7BE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419" y="342445"/>
          <a:ext cx="284640" cy="19338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763408</xdr:colOff>
      <xdr:row>2</xdr:row>
      <xdr:rowOff>847</xdr:rowOff>
    </xdr:from>
    <xdr:to>
      <xdr:col>13</xdr:col>
      <xdr:colOff>138501</xdr:colOff>
      <xdr:row>2</xdr:row>
      <xdr:rowOff>179989</xdr:rowOff>
    </xdr:to>
    <xdr:pic>
      <xdr:nvPicPr>
        <xdr:cNvPr id="14" name="Kuva 13" descr="Free Vector | Illustration of uk flag">
          <a:extLst>
            <a:ext uri="{FF2B5EF4-FFF2-40B4-BE49-F238E27FC236}">
              <a16:creationId xmlns:a16="http://schemas.microsoft.com/office/drawing/2014/main" id="{117FD72F-07CD-4AF5-9ADC-BF40644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02683" y="353272"/>
          <a:ext cx="299018" cy="17914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487574</xdr:colOff>
      <xdr:row>11</xdr:row>
      <xdr:rowOff>186897</xdr:rowOff>
    </xdr:from>
    <xdr:ext cx="1893892" cy="257443"/>
    <xdr:sp macro="" textlink="KirjastoC!M17">
      <xdr:nvSpPr>
        <xdr:cNvPr id="16" name="Tekstiruutu 15">
          <a:extLst>
            <a:ext uri="{FF2B5EF4-FFF2-40B4-BE49-F238E27FC236}">
              <a16:creationId xmlns:a16="http://schemas.microsoft.com/office/drawing/2014/main" id="{676BFF2C-D085-44CF-88BB-13C1E5FAE158}"/>
            </a:ext>
          </a:extLst>
        </xdr:cNvPr>
        <xdr:cNvSpPr txBox="1"/>
      </xdr:nvSpPr>
      <xdr:spPr>
        <a:xfrm>
          <a:off x="9002924" y="2711022"/>
          <a:ext cx="1893892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DACEF58-FEA9-4B61-A859-BAF7F1D8E135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Tuloilma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472503</xdr:colOff>
      <xdr:row>12</xdr:row>
      <xdr:rowOff>183045</xdr:rowOff>
    </xdr:from>
    <xdr:ext cx="1847120" cy="257443"/>
    <xdr:sp macro="" textlink="KirjastoC!M18">
      <xdr:nvSpPr>
        <xdr:cNvPr id="17" name="Tekstiruutu 16">
          <a:extLst>
            <a:ext uri="{FF2B5EF4-FFF2-40B4-BE49-F238E27FC236}">
              <a16:creationId xmlns:a16="http://schemas.microsoft.com/office/drawing/2014/main" id="{50674D50-5250-444B-8DF2-A058FA6EBB87}"/>
            </a:ext>
          </a:extLst>
        </xdr:cNvPr>
        <xdr:cNvSpPr txBox="1"/>
      </xdr:nvSpPr>
      <xdr:spPr>
        <a:xfrm>
          <a:off x="9220263" y="2880525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0ED7568C-4E10-4A29-B139-BC02B8C403F8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Poistoilma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25</xdr:row>
          <xdr:rowOff>25400</xdr:rowOff>
        </xdr:from>
        <xdr:to>
          <xdr:col>20</xdr:col>
          <xdr:colOff>25400</xdr:colOff>
          <xdr:row>25</xdr:row>
          <xdr:rowOff>177800</xdr:rowOff>
        </xdr:to>
        <xdr:sp macro="" textlink="">
          <xdr:nvSpPr>
            <xdr:cNvPr id="93197" name="Drop Down 13" hidden="1">
              <a:extLst>
                <a:ext uri="{63B3BB69-23CF-44E3-9099-C40C66FF867C}">
                  <a14:compatExt spid="_x0000_s93197"/>
                </a:ext>
                <a:ext uri="{FF2B5EF4-FFF2-40B4-BE49-F238E27FC236}">
                  <a16:creationId xmlns:a16="http://schemas.microsoft.com/office/drawing/2014/main" id="{00000000-0008-0000-0200-00000D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28</xdr:row>
          <xdr:rowOff>50800</xdr:rowOff>
        </xdr:from>
        <xdr:to>
          <xdr:col>20</xdr:col>
          <xdr:colOff>25400</xdr:colOff>
          <xdr:row>29</xdr:row>
          <xdr:rowOff>12700</xdr:rowOff>
        </xdr:to>
        <xdr:sp macro="" textlink="">
          <xdr:nvSpPr>
            <xdr:cNvPr id="93198" name="Drop Down 14" hidden="1">
              <a:extLst>
                <a:ext uri="{63B3BB69-23CF-44E3-9099-C40C66FF867C}">
                  <a14:compatExt spid="_x0000_s93198"/>
                </a:ext>
                <a:ext uri="{FF2B5EF4-FFF2-40B4-BE49-F238E27FC236}">
                  <a16:creationId xmlns:a16="http://schemas.microsoft.com/office/drawing/2014/main" id="{00000000-0008-0000-0200-00000E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806823</xdr:colOff>
      <xdr:row>72</xdr:row>
      <xdr:rowOff>246529</xdr:rowOff>
    </xdr:from>
    <xdr:ext cx="937025" cy="219074"/>
    <xdr:pic>
      <xdr:nvPicPr>
        <xdr:cNvPr id="18" name="Kuva 17">
          <a:extLst>
            <a:ext uri="{FF2B5EF4-FFF2-40B4-BE49-F238E27FC236}">
              <a16:creationId xmlns:a16="http://schemas.microsoft.com/office/drawing/2014/main" id="{D17F8278-D663-447F-8015-38BA5645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382" y="14623676"/>
          <a:ext cx="937025" cy="219074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CB68ABF6-4572-4C27-BEB7-66F2ECD125C5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F97ED59C-4246-4579-8E7B-FD243C2B388B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5368EF57-E9C7-4226-B186-D2E39D72039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B7FF8FB-3C8F-4BFE-8D1D-25CFC4323375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AF09D9D8-B67F-4ADF-82C9-E4FE41E48787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D4C061B-D52F-4638-9279-F7B1AF9DB5EE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28512152-51CC-43DF-BC35-40F49191A863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14D9F564-2712-4FEE-B4AD-BE3EEBF81B48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89B47BAA-6BA9-456E-9850-ABA0A75BB960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3E5F1F31-DF34-4B5F-9ECE-66EAC8C87DFC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E3D127A-3945-410D-8FC8-36636F81F7E6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5BA9CB13-8D80-44AC-8A2E-DED23682661D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DEEF11FC-5ED8-4B04-9115-38D6523C43D5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FEC8825-FB95-4058-B45F-5103406B7904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C28B9E48-8641-4229-ABB2-79F5963ECE16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56ABF721-7E21-43B8-82B8-FB1D4354D319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</xdr:colOff>
          <xdr:row>6</xdr:row>
          <xdr:rowOff>63500</xdr:rowOff>
        </xdr:from>
        <xdr:to>
          <xdr:col>12</xdr:col>
          <xdr:colOff>241300</xdr:colOff>
          <xdr:row>7</xdr:row>
          <xdr:rowOff>139700</xdr:rowOff>
        </xdr:to>
        <xdr:sp macro="" textlink="">
          <xdr:nvSpPr>
            <xdr:cNvPr id="295937" name="Drop Down 1" hidden="1">
              <a:extLst>
                <a:ext uri="{63B3BB69-23CF-44E3-9099-C40C66FF867C}">
                  <a14:compatExt spid="_x0000_s295937"/>
                </a:ext>
                <a:ext uri="{FF2B5EF4-FFF2-40B4-BE49-F238E27FC236}">
                  <a16:creationId xmlns:a16="http://schemas.microsoft.com/office/drawing/2014/main" id="{00000000-0008-0000-3100-000001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8963</xdr:colOff>
      <xdr:row>38</xdr:row>
      <xdr:rowOff>0</xdr:rowOff>
    </xdr:from>
    <xdr:to>
      <xdr:col>22</xdr:col>
      <xdr:colOff>68501</xdr:colOff>
      <xdr:row>47</xdr:row>
      <xdr:rowOff>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95B0560-2855-2409-7D5A-71628BBF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798" y="6454588"/>
          <a:ext cx="6155538" cy="1568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77</xdr:row>
          <xdr:rowOff>127000</xdr:rowOff>
        </xdr:from>
        <xdr:to>
          <xdr:col>29</xdr:col>
          <xdr:colOff>533400</xdr:colOff>
          <xdr:row>78</xdr:row>
          <xdr:rowOff>165100</xdr:rowOff>
        </xdr:to>
        <xdr:sp macro="" textlink="">
          <xdr:nvSpPr>
            <xdr:cNvPr id="295938" name="Drop Down 2" hidden="1">
              <a:extLst>
                <a:ext uri="{63B3BB69-23CF-44E3-9099-C40C66FF867C}">
                  <a14:compatExt spid="_x0000_s295938"/>
                </a:ext>
                <a:ext uri="{FF2B5EF4-FFF2-40B4-BE49-F238E27FC236}">
                  <a16:creationId xmlns:a16="http://schemas.microsoft.com/office/drawing/2014/main" id="{00000000-0008-0000-3100-000002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76</xdr:row>
          <xdr:rowOff>38100</xdr:rowOff>
        </xdr:from>
        <xdr:to>
          <xdr:col>22</xdr:col>
          <xdr:colOff>25400</xdr:colOff>
          <xdr:row>77</xdr:row>
          <xdr:rowOff>76200</xdr:rowOff>
        </xdr:to>
        <xdr:sp macro="" textlink="">
          <xdr:nvSpPr>
            <xdr:cNvPr id="295939" name="Drop Down 3" hidden="1">
              <a:extLst>
                <a:ext uri="{63B3BB69-23CF-44E3-9099-C40C66FF867C}">
                  <a14:compatExt spid="_x0000_s295939"/>
                </a:ext>
                <a:ext uri="{FF2B5EF4-FFF2-40B4-BE49-F238E27FC236}">
                  <a16:creationId xmlns:a16="http://schemas.microsoft.com/office/drawing/2014/main" id="{00000000-0008-0000-3100-000003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559820</xdr:colOff>
      <xdr:row>39</xdr:row>
      <xdr:rowOff>69174</xdr:rowOff>
    </xdr:from>
    <xdr:to>
      <xdr:col>28</xdr:col>
      <xdr:colOff>37318</xdr:colOff>
      <xdr:row>61</xdr:row>
      <xdr:rowOff>54584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5F77269-092C-2827-E08A-D3B201CE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670" y="7651074"/>
          <a:ext cx="9840698" cy="402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6</xdr:row>
          <xdr:rowOff>101600</xdr:rowOff>
        </xdr:from>
        <xdr:to>
          <xdr:col>10</xdr:col>
          <xdr:colOff>368300</xdr:colOff>
          <xdr:row>7</xdr:row>
          <xdr:rowOff>152400</xdr:rowOff>
        </xdr:to>
        <xdr:sp macro="" textlink="">
          <xdr:nvSpPr>
            <xdr:cNvPr id="309250" name="Drop Down 2" hidden="1">
              <a:extLst>
                <a:ext uri="{63B3BB69-23CF-44E3-9099-C40C66FF867C}">
                  <a14:compatExt spid="_x0000_s309250"/>
                </a:ext>
                <a:ext uri="{FF2B5EF4-FFF2-40B4-BE49-F238E27FC236}">
                  <a16:creationId xmlns:a16="http://schemas.microsoft.com/office/drawing/2014/main" id="{00000000-0008-0000-3200-000002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63500</xdr:colOff>
          <xdr:row>93</xdr:row>
          <xdr:rowOff>139700</xdr:rowOff>
        </xdr:from>
        <xdr:to>
          <xdr:col>20</xdr:col>
          <xdr:colOff>101600</xdr:colOff>
          <xdr:row>94</xdr:row>
          <xdr:rowOff>165100</xdr:rowOff>
        </xdr:to>
        <xdr:sp macro="" textlink="">
          <xdr:nvSpPr>
            <xdr:cNvPr id="309251" name="Drop Down 3" hidden="1">
              <a:extLst>
                <a:ext uri="{63B3BB69-23CF-44E3-9099-C40C66FF867C}">
                  <a14:compatExt spid="_x0000_s309251"/>
                </a:ext>
                <a:ext uri="{FF2B5EF4-FFF2-40B4-BE49-F238E27FC236}">
                  <a16:creationId xmlns:a16="http://schemas.microsoft.com/office/drawing/2014/main" id="{00000000-0008-0000-3200-000003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95</xdr:row>
          <xdr:rowOff>38100</xdr:rowOff>
        </xdr:from>
        <xdr:to>
          <xdr:col>20</xdr:col>
          <xdr:colOff>114300</xdr:colOff>
          <xdr:row>96</xdr:row>
          <xdr:rowOff>63500</xdr:rowOff>
        </xdr:to>
        <xdr:sp macro="" textlink="">
          <xdr:nvSpPr>
            <xdr:cNvPr id="309252" name="Drop Down 4" hidden="1">
              <a:extLst>
                <a:ext uri="{63B3BB69-23CF-44E3-9099-C40C66FF867C}">
                  <a14:compatExt spid="_x0000_s309252"/>
                </a:ext>
                <a:ext uri="{FF2B5EF4-FFF2-40B4-BE49-F238E27FC236}">
                  <a16:creationId xmlns:a16="http://schemas.microsoft.com/office/drawing/2014/main" id="{00000000-0008-0000-3200-000004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B982374-F86E-46DA-A312-8EBFED8B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442634</xdr:colOff>
      <xdr:row>47</xdr:row>
      <xdr:rowOff>151279</xdr:rowOff>
    </xdr:from>
    <xdr:to>
      <xdr:col>23</xdr:col>
      <xdr:colOff>290234</xdr:colOff>
      <xdr:row>62</xdr:row>
      <xdr:rowOff>126626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B88C898-A53C-47A4-AEF7-3525BE55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9A2F98E-88A3-40B7-B203-40DA1663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133350</xdr:colOff>
      <xdr:row>1</xdr:row>
      <xdr:rowOff>33337</xdr:rowOff>
    </xdr:from>
    <xdr:to>
      <xdr:col>37</xdr:col>
      <xdr:colOff>419100</xdr:colOff>
      <xdr:row>22</xdr:row>
      <xdr:rowOff>28575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53B2A7E-F7B9-46DA-A0E0-0C1516DF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42862</xdr:colOff>
      <xdr:row>24</xdr:row>
      <xdr:rowOff>100011</xdr:rowOff>
    </xdr:from>
    <xdr:to>
      <xdr:col>37</xdr:col>
      <xdr:colOff>347662</xdr:colOff>
      <xdr:row>43</xdr:row>
      <xdr:rowOff>76199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53536CF-F256-4BC4-8B2D-87F300BB9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16E4B7F-5443-4E42-9E50-EFDF7112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555764</xdr:colOff>
      <xdr:row>47</xdr:row>
      <xdr:rowOff>100220</xdr:rowOff>
    </xdr:from>
    <xdr:to>
      <xdr:col>23</xdr:col>
      <xdr:colOff>403364</xdr:colOff>
      <xdr:row>62</xdr:row>
      <xdr:rowOff>88624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DBE7A70-BB2A-455E-8467-33503624F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04D5DC7-FC16-4752-B2AC-B62E8A17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357808</xdr:colOff>
      <xdr:row>1</xdr:row>
      <xdr:rowOff>206</xdr:rowOff>
    </xdr:from>
    <xdr:to>
      <xdr:col>40</xdr:col>
      <xdr:colOff>87795</xdr:colOff>
      <xdr:row>21</xdr:row>
      <xdr:rowOff>161096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F4B885B-B117-4419-91D1-F613BCC0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166687</xdr:colOff>
      <xdr:row>24</xdr:row>
      <xdr:rowOff>4761</xdr:rowOff>
    </xdr:from>
    <xdr:to>
      <xdr:col>37</xdr:col>
      <xdr:colOff>471487</xdr:colOff>
      <xdr:row>42</xdr:row>
      <xdr:rowOff>142874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259E14A-D9BE-4EC7-8F3B-4B69086D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546652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FC4F75DC-D9DB-49FE-99E0-E78E5D01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4EA1D25-A0F6-405E-A60B-614543183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5E83F9E-EC8F-4F0D-B354-51083B57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02F0AE1-0F7D-4D82-954E-27A1869E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70889</xdr:colOff>
      <xdr:row>118</xdr:row>
      <xdr:rowOff>89549</xdr:rowOff>
    </xdr:from>
    <xdr:to>
      <xdr:col>28</xdr:col>
      <xdr:colOff>538857</xdr:colOff>
      <xdr:row>135</xdr:row>
      <xdr:rowOff>69671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7B4CA523-B97C-45EB-8C97-076FE482C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207067</xdr:colOff>
      <xdr:row>34</xdr:row>
      <xdr:rowOff>74543</xdr:rowOff>
    </xdr:from>
    <xdr:to>
      <xdr:col>41</xdr:col>
      <xdr:colOff>198784</xdr:colOff>
      <xdr:row>52</xdr:row>
      <xdr:rowOff>33130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70324F8F-700D-4693-A16F-04263CB1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571498</xdr:colOff>
      <xdr:row>54</xdr:row>
      <xdr:rowOff>119268</xdr:rowOff>
    </xdr:from>
    <xdr:to>
      <xdr:col>54</xdr:col>
      <xdr:colOff>546651</xdr:colOff>
      <xdr:row>78</xdr:row>
      <xdr:rowOff>157369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B40C539-5E05-47D7-B7CD-3D1AE19B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331304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F3F12E-E71A-4BF8-9D61-FED2AE6D8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911D390-B1AF-447B-9B94-787C75E50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A75BE88-2CF8-446F-A629-3320DEBE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FA8606B-16EA-4D38-AF01-A676FE4C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56913</xdr:colOff>
      <xdr:row>109</xdr:row>
      <xdr:rowOff>133704</xdr:rowOff>
    </xdr:from>
    <xdr:to>
      <xdr:col>12</xdr:col>
      <xdr:colOff>11359</xdr:colOff>
      <xdr:row>126</xdr:row>
      <xdr:rowOff>124712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44FA007-C53A-40E3-AC1E-408C77953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21772</xdr:colOff>
      <xdr:row>30</xdr:row>
      <xdr:rowOff>87086</xdr:rowOff>
    </xdr:from>
    <xdr:to>
      <xdr:col>35</xdr:col>
      <xdr:colOff>250372</xdr:colOff>
      <xdr:row>49</xdr:row>
      <xdr:rowOff>87086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F589FB9-DF78-49AD-A801-B9568561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0.72521</cdr:x>
      <cdr:y>0.04072</cdr:y>
    </cdr:from>
    <cdr:to>
      <cdr:x>0.97092</cdr:x>
      <cdr:y>0.11299</cdr:y>
    </cdr:to>
    <cdr:sp macro="" textlink="KirjastoC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755289" y="230103"/>
          <a:ext cx="2627587" cy="4083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38460508-79DB-4FC9-B92F-050BE74955D7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 algn="l"/>
            <a:t>Ilman tiheys: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4209" name="Drop Down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04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4210" name="Drop Down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04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25400</xdr:colOff>
          <xdr:row>1</xdr:row>
          <xdr:rowOff>76200</xdr:rowOff>
        </xdr:from>
        <xdr:to>
          <xdr:col>23</xdr:col>
          <xdr:colOff>825500</xdr:colOff>
          <xdr:row>2</xdr:row>
          <xdr:rowOff>101600</xdr:rowOff>
        </xdr:to>
        <xdr:sp macro="" textlink="">
          <xdr:nvSpPr>
            <xdr:cNvPr id="94211" name="Drop Down 3" hidden="1">
              <a:extLst>
                <a:ext uri="{63B3BB69-23CF-44E3-9099-C40C66FF867C}">
                  <a14:compatExt spid="_x0000_s94211"/>
                </a:ext>
                <a:ext uri="{FF2B5EF4-FFF2-40B4-BE49-F238E27FC236}">
                  <a16:creationId xmlns:a16="http://schemas.microsoft.com/office/drawing/2014/main" id="{00000000-0008-0000-0400-000003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995415</xdr:colOff>
      <xdr:row>77</xdr:row>
      <xdr:rowOff>168219</xdr:rowOff>
    </xdr:from>
    <xdr:to>
      <xdr:col>17</xdr:col>
      <xdr:colOff>225791</xdr:colOff>
      <xdr:row>100</xdr:row>
      <xdr:rowOff>128559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6351C7D8-43E7-605A-CB8A-020BB2B4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30724" y="29900074"/>
          <a:ext cx="14068594" cy="3950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13856</xdr:colOff>
      <xdr:row>104</xdr:row>
      <xdr:rowOff>166253</xdr:rowOff>
    </xdr:from>
    <xdr:to>
      <xdr:col>16</xdr:col>
      <xdr:colOff>560934</xdr:colOff>
      <xdr:row>148</xdr:row>
      <xdr:rowOff>132692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3E0DAEC-F655-E604-5466-C6AA8D1E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68911" y="34580944"/>
          <a:ext cx="11145805" cy="7697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14</xdr:row>
          <xdr:rowOff>0</xdr:rowOff>
        </xdr:from>
        <xdr:to>
          <xdr:col>29</xdr:col>
          <xdr:colOff>63500</xdr:colOff>
          <xdr:row>15</xdr:row>
          <xdr:rowOff>0</xdr:rowOff>
        </xdr:to>
        <xdr:sp macro="" textlink="">
          <xdr:nvSpPr>
            <xdr:cNvPr id="247809" name="Drop Down 1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07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38100</xdr:rowOff>
        </xdr:from>
        <xdr:to>
          <xdr:col>29</xdr:col>
          <xdr:colOff>63500</xdr:colOff>
          <xdr:row>16</xdr:row>
          <xdr:rowOff>38100</xdr:rowOff>
        </xdr:to>
        <xdr:sp macro="" textlink="">
          <xdr:nvSpPr>
            <xdr:cNvPr id="247810" name="Drop Down 2" hidden="1">
              <a:extLst>
                <a:ext uri="{63B3BB69-23CF-44E3-9099-C40C66FF867C}">
                  <a14:compatExt spid="_x0000_s247810"/>
                </a:ext>
                <a:ext uri="{FF2B5EF4-FFF2-40B4-BE49-F238E27FC236}">
                  <a16:creationId xmlns:a16="http://schemas.microsoft.com/office/drawing/2014/main" id="{00000000-0008-0000-0700-00000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266700</xdr:rowOff>
        </xdr:from>
        <xdr:to>
          <xdr:col>29</xdr:col>
          <xdr:colOff>50800</xdr:colOff>
          <xdr:row>17</xdr:row>
          <xdr:rowOff>12700</xdr:rowOff>
        </xdr:to>
        <xdr:sp macro="" textlink="">
          <xdr:nvSpPr>
            <xdr:cNvPr id="247811" name="Drop Down 3" hidden="1">
              <a:extLst>
                <a:ext uri="{63B3BB69-23CF-44E3-9099-C40C66FF867C}">
                  <a14:compatExt spid="_x0000_s247811"/>
                </a:ext>
                <a:ext uri="{FF2B5EF4-FFF2-40B4-BE49-F238E27FC236}">
                  <a16:creationId xmlns:a16="http://schemas.microsoft.com/office/drawing/2014/main" id="{00000000-0008-0000-0700-00000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16</xdr:row>
          <xdr:rowOff>254000</xdr:rowOff>
        </xdr:from>
        <xdr:to>
          <xdr:col>29</xdr:col>
          <xdr:colOff>50800</xdr:colOff>
          <xdr:row>18</xdr:row>
          <xdr:rowOff>25400</xdr:rowOff>
        </xdr:to>
        <xdr:sp macro="" textlink="">
          <xdr:nvSpPr>
            <xdr:cNvPr id="247812" name="Drop Down 4" hidden="1">
              <a:extLst>
                <a:ext uri="{63B3BB69-23CF-44E3-9099-C40C66FF867C}">
                  <a14:compatExt spid="_x0000_s247812"/>
                </a:ext>
                <a:ext uri="{FF2B5EF4-FFF2-40B4-BE49-F238E27FC236}">
                  <a16:creationId xmlns:a16="http://schemas.microsoft.com/office/drawing/2014/main" id="{00000000-0008-0000-0700-00000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35</xdr:col>
      <xdr:colOff>490123</xdr:colOff>
      <xdr:row>20</xdr:row>
      <xdr:rowOff>123825</xdr:rowOff>
    </xdr:from>
    <xdr:ext cx="786165" cy="175594"/>
    <xdr:pic>
      <xdr:nvPicPr>
        <xdr:cNvPr id="2" name="Kuva 1">
          <a:extLst>
            <a:ext uri="{FF2B5EF4-FFF2-40B4-BE49-F238E27FC236}">
              <a16:creationId xmlns:a16="http://schemas.microsoft.com/office/drawing/2014/main" id="{03B42A2B-C954-4F95-8E1A-B2EB8ABF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398" y="15763875"/>
          <a:ext cx="786165" cy="17559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30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7CDAEBD2-643E-4CB6-8C97-33ECA260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30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D51ABE-37B4-4712-91C1-BAC63CECF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28574</xdr:colOff>
      <xdr:row>109</xdr:row>
      <xdr:rowOff>19050</xdr:rowOff>
    </xdr:from>
    <xdr:to>
      <xdr:col>42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F08BEE5-2D82-4F77-A7D3-8BBDD1FA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251012</xdr:colOff>
      <xdr:row>33</xdr:row>
      <xdr:rowOff>43702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3C1EE41-559B-4BBB-83B8-C80FE894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15</xdr:col>
      <xdr:colOff>295835</xdr:colOff>
      <xdr:row>45</xdr:row>
      <xdr:rowOff>154640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ADCD0BD-D673-4F53-BEFD-B94E017D4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ti/Desktop/Tuotekehitys/Vuosihy&#246;tysuhdelaskurit/AIRFI%20LASKURI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rfi- laskentaohjelma"/>
      <sheetName val="Kennot-hyötysuhteet ja muunto"/>
      <sheetName val="Selvitys"/>
      <sheetName val="Taul3"/>
      <sheetName val="Ilmavirta-teho-käyrä"/>
      <sheetName val="Suodattimet"/>
      <sheetName val="alkup"/>
      <sheetName val="tasauslaskenta"/>
      <sheetName val="Taul1 (2)"/>
      <sheetName val="laitekuvat"/>
      <sheetName val="pohjakuvat"/>
      <sheetName val="Taul1"/>
      <sheetName val="READY- lto vuosih laskenta"/>
      <sheetName val="TRY2012 pysyvyysarvot"/>
      <sheetName val="Kennot"/>
      <sheetName val="Jälkilämmitys"/>
    </sheetNames>
    <sheetDataSet>
      <sheetData sheetId="0"/>
      <sheetData sheetId="1">
        <row r="35">
          <cell r="I35" t="str">
            <v>MODEL60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>
        <row r="7">
          <cell r="B7" t="e">
            <v>#REF!</v>
          </cell>
          <cell r="C7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18" Type="http://schemas.openxmlformats.org/officeDocument/2006/relationships/ctrlProp" Target="../ctrlProps/ctrlProp3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6.xml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17" Type="http://schemas.openxmlformats.org/officeDocument/2006/relationships/ctrlProp" Target="../ctrlProps/ctrlProp3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1.xml"/><Relationship Id="rId20" Type="http://schemas.openxmlformats.org/officeDocument/2006/relationships/ctrlProp" Target="../ctrlProps/ctrlProp3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24" Type="http://schemas.openxmlformats.org/officeDocument/2006/relationships/ctrlProp" Target="../ctrlProps/ctrlProp39.xml"/><Relationship Id="rId5" Type="http://schemas.openxmlformats.org/officeDocument/2006/relationships/ctrlProp" Target="../ctrlProps/ctrlProp20.xml"/><Relationship Id="rId15" Type="http://schemas.openxmlformats.org/officeDocument/2006/relationships/ctrlProp" Target="../ctrlProps/ctrlProp30.xml"/><Relationship Id="rId23" Type="http://schemas.openxmlformats.org/officeDocument/2006/relationships/ctrlProp" Target="../ctrlProps/ctrlProp38.xml"/><Relationship Id="rId10" Type="http://schemas.openxmlformats.org/officeDocument/2006/relationships/ctrlProp" Target="../ctrlProps/ctrlProp25.xml"/><Relationship Id="rId19" Type="http://schemas.openxmlformats.org/officeDocument/2006/relationships/ctrlProp" Target="../ctrlProps/ctrlProp34.xml"/><Relationship Id="rId4" Type="http://schemas.openxmlformats.org/officeDocument/2006/relationships/ctrlProp" Target="../ctrlProps/ctrlProp19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Relationship Id="rId22" Type="http://schemas.openxmlformats.org/officeDocument/2006/relationships/ctrlProp" Target="../ctrlProps/ctrlProp37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3" Type="http://schemas.openxmlformats.org/officeDocument/2006/relationships/hyperlink" Target="http://www.airfi.fi/en" TargetMode="External"/><Relationship Id="rId7" Type="http://schemas.openxmlformats.org/officeDocument/2006/relationships/ctrlProp" Target="../ctrlProps/ctrlProp40.xml"/><Relationship Id="rId2" Type="http://schemas.openxmlformats.org/officeDocument/2006/relationships/hyperlink" Target="http://www.airfi.fi/" TargetMode="External"/><Relationship Id="rId1" Type="http://schemas.openxmlformats.org/officeDocument/2006/relationships/hyperlink" Target="http://www.airfi.fi/en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43.xml"/><Relationship Id="rId4" Type="http://schemas.openxmlformats.org/officeDocument/2006/relationships/printerSettings" Target="../printerSettings/printerSettings3.bin"/><Relationship Id="rId9" Type="http://schemas.openxmlformats.org/officeDocument/2006/relationships/ctrlProp" Target="../ctrlProps/ctrlProp4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35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6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6.xml"/><Relationship Id="rId5" Type="http://schemas.openxmlformats.org/officeDocument/2006/relationships/ctrlProp" Target="../ctrlProps/ctrlProp45.xml"/><Relationship Id="rId4" Type="http://schemas.openxmlformats.org/officeDocument/2006/relationships/ctrlProp" Target="../ctrlProps/ctrlProp4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9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44.xml"/><Relationship Id="rId5" Type="http://schemas.openxmlformats.org/officeDocument/2006/relationships/ctrlProp" Target="../ctrlProps/ctrlProp61.xml"/><Relationship Id="rId4" Type="http://schemas.openxmlformats.org/officeDocument/2006/relationships/ctrlProp" Target="../ctrlProps/ctrlProp6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4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3" Type="http://schemas.openxmlformats.org/officeDocument/2006/relationships/drawing" Target="../drawings/drawing8.xml"/><Relationship Id="rId7" Type="http://schemas.openxmlformats.org/officeDocument/2006/relationships/ctrlProp" Target="../ctrlProps/ctrlProp49.xml"/><Relationship Id="rId2" Type="http://schemas.openxmlformats.org/officeDocument/2006/relationships/hyperlink" Target="http://www.airfi.fi/en" TargetMode="External"/><Relationship Id="rId1" Type="http://schemas.openxmlformats.org/officeDocument/2006/relationships/hyperlink" Target="http://www.airfi.fi/" TargetMode="External"/><Relationship Id="rId6" Type="http://schemas.openxmlformats.org/officeDocument/2006/relationships/ctrlProp" Target="../ctrlProps/ctrlProp48.xml"/><Relationship Id="rId5" Type="http://schemas.openxmlformats.org/officeDocument/2006/relationships/ctrlProp" Target="../ctrlProps/ctrlProp47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="90" zoomScaleNormal="90" zoomScaleSheetLayoutView="55" workbookViewId="0">
      <selection activeCell="E37" sqref="E37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16384" width="9.1640625" style="88"/>
  </cols>
  <sheetData>
    <row r="2" spans="2:30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Versio 7.1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7.1</v>
      </c>
    </row>
    <row r="3" spans="2:30" ht="31.5" customHeight="1" x14ac:dyDescent="0.15">
      <c r="B3" s="12"/>
      <c r="C3" s="838" t="str" cm="1">
        <f t="array" ref="C3">INDEX(Kirjasto!D4:K125,2,Kirjasto!B4)</f>
        <v>Airfi: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408" t="str" cm="1">
        <f t="array" ref="R3">INDEX(Kirjasto!D4:K125,72,Kirjasto!B4)</f>
        <v>Ilmanvaihdon poistoilman lämmöntalteenoton vuosihyötysuhteen laskenta</v>
      </c>
      <c r="S3" s="1408"/>
      <c r="T3" s="1408"/>
      <c r="U3" s="1408"/>
      <c r="V3" s="1408"/>
      <c r="W3" s="1408"/>
      <c r="X3" s="1408"/>
      <c r="Y3" s="1408"/>
      <c r="Z3" s="1408"/>
      <c r="AA3" s="1408"/>
      <c r="AB3" s="1408"/>
      <c r="AC3" s="143"/>
      <c r="AD3" s="24"/>
    </row>
    <row r="4" spans="2:30" ht="18" customHeight="1" x14ac:dyDescent="0.15">
      <c r="B4" s="12"/>
      <c r="C4" s="78" t="str" cm="1">
        <f t="array" ref="C4">INDEX(Kirjasto!D4:K125,3,Kirjasto!B4)</f>
        <v>Kohde:</v>
      </c>
      <c r="D4" s="1409"/>
      <c r="E4" s="1410"/>
      <c r="F4" s="1410"/>
      <c r="G4" s="1410"/>
      <c r="H4" s="1410"/>
      <c r="I4" s="1411"/>
      <c r="J4"/>
      <c r="K4"/>
      <c r="L4"/>
      <c r="M4"/>
      <c r="N4"/>
      <c r="O4" s="24"/>
      <c r="Q4" s="12"/>
      <c r="R4" s="267" t="str" cm="1">
        <f t="array" ref="R4">INDEX(Kirjasto!D4:K200,140,Kirjasto!B4)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15">
      <c r="B5" s="12"/>
      <c r="C5" s="269" t="str" cm="1">
        <f t="array" ref="C5">INDEX(Kirjasto!D4:K125,4,Kirjasto!B4)</f>
        <v>Suunnittelija:</v>
      </c>
      <c r="D5" s="1409"/>
      <c r="E5" s="1410"/>
      <c r="F5" s="1410"/>
      <c r="G5" s="1410"/>
      <c r="H5" s="1410"/>
      <c r="I5" s="1411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1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1417" t="str">
        <f>CONCATENATE(C4,"  ",D4)</f>
        <v xml:space="preserve">Kohde:  </v>
      </c>
      <c r="S6" s="1417"/>
      <c r="T6" s="1417"/>
      <c r="U6" s="1417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15">
      <c r="B7" s="12"/>
      <c r="C7" s="2" t="str" cm="1">
        <f t="array" ref="C7">INDEX(Kirjasto!D4:K125,5,Kirjasto!B4)</f>
        <v>Valitse malli: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417" t="str">
        <f>CONCATENATE(C5,"  ",D5)</f>
        <v xml:space="preserve">Suunnittelija:  </v>
      </c>
      <c r="S7" s="1417"/>
      <c r="T7" s="1417"/>
      <c r="U7" s="1417"/>
      <c r="V7" s="143"/>
      <c r="W7" s="268"/>
      <c r="X7" s="145" t="str" cm="1">
        <f t="array" ref="X7">INDEX(Kirjasto!D4:K125,74,Kirjasto!B4)</f>
        <v>= syötettävä solu</v>
      </c>
      <c r="Y7" s="143"/>
      <c r="Z7" s="143"/>
      <c r="AA7" s="143"/>
      <c r="AB7" s="143"/>
      <c r="AC7" s="143"/>
      <c r="AD7" s="24"/>
    </row>
    <row r="8" spans="2:30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">
      <c r="B9" s="12"/>
      <c r="C9" s="453" t="str">
        <f>Tulokset!CL37</f>
        <v>Airfi-Model 100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Laskennan lähtöarvot: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/>
      </c>
      <c r="T9" s="148"/>
      <c r="U9" s="149"/>
      <c r="V9" s="143"/>
      <c r="W9" s="552" t="str" cm="1">
        <f t="array" ref="W9">INDEX(Kirjasto!D4:K125,96,Kirjasto!B4)</f>
        <v>Ulkoilman lämpötila [°C]</v>
      </c>
      <c r="X9" s="553" t="str" cm="1">
        <f t="array" ref="X9">INDEX(Kirjasto!D4:K125,97,Kirjasto!B4)</f>
        <v>Aika vuodessa</v>
      </c>
      <c r="Y9" s="554" t="str" cm="1">
        <f t="array" ref="Y9">INDEX(Kirjasto!D4:K125,98,Kirjasto!B4)</f>
        <v>Jäteilman lämpötila</v>
      </c>
      <c r="Z9" s="553" t="str" cm="1">
        <f t="array" ref="Z9">INDEX(Kirjasto!D4:K125,99,Kirjasto!B4)</f>
        <v>Tuloilman lämpötila</v>
      </c>
      <c r="AA9" s="555" t="s">
        <v>975</v>
      </c>
      <c r="AB9" s="556" t="s">
        <v>976</v>
      </c>
      <c r="AC9" s="557" t="s">
        <v>977</v>
      </c>
      <c r="AD9" s="153"/>
    </row>
    <row r="10" spans="2:30" ht="17" x14ac:dyDescent="0.15">
      <c r="B10" s="12"/>
      <c r="C10" s="452" t="str">
        <f>Tulokset!CM37</f>
        <v>Sähkönsyöttö: Pistotulppa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8" t="str" cm="1">
        <f t="array" ref="R10">INDEX(Kirjasto!D4:K125,76,Kirjasto!B4)</f>
        <v>Tuloilmavirta, LTO:n läpi virtaava</v>
      </c>
      <c r="S10" s="252" t="s">
        <v>215</v>
      </c>
      <c r="T10" s="256">
        <f>E33</f>
        <v>45.1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-4.8048780487804841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9" t="str" cm="1">
        <f t="array" ref="R11">INDEX(Kirjasto!D4:K125,77,Kirjasto!B4)</f>
        <v>Poistoilmavirta, LTO:n läpi virtaava</v>
      </c>
      <c r="S11" s="255" t="s">
        <v>217</v>
      </c>
      <c r="T11" s="256">
        <f>G33</f>
        <v>44.6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-3.8048780487804876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1418" t="str" cm="1">
        <f t="array" ref="R12">INDEX(Kirjasto!D4:K125,78,Kirjasto!B4)</f>
        <v>LTO:n läpi virtaavan tulo- ja poistoilmavirran suhde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-2.8048780487804876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414"/>
      <c r="S13" s="252" t="s">
        <v>256</v>
      </c>
      <c r="T13" s="265">
        <f>T10/T11</f>
        <v>1.0112107623318385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-1.8048780487804876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4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-6.5</v>
      </c>
      <c r="Z14" s="166">
        <f>Laskenta_vuosihyötysuhde!N10</f>
        <v>-0.80487804878048408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1418" t="str" cm="1">
        <f t="array" ref="R15">INDEX(Kirjasto!D4:K125,79,Kirjasto!B4)</f>
        <v>LTO-vaatimuksen piiriin kuuluva erillispoistoilmavirta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0.19512195121951237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7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414"/>
      <c r="S16" s="252" t="s">
        <v>221</v>
      </c>
      <c r="T16" s="650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1.1951219512195159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8" t="str" cm="1">
        <f t="array" ref="R17">INDEX(Kirjasto!D4:K125,80,Kirjasto!B4)</f>
        <v>Em. erillispoistoilman käyttöaika</v>
      </c>
      <c r="S17" s="252" t="s">
        <v>223</v>
      </c>
      <c r="T17" s="650">
        <v>0</v>
      </c>
      <c r="U17" s="154" t="str" cm="1">
        <f t="array" ref="U17">INDEX(Kirjasto!D4:K500,153,Kirjasto!B4)</f>
        <v>h / vrk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2.1951219512195159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1418" t="str" cm="1">
        <f t="array" ref="R18">INDEX(Kirjasto!D4:K125,81,Kirjasto!B4)</f>
        <v>Koko IV:n tulo- ja poistoilmavirtojen suhde</v>
      </c>
      <c r="S18"/>
      <c r="T18" s="744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1.1415525114155251E-4</v>
      </c>
      <c r="Y18" s="165">
        <f>Laskenta_vuosihyötysuhde!I14</f>
        <v>-6.5</v>
      </c>
      <c r="Z18" s="166">
        <f>Laskenta_vuosihyötysuhde!N14</f>
        <v>3.1951219512195159</v>
      </c>
      <c r="AA18" s="167">
        <f>Laskenta_vuosihyötysuhde!U14</f>
        <v>1.875</v>
      </c>
      <c r="AB18" s="168">
        <f>Laskenta_vuosihyötysuhde!V14</f>
        <v>1.1331300813008132</v>
      </c>
      <c r="AC18" s="169">
        <f>Laskenta_vuosihyötysuhde!W14</f>
        <v>1.1458333333333333</v>
      </c>
      <c r="AD18" s="24"/>
    </row>
    <row r="19" spans="2:30" ht="15.75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414"/>
      <c r="S19" s="76" t="s">
        <v>297</v>
      </c>
      <c r="T19" s="265">
        <f>T10/(T11+(T17/24*T16))</f>
        <v>1.0112107623318385</v>
      </c>
      <c r="U19" s="170"/>
      <c r="V19" s="155"/>
      <c r="W19" s="163">
        <f>Laskenta_vuosihyötysuhde!F15</f>
        <v>-23</v>
      </c>
      <c r="X19" s="164">
        <f>Laskenta_vuosihyötysuhde!G15</f>
        <v>3.4246575342465754E-4</v>
      </c>
      <c r="Y19" s="165">
        <f>Laskenta_vuosihyötysuhde!I15</f>
        <v>-6.5</v>
      </c>
      <c r="Z19" s="166">
        <f>Laskenta_vuosihyötysuhde!N15</f>
        <v>4.1951219512195159</v>
      </c>
      <c r="AA19" s="167">
        <f>Laskenta_vuosihyötysuhde!U15</f>
        <v>3.6666666666666674</v>
      </c>
      <c r="AB19" s="168">
        <f>Laskenta_vuosihyötysuhde!V15</f>
        <v>2.2662601626016268</v>
      </c>
      <c r="AC19" s="169">
        <f>Laskenta_vuosihyötysuhde!W15</f>
        <v>2.291666666666667</v>
      </c>
      <c r="AD19" s="24"/>
    </row>
    <row r="20" spans="2:30" x14ac:dyDescent="0.1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4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5.7077625570776253E-4</v>
      </c>
      <c r="Y20" s="165">
        <f>Laskenta_vuosihyötysuhde!I16</f>
        <v>-6.5</v>
      </c>
      <c r="Z20" s="166">
        <f>Laskenta_vuosihyötysuhde!N16</f>
        <v>5.1951219512195124</v>
      </c>
      <c r="AA20" s="167">
        <f>Laskenta_vuosihyötysuhde!U16</f>
        <v>3.5833333333333326</v>
      </c>
      <c r="AB20" s="168">
        <f>Laskenta_vuosihyötysuhde!V16</f>
        <v>2.2662601626016254</v>
      </c>
      <c r="AC20" s="169">
        <f>Laskenta_vuosihyötysuhde!W16</f>
        <v>2.2916666666666661</v>
      </c>
      <c r="AD20" s="24"/>
    </row>
    <row r="21" spans="2:30" ht="13.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50" t="str" cm="1">
        <f t="array" ref="R21">INDEX(Kirjasto!D4:K200,144,Kirjasto!B4)</f>
        <v>Lämmöntalteenottokennon hyötysuhde (EN 308)</v>
      </c>
      <c r="S21" s="252" t="s">
        <v>1268</v>
      </c>
      <c r="T21" s="747">
        <f>Tulokset!DL37</f>
        <v>0.83386249999999995</v>
      </c>
      <c r="U21" s="154"/>
      <c r="V21" s="143"/>
      <c r="W21" s="163">
        <f>Laskenta_vuosihyötysuhde!F17</f>
        <v>-21</v>
      </c>
      <c r="X21" s="164">
        <f>Laskenta_vuosihyötysuhde!G17</f>
        <v>1.1415525114155251E-3</v>
      </c>
      <c r="Y21" s="165">
        <f>Laskenta_vuosihyötysuhde!I17</f>
        <v>-6.5</v>
      </c>
      <c r="Z21" s="166">
        <f>Laskenta_vuosihyötysuhde!N17</f>
        <v>6.1951219512195124</v>
      </c>
      <c r="AA21" s="167">
        <f>Laskenta_vuosihyötysuhde!U17</f>
        <v>8.75</v>
      </c>
      <c r="AB21" s="168">
        <f>Laskenta_vuosihyötysuhde!V17</f>
        <v>5.6656504065040645</v>
      </c>
      <c r="AC21" s="169">
        <f>Laskenta_vuosihyötysuhde!W17</f>
        <v>5.7291666666666661</v>
      </c>
      <c r="AD21" s="24"/>
    </row>
    <row r="22" spans="2:30" ht="13.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INDEX(Kirjasto!D4:K125,82,Kirjasto!B4)</f>
        <v>Tuloilman lämpötilahyötysuhde yhtä suurilla ilmavirroilla (EN 13141-7)</v>
      </c>
      <c r="S22" s="252" t="s">
        <v>298</v>
      </c>
      <c r="T22" s="747">
        <f>Tulokset!DK37</f>
        <v>0.82462083333333336</v>
      </c>
      <c r="U22" s="154"/>
      <c r="V22" s="143"/>
      <c r="W22" s="163">
        <f>Laskenta_vuosihyötysuhde!F18</f>
        <v>-20</v>
      </c>
      <c r="X22" s="164">
        <f>Laskenta_vuosihyötysuhde!G18</f>
        <v>2.8538812785388126E-3</v>
      </c>
      <c r="Y22" s="165">
        <f>Laskenta_vuosihyötysuhde!I18</f>
        <v>-6.5</v>
      </c>
      <c r="Z22" s="166">
        <f>Laskenta_vuosihyötysuhde!N18</f>
        <v>7.1951219512195159</v>
      </c>
      <c r="AA22" s="167">
        <f>Laskenta_vuosihyötysuhde!U18</f>
        <v>25.625</v>
      </c>
      <c r="AB22" s="168">
        <f>Laskenta_vuosihyötysuhde!V18</f>
        <v>16.996951219512198</v>
      </c>
      <c r="AC22" s="169">
        <f>Laskenta_vuosihyötysuhde!W18</f>
        <v>17.187499999999996</v>
      </c>
      <c r="AD22" s="24"/>
    </row>
    <row r="23" spans="2:30" ht="17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INDEX(Kirjasto!D4:K125,83,Kirjasto!B4)</f>
        <v>Tuloilman lämpötilahyötysuhde</v>
      </c>
      <c r="S23" s="252" t="s">
        <v>299</v>
      </c>
      <c r="T23" s="747">
        <f>MIN(2/(1+T13)*T22,0.9)</f>
        <v>0.82002428465254551</v>
      </c>
      <c r="U23" s="154"/>
      <c r="V23" s="143"/>
      <c r="W23" s="163">
        <f>Laskenta_vuosihyötysuhde!F19</f>
        <v>-19</v>
      </c>
      <c r="X23" s="164">
        <f>Laskenta_vuosihyötysuhde!G19</f>
        <v>5.3652968036529683E-3</v>
      </c>
      <c r="Y23" s="165">
        <f>Laskenta_vuosihyötysuhde!I19</f>
        <v>-6.5</v>
      </c>
      <c r="Z23" s="166">
        <f>Laskenta_vuosihyötysuhde!N19</f>
        <v>8.1951219512195124</v>
      </c>
      <c r="AA23" s="167">
        <f>Laskenta_vuosihyötysuhde!U19</f>
        <v>36.666666666666671</v>
      </c>
      <c r="AB23" s="168">
        <f>Laskenta_vuosihyötysuhde!V19</f>
        <v>24.92886178861789</v>
      </c>
      <c r="AC23" s="169">
        <f>Laskenta_vuosihyötysuhde!W19</f>
        <v>25.208333333333339</v>
      </c>
      <c r="AD23" s="24"/>
    </row>
    <row r="24" spans="2:30" ht="16.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4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7.0776255707762558E-3</v>
      </c>
      <c r="Y24" s="165">
        <f>Laskenta_vuosihyötysuhde!I20</f>
        <v>-6.5</v>
      </c>
      <c r="Z24" s="166">
        <f>Laskenta_vuosihyötysuhde!N20</f>
        <v>9.1951219512195159</v>
      </c>
      <c r="AA24" s="167">
        <f>Laskenta_vuosihyötysuhde!U20</f>
        <v>24.374999999999996</v>
      </c>
      <c r="AB24" s="168">
        <f>Laskenta_vuosihyötysuhde!V20</f>
        <v>16.996951219512198</v>
      </c>
      <c r="AC24" s="169">
        <f>Laskenta_vuosihyötysuhde!W20</f>
        <v>17.187499999999996</v>
      </c>
      <c r="AD24" s="24"/>
    </row>
    <row r="25" spans="2:30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8" t="str" cm="1">
        <f t="array" ref="R25">INDEX(Kirjasto!D4:K200,142,Kirjasto!B4)</f>
        <v>Valitse säävyöhyke (kaupunki)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9.2465753424657536E-3</v>
      </c>
      <c r="Y25" s="165">
        <f>Laskenta_vuosihyötysuhde!I21</f>
        <v>-6.5</v>
      </c>
      <c r="Z25" s="166">
        <f>Laskenta_vuosihyötysuhde!N21</f>
        <v>10.195121951219516</v>
      </c>
      <c r="AA25" s="167">
        <f>Laskenta_vuosihyötysuhde!U21</f>
        <v>30.083333333333336</v>
      </c>
      <c r="AB25" s="168">
        <f>Laskenta_vuosihyötysuhde!V21</f>
        <v>21.529471544715449</v>
      </c>
      <c r="AC25" s="169">
        <f>Laskenta_vuosihyötysuhde!W21</f>
        <v>21.770833333333332</v>
      </c>
      <c r="AD25" s="24"/>
    </row>
    <row r="26" spans="2:30" ht="17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INDEX(Kirjasto!D4:K125,85,Kirjasto!B4)</f>
        <v>Sisälämpötila</v>
      </c>
      <c r="S26" s="252" t="s">
        <v>229</v>
      </c>
      <c r="T26" s="745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1.1872146118721462E-2</v>
      </c>
      <c r="Y26" s="165">
        <f>Laskenta_vuosihyötysuhde!I22</f>
        <v>-6.5</v>
      </c>
      <c r="Z26" s="166">
        <f>Laskenta_vuosihyötysuhde!N22</f>
        <v>11.195121951219516</v>
      </c>
      <c r="AA26" s="167">
        <f>Laskenta_vuosihyötysuhde!U22</f>
        <v>35.458333333333336</v>
      </c>
      <c r="AB26" s="168">
        <f>Laskenta_vuosihyötysuhde!V22</f>
        <v>26.061991869918703</v>
      </c>
      <c r="AC26" s="169">
        <f>Laskenta_vuosihyötysuhde!W22</f>
        <v>26.354166666666668</v>
      </c>
      <c r="AD26" s="24"/>
    </row>
    <row r="27" spans="2:30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INDEX(Kirjasto!D4:K125,86,Kirjasto!B4)</f>
        <v>Minimi jäteilman lämpötila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1.632420091324201E-2</v>
      </c>
      <c r="Y27" s="165">
        <f>Laskenta_vuosihyötysuhde!I23</f>
        <v>-6.5</v>
      </c>
      <c r="Z27" s="166">
        <f>Laskenta_vuosihyötysuhde!N23</f>
        <v>12.195121951219512</v>
      </c>
      <c r="AA27" s="167">
        <f>Laskenta_vuosihyötysuhde!U23</f>
        <v>58.500000000000014</v>
      </c>
      <c r="AB27" s="168">
        <f>Laskenta_vuosihyötysuhde!V23</f>
        <v>44.192073170731717</v>
      </c>
      <c r="AC27" s="169">
        <f>Laskenta_vuosihyötysuhde!W23</f>
        <v>44.687500000000007</v>
      </c>
      <c r="AD27" s="24"/>
    </row>
    <row r="28" spans="2:30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INDEX(Kirjasto!D4:K200,146,Kirjasto!B4)</f>
        <v>Tuloilman lämpötilan rajoitus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2.1917808219178082E-2</v>
      </c>
      <c r="Y28" s="165">
        <f>Laskenta_vuosihyötysuhde!I24</f>
        <v>-6.5</v>
      </c>
      <c r="Z28" s="166">
        <f>Laskenta_vuosihyötysuhde!N24</f>
        <v>13.195121951219512</v>
      </c>
      <c r="AA28" s="167">
        <f>Laskenta_vuosihyötysuhde!U24</f>
        <v>71.458333333333329</v>
      </c>
      <c r="AB28" s="168">
        <f>Laskenta_vuosihyötysuhde!V24</f>
        <v>55.523373983739823</v>
      </c>
      <c r="AC28" s="169">
        <f>Laskenta_vuosihyötysuhde!W24</f>
        <v>56.145833333333321</v>
      </c>
      <c r="AD28" s="24"/>
    </row>
    <row r="29" spans="2:30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51" t="str" cm="1">
        <f t="array" ref="R29">INDEX(Kirjasto!D4:K125,87,Kirjasto!B4)</f>
        <v>Maksimi tuloilman lämpötila rajoitetussa tilanteessa</v>
      </c>
      <c r="S29" s="144" t="s">
        <v>233</v>
      </c>
      <c r="T29" s="746">
        <v>20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2.8652968036529679E-2</v>
      </c>
      <c r="Y29" s="165">
        <f>Laskenta_vuosihyötysuhde!I25</f>
        <v>-6.5</v>
      </c>
      <c r="Z29" s="166">
        <f>Laskenta_vuosihyötysuhde!N25</f>
        <v>14.195121951219516</v>
      </c>
      <c r="AA29" s="167">
        <f>Laskenta_vuosihyötysuhde!U25</f>
        <v>83.583333333333314</v>
      </c>
      <c r="AB29" s="168">
        <f>Laskenta_vuosihyötysuhde!V25</f>
        <v>66.854674796747972</v>
      </c>
      <c r="AC29" s="169">
        <f>Laskenta_vuosihyötysuhde!W25</f>
        <v>67.604166666666657</v>
      </c>
      <c r="AD29" s="24"/>
    </row>
    <row r="30" spans="2:30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3.4589041095890408E-2</v>
      </c>
      <c r="Y30" s="165">
        <f>Laskenta_vuosihyötysuhde!I26</f>
        <v>-6.3641736064659966</v>
      </c>
      <c r="Z30" s="166">
        <f>Laskenta_vuosihyötysuhde!N26</f>
        <v>15.060801393534003</v>
      </c>
      <c r="AA30" s="167">
        <f>Laskenta_vuosihyötysuhde!U26</f>
        <v>71.499999999999972</v>
      </c>
      <c r="AB30" s="168">
        <f>Laskenta_vuosihyötysuhde!V26</f>
        <v>58.631736352656986</v>
      </c>
      <c r="AC30" s="169">
        <f>Laskenta_vuosihyötysuhde!W26</f>
        <v>59.289042814009633</v>
      </c>
      <c r="AD30" s="24"/>
    </row>
    <row r="31" spans="2:30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Vuosihyötysuhde</v>
      </c>
      <c r="S31" s="261" t="s">
        <v>235</v>
      </c>
      <c r="T31" s="738">
        <f>Laskenta_vuosihyötysuhde!D24</f>
        <v>0.8230703061924951</v>
      </c>
      <c r="U31" s="149"/>
      <c r="V31" s="143"/>
      <c r="W31" s="163">
        <f>Laskenta_vuosihyötysuhde!F27</f>
        <v>-11</v>
      </c>
      <c r="X31" s="164">
        <f>Laskenta_vuosihyötysuhde!G27</f>
        <v>4.0639269406392696E-2</v>
      </c>
      <c r="Y31" s="165">
        <f>Laskenta_vuosihyötysuhde!I27</f>
        <v>-5.5349562244518751</v>
      </c>
      <c r="Z31" s="166">
        <f>Laskenta_vuosihyötysuhde!N27</f>
        <v>15.240777108881456</v>
      </c>
      <c r="AA31" s="167">
        <f>Laskenta_vuosihyötysuhde!U27</f>
        <v>70.666666666666728</v>
      </c>
      <c r="AB31" s="168">
        <f>Laskenta_vuosihyötysuhde!V27</f>
        <v>57.948382782113271</v>
      </c>
      <c r="AC31" s="169">
        <f>Laskenta_vuosihyötysuhde!W27</f>
        <v>58.598028328997941</v>
      </c>
      <c r="AD31" s="24"/>
    </row>
    <row r="32" spans="2:30" ht="15" customHeight="1" x14ac:dyDescent="0.2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9"/>
      <c r="T32" s="740"/>
      <c r="U32" s="154"/>
      <c r="V32" s="143"/>
      <c r="W32" s="163">
        <f>Laskenta_vuosihyötysuhde!F28</f>
        <v>-10</v>
      </c>
      <c r="X32" s="164">
        <f>Laskenta_vuosihyötysuhde!G28</f>
        <v>4.6575342465753428E-2</v>
      </c>
      <c r="Y32" s="165">
        <f>Laskenta_vuosihyötysuhde!I28</f>
        <v>-4.7057388424377535</v>
      </c>
      <c r="Z32" s="166">
        <f>Laskenta_vuosihyötysuhde!N28</f>
        <v>15.420752824228909</v>
      </c>
      <c r="AA32" s="167">
        <f>Laskenta_vuosihyötysuhde!U28</f>
        <v>67.166666666666686</v>
      </c>
      <c r="AB32" s="168">
        <f>Laskenta_vuosihyötysuhde!V28</f>
        <v>55.078297785829314</v>
      </c>
      <c r="AC32" s="169">
        <f>Laskenta_vuosihyötysuhde!W28</f>
        <v>55.695767491948473</v>
      </c>
      <c r="AD32" s="24"/>
    </row>
    <row r="33" spans="2:30" ht="15" customHeight="1" x14ac:dyDescent="0.15">
      <c r="B33" s="12"/>
      <c r="C33"/>
      <c r="D33"/>
      <c r="E33" s="665">
        <f>IF(Tulokset!$AC$7,'R-series'!E37,'R-series'!E38)</f>
        <v>45.1</v>
      </c>
      <c r="F33" s="603"/>
      <c r="G33" s="665">
        <f>IF(Tulokset!$AC$7,'R-series'!G37,'R-series'!G38)</f>
        <v>44.6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Ilmanvaihdon kokonaisenergiantarve</v>
      </c>
      <c r="S33" s="252"/>
      <c r="T33" s="256">
        <f>Laskenta_vuosihyötysuhde!Y51</f>
        <v>6400.5785044800004</v>
      </c>
      <c r="U33" s="154" t="s">
        <v>1285</v>
      </c>
      <c r="V33" s="143"/>
      <c r="W33" s="163">
        <f>Laskenta_vuosihyötysuhde!F29</f>
        <v>-9</v>
      </c>
      <c r="X33" s="164">
        <f>Laskenta_vuosihyötysuhde!G29</f>
        <v>5.4680365296803653E-2</v>
      </c>
      <c r="Y33" s="165">
        <f>Laskenta_vuosihyötysuhde!I29</f>
        <v>-3.876521460423632</v>
      </c>
      <c r="Z33" s="166">
        <f>Laskenta_vuosihyötysuhde!N29</f>
        <v>15.600728539576366</v>
      </c>
      <c r="AA33" s="167">
        <f>Laskenta_vuosihyötysuhde!U29</f>
        <v>88.749999999999972</v>
      </c>
      <c r="AB33" s="168">
        <f>Laskenta_vuosihyötysuhde!V29</f>
        <v>72.777155262913396</v>
      </c>
      <c r="AC33" s="169">
        <f>Laskenta_vuosihyötysuhde!W29</f>
        <v>73.593042653753216</v>
      </c>
      <c r="AD33" s="24"/>
    </row>
    <row r="34" spans="2:30" ht="15" customHeight="1" x14ac:dyDescent="0.1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Talteenotettu lämmitysenergia</v>
      </c>
      <c r="S34" s="252"/>
      <c r="T34" s="256">
        <f>Laskenta_vuosihyötysuhde!Z51</f>
        <v>5270.4279464316451</v>
      </c>
      <c r="U34" s="154" t="s">
        <v>1285</v>
      </c>
      <c r="V34" s="143"/>
      <c r="W34" s="163">
        <f>Laskenta_vuosihyötysuhde!F30</f>
        <v>-8</v>
      </c>
      <c r="X34" s="164">
        <f>Laskenta_vuosihyötysuhde!G30</f>
        <v>6.3356164383561647E-2</v>
      </c>
      <c r="Y34" s="165">
        <f>Laskenta_vuosihyötysuhde!I30</f>
        <v>-3.0473040784095105</v>
      </c>
      <c r="Z34" s="166">
        <f>Laskenta_vuosihyötysuhde!N30</f>
        <v>15.780704254923819</v>
      </c>
      <c r="AA34" s="167">
        <f>Laskenta_vuosihyötysuhde!U30</f>
        <v>91.833333333333371</v>
      </c>
      <c r="AB34" s="168">
        <f>Laskenta_vuosihyötysuhde!V30</f>
        <v>75.30556347392546</v>
      </c>
      <c r="AC34" s="169">
        <f>Laskenta_vuosihyötysuhde!W30</f>
        <v>76.149796248296809</v>
      </c>
      <c r="AD34" s="24"/>
    </row>
    <row r="35" spans="2:30" x14ac:dyDescent="0.15">
      <c r="B35" s="12"/>
      <c r="C35" s="2" t="str" cm="1">
        <f t="array" ref="C35">INDEX(Kirjasto!D4:K150,133,Kirjasto!B4)</f>
        <v>Mitoituspiste (syötä tilavuusvirta ja paine-ero)</v>
      </c>
      <c r="D35"/>
      <c r="E35"/>
      <c r="F35"/>
      <c r="G35"/>
      <c r="H35"/>
      <c r="I35"/>
      <c r="J35" s="2" t="str" cm="1">
        <f t="array" ref="J35">INDEX(Kirjasto!D4:K150,134,Kirjasto!B4)</f>
        <v>Tehostustilanteen laskenta:</v>
      </c>
      <c r="K35"/>
      <c r="L35"/>
      <c r="M35"/>
      <c r="N35"/>
      <c r="O35" s="24"/>
      <c r="Q35" s="12"/>
      <c r="R35" s="14" t="str" cm="1">
        <f t="array" ref="R35">INDEX(Kirjasto!D4:K200,145,Kirjasto!B4)</f>
        <v>Puhaltimien ja elektroniikan sähkönkulutus</v>
      </c>
      <c r="S35" s="144"/>
      <c r="T35" s="741">
        <f>Laskenta_vuosihyötysuhde!AG8</f>
        <v>407.83171241229263</v>
      </c>
      <c r="U35" s="171" t="s">
        <v>1285</v>
      </c>
      <c r="V35" s="143"/>
      <c r="W35" s="163">
        <f>Laskenta_vuosihyötysuhde!F31</f>
        <v>-7</v>
      </c>
      <c r="X35" s="164">
        <f>Laskenta_vuosihyötysuhde!G31</f>
        <v>7.4999999999999997E-2</v>
      </c>
      <c r="Y35" s="165">
        <f>Laskenta_vuosihyötysuhde!I31</f>
        <v>-2.2180866963953889</v>
      </c>
      <c r="Z35" s="166">
        <f>Laskenta_vuosihyötysuhde!N31</f>
        <v>15.960679970271272</v>
      </c>
      <c r="AA35" s="167">
        <f>Laskenta_vuosihyötysuhde!U31</f>
        <v>118.99999999999994</v>
      </c>
      <c r="AB35" s="168">
        <f>Laskenta_vuosihyötysuhde!V31</f>
        <v>97.582889873652846</v>
      </c>
      <c r="AC35" s="169">
        <f>Laskenta_vuosihyötysuhde!W31</f>
        <v>98.67686845968035</v>
      </c>
      <c r="AD35" s="24"/>
    </row>
    <row r="36" spans="2:30" ht="15.75" customHeight="1" x14ac:dyDescent="0.15">
      <c r="B36" s="12"/>
      <c r="C36" s="23"/>
      <c r="D36" s="22"/>
      <c r="E36" s="616" t="str">
        <f>Kirjasto!M17</f>
        <v>Tuloilma</v>
      </c>
      <c r="F36" s="22"/>
      <c r="G36" s="616" t="str">
        <f>Kirjasto!M18</f>
        <v>Poistoilma</v>
      </c>
      <c r="H36" s="21"/>
      <c r="I36"/>
      <c r="J36" s="1412" t="str" cm="1">
        <f t="array" ref="J36">INDEX(Kirjasto!D4:K150,135,Kirjasto!B4)</f>
        <v>Maksimi tehostusvara:</v>
      </c>
      <c r="K36" s="1413"/>
      <c r="L36" s="834" t="str">
        <f>Kirjasto!M17</f>
        <v>Tuloilma</v>
      </c>
      <c r="M36" s="834" t="str">
        <f>Kirjasto!M18</f>
        <v>Poistoilma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8.8470319634703198E-2</v>
      </c>
      <c r="Y36" s="165">
        <f>Laskenta_vuosihyötysuhde!I32</f>
        <v>-1.3888693143812709</v>
      </c>
      <c r="Z36" s="166">
        <f>Laskenta_vuosihyötysuhde!N32</f>
        <v>16.140655685618729</v>
      </c>
      <c r="AA36" s="167">
        <f>Laskenta_vuosihyötysuhde!U32</f>
        <v>132.75000000000006</v>
      </c>
      <c r="AB36" s="168">
        <f>Laskenta_vuosihyötysuhde!V32</f>
        <v>108.85822378762546</v>
      </c>
      <c r="AC36" s="169">
        <f>Laskenta_vuosihyötysuhde!W32</f>
        <v>110.07860746237462</v>
      </c>
      <c r="AD36" s="24"/>
    </row>
    <row r="37" spans="2:30" ht="14.25" customHeight="1" x14ac:dyDescent="0.15">
      <c r="B37" s="12"/>
      <c r="C37" s="602" t="str" cm="1">
        <f t="array" ref="C37">INDEX(Kirjasto!D4:K150,21,Kirjasto!B4)</f>
        <v>Ilman tilavuusvirta:</v>
      </c>
      <c r="D37" s="76"/>
      <c r="E37" s="650">
        <v>45.1</v>
      </c>
      <c r="F37" s="603" t="str">
        <f>Tulokset!$AC$10</f>
        <v>dm³/s</v>
      </c>
      <c r="G37" s="650">
        <v>44.6</v>
      </c>
      <c r="H37" s="604" t="str">
        <f>Tulokset!$AC$10</f>
        <v>dm³/s</v>
      </c>
      <c r="I37" s="603"/>
      <c r="J37" s="1414"/>
      <c r="K37" s="1415"/>
      <c r="L37" s="649">
        <f>Tulokset!CV37</f>
        <v>0.76811063658015932</v>
      </c>
      <c r="M37" s="649">
        <f>Tulokset!CW37</f>
        <v>1.0014558174697163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0.10547945205479452</v>
      </c>
      <c r="Y37" s="165">
        <f>Laskenta_vuosihyötysuhde!I33</f>
        <v>-0.55965193236714939</v>
      </c>
      <c r="Z37" s="166">
        <f>Laskenta_vuosihyötysuhde!N33</f>
        <v>16.320631400966182</v>
      </c>
      <c r="AA37" s="167">
        <f>Laskenta_vuosihyötysuhde!U33</f>
        <v>161.41666666666663</v>
      </c>
      <c r="AB37" s="168">
        <f>Laskenta_vuosihyötysuhde!V33</f>
        <v>132.36558661433168</v>
      </c>
      <c r="AC37" s="169">
        <f>Laskenta_vuosihyötysuhde!W33</f>
        <v>133.84950574677936</v>
      </c>
      <c r="AD37" s="24"/>
    </row>
    <row r="38" spans="2:30" ht="14" thickBot="1" x14ac:dyDescent="0.2">
      <c r="B38" s="12"/>
      <c r="C38" s="605"/>
      <c r="D38" s="592"/>
      <c r="E38" s="631">
        <f>Tulokset!AC15</f>
        <v>162.36000000000001</v>
      </c>
      <c r="F38" s="603" t="str">
        <f>Tulokset!$AC$11</f>
        <v>m³/h</v>
      </c>
      <c r="G38" s="631">
        <f>Tulokset!AD15</f>
        <v>160.56</v>
      </c>
      <c r="H38" s="604" t="str">
        <f>Tulokset!$AC$11</f>
        <v>m³/h</v>
      </c>
      <c r="I38" s="603"/>
      <c r="J38" s="600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0.12888127853881279</v>
      </c>
      <c r="Y38" s="165">
        <f>Laskenta_vuosihyötysuhde!I34</f>
        <v>0.26956544964697216</v>
      </c>
      <c r="Z38" s="166">
        <f>Laskenta_vuosihyötysuhde!N34</f>
        <v>16.500607116313638</v>
      </c>
      <c r="AA38" s="167">
        <f>Laskenta_vuosihyötysuhde!U34</f>
        <v>213.54166666666671</v>
      </c>
      <c r="AB38" s="168">
        <f>Laskenta_vuosihyötysuhde!V34</f>
        <v>175.10935245184572</v>
      </c>
      <c r="AC38" s="169">
        <f>Laskenta_vuosihyötysuhde!W34</f>
        <v>177.0724617842655</v>
      </c>
      <c r="AD38" s="24"/>
    </row>
    <row r="39" spans="2:30" ht="14" thickTop="1" x14ac:dyDescent="0.15">
      <c r="B39" s="12"/>
      <c r="C39" s="602" t="str" cm="1">
        <f t="array" ref="C39">INDEX(Kirjasto!D4:K150,22,Kirjasto!B4)</f>
        <v>Paine-ero:</v>
      </c>
      <c r="D39" s="76"/>
      <c r="E39" s="634">
        <v>61</v>
      </c>
      <c r="F39" s="603" t="s">
        <v>14</v>
      </c>
      <c r="G39" s="634">
        <v>54</v>
      </c>
      <c r="H39" s="604" t="s">
        <v>14</v>
      </c>
      <c r="I39" s="603"/>
      <c r="J39" s="627" t="str" cm="1">
        <f t="array" ref="J39">INDEX(Kirjasto!D4:K150,136,Kirjasto!B4)</f>
        <v>Syötä haluttu tehostusarvo: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0.15570776255707763</v>
      </c>
      <c r="Y39" s="165">
        <f>Laskenta_vuosihyötysuhde!I35</f>
        <v>1.0987828316610937</v>
      </c>
      <c r="Z39" s="166">
        <f>Laskenta_vuosihyötysuhde!N35</f>
        <v>16.680582831661091</v>
      </c>
      <c r="AA39" s="167">
        <f>Laskenta_vuosihyötysuhde!U35</f>
        <v>235.00000000000006</v>
      </c>
      <c r="AB39" s="168">
        <f>Laskenta_vuosihyötysuhde!V35</f>
        <v>192.70570689334824</v>
      </c>
      <c r="AC39" s="169">
        <f>Laskenta_vuosihyötysuhde!W35</f>
        <v>194.86608477331851</v>
      </c>
      <c r="AD39" s="24"/>
    </row>
    <row r="40" spans="2:30" x14ac:dyDescent="0.15">
      <c r="B40" s="12"/>
      <c r="C40" s="12"/>
      <c r="D40"/>
      <c r="E40" s="651" t="str">
        <f>Tulokset!D37</f>
        <v/>
      </c>
      <c r="F40" s="652"/>
      <c r="G40" s="651" t="str">
        <f>Tulokset!G37</f>
        <v/>
      </c>
      <c r="H40" s="24"/>
      <c r="I40"/>
      <c r="J40" s="833" t="str" cm="1">
        <f t="array" ref="J40">INDEX(Kirjasto!D4:K150,137,Kirjasto!B4)</f>
        <v>Tehostusarvo [%]:</v>
      </c>
      <c r="K40" s="76"/>
      <c r="L40" s="76"/>
      <c r="M40" s="835">
        <v>0.2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0.18424657534246575</v>
      </c>
      <c r="Y40" s="165">
        <f>Laskenta_vuosihyötysuhde!I36</f>
        <v>1.9280002136752152</v>
      </c>
      <c r="Z40" s="166">
        <f>Laskenta_vuosihyötysuhde!N36</f>
        <v>16.860558547008548</v>
      </c>
      <c r="AA40" s="167">
        <f>Laskenta_vuosihyötysuhde!U36</f>
        <v>239.58333333333323</v>
      </c>
      <c r="AB40" s="168">
        <f>Laskenta_vuosihyötysuhde!V36</f>
        <v>196.46415153133896</v>
      </c>
      <c r="AC40" s="169">
        <f>Laskenta_vuosihyötysuhde!W36</f>
        <v>198.66666444088307</v>
      </c>
      <c r="AD40" s="24"/>
    </row>
    <row r="41" spans="2:30" ht="26.5" customHeight="1" x14ac:dyDescent="0.15">
      <c r="B41" s="12"/>
      <c r="C41" s="601"/>
      <c r="D41"/>
      <c r="E41" s="832" t="str" cm="1">
        <f t="array" ref="E41">INDEX(Kirjasto!D4:K125,25,Kirjasto!B4)</f>
        <v>Tulopuhallin:</v>
      </c>
      <c r="F41"/>
      <c r="G41" s="832" t="str" cm="1">
        <f t="array" ref="G41">INDEX(Kirjasto!D4:K125,28,Kirjasto!B4)</f>
        <v>Poistopuhallin:</v>
      </c>
      <c r="H41" s="24"/>
      <c r="I41"/>
      <c r="J41" s="600"/>
      <c r="K41"/>
      <c r="L41" s="646" t="str">
        <f>Tulokset!CX37</f>
        <v/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0.20924657534246574</v>
      </c>
      <c r="Y41" s="165">
        <f>Laskenta_vuosihyötysuhde!I37</f>
        <v>2.7572175956893368</v>
      </c>
      <c r="Z41" s="166">
        <f>Laskenta_vuosihyötysuhde!N37</f>
        <v>17.040534262356001</v>
      </c>
      <c r="AA41" s="167">
        <f>Laskenta_vuosihyötysuhde!U37</f>
        <v>200.74999999999994</v>
      </c>
      <c r="AB41" s="168">
        <f>Laskenta_vuosihyötysuhde!V37</f>
        <v>164.61987514399846</v>
      </c>
      <c r="AC41" s="169">
        <f>Laskenta_vuosihyötysuhde!W37</f>
        <v>166.46538943933479</v>
      </c>
      <c r="AD41" s="24"/>
    </row>
    <row r="42" spans="2:30" x14ac:dyDescent="0.15">
      <c r="B42" s="12"/>
      <c r="C42" s="602" t="str" cm="1">
        <f t="array" ref="C42">INDEX(Kirjasto!D4:K125,26,Kirjasto!B4)</f>
        <v>Ohjausjännite:</v>
      </c>
      <c r="D42" s="76"/>
      <c r="E42" s="632">
        <f>Tulokset!E37</f>
        <v>5.2606981527034833</v>
      </c>
      <c r="F42" t="s">
        <v>25</v>
      </c>
      <c r="G42" s="632">
        <f>Tulokset!H37</f>
        <v>4.5864116691067442</v>
      </c>
      <c r="H42" s="24" t="s">
        <v>25</v>
      </c>
      <c r="I42"/>
      <c r="J42" s="627" t="str" cm="1">
        <f t="array" ref="J42">INDEX(Kirjasto!D4:K150,138,Kirjasto!B4)</f>
        <v>Toimintapiste tehostustilanteessa: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0.24920091324200913</v>
      </c>
      <c r="Y42" s="165">
        <f>Laskenta_vuosihyötysuhde!I38</f>
        <v>3.5864349777034583</v>
      </c>
      <c r="Z42" s="166">
        <f>Laskenta_vuosihyötysuhde!N38</f>
        <v>17.220509977703454</v>
      </c>
      <c r="AA42" s="167">
        <f>Laskenta_vuosihyötysuhde!U38</f>
        <v>306.25000000000011</v>
      </c>
      <c r="AB42" s="168">
        <f>Laskenta_vuosihyötysuhde!V38</f>
        <v>251.13243717484212</v>
      </c>
      <c r="AC42" s="169">
        <f>Laskenta_vuosihyötysuhde!W38</f>
        <v>253.94782324182464</v>
      </c>
      <c r="AD42" s="24"/>
    </row>
    <row r="43" spans="2:30" x14ac:dyDescent="0.15">
      <c r="B43" s="12"/>
      <c r="C43" s="602" t="str" cm="1">
        <f t="array" ref="C43">INDEX(Kirjasto!D4:K125,27,Kirjasto!B4)</f>
        <v>Puhaltimen ottoteho:</v>
      </c>
      <c r="D43" s="76"/>
      <c r="E43" s="632">
        <f>Tulokset!F37</f>
        <v>24.006013717721586</v>
      </c>
      <c r="F43" t="s">
        <v>49</v>
      </c>
      <c r="G43" s="632">
        <f>Tulokset!I37</f>
        <v>18.150117836193097</v>
      </c>
      <c r="H43" s="24" t="s">
        <v>49</v>
      </c>
      <c r="I43"/>
      <c r="J43" s="12"/>
      <c r="K43"/>
      <c r="L43" s="844" t="str">
        <f>Kirjasto!M17</f>
        <v>Tuloilma</v>
      </c>
      <c r="M43" s="844" t="str">
        <f>Kirjasto!M18</f>
        <v>Poistoilma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0.30993150684931509</v>
      </c>
      <c r="Y43" s="165">
        <f>Laskenta_vuosihyötysuhde!I39</f>
        <v>4.4156523597175763</v>
      </c>
      <c r="Z43" s="166">
        <f>Laskenta_vuosihyötysuhde!N39</f>
        <v>17.400485693050911</v>
      </c>
      <c r="AA43" s="167">
        <f>Laskenta_vuosihyötysuhde!U39</f>
        <v>443.33333333333343</v>
      </c>
      <c r="AB43" s="168">
        <f>Laskenta_vuosihyötysuhde!V39</f>
        <v>363.54409952929529</v>
      </c>
      <c r="AC43" s="169">
        <f>Laskenta_vuosihyötysuhde!W39</f>
        <v>367.61970602626047</v>
      </c>
      <c r="AD43" s="24"/>
    </row>
    <row r="44" spans="2:30" ht="15" customHeight="1" x14ac:dyDescent="0.15">
      <c r="B44" s="12"/>
      <c r="C44" s="12"/>
      <c r="D44"/>
      <c r="E44"/>
      <c r="F44"/>
      <c r="G44"/>
      <c r="H44" s="24"/>
      <c r="I44"/>
      <c r="J44" s="833" t="str" cm="1">
        <f t="array" ref="J44">INDEX(Kirjasto!D4:K150,21,Kirjasto!B4)</f>
        <v>Ilman tilavuusvirta:</v>
      </c>
      <c r="K44" s="76"/>
      <c r="L44" s="633">
        <f>Tulokset!CR37</f>
        <v>54.12</v>
      </c>
      <c r="M44" s="633">
        <f>Tulokset!CS37</f>
        <v>53.52</v>
      </c>
      <c r="N44" s="24" t="str">
        <f>Tulokset!$AC$10</f>
        <v>dm³/s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0.36917808219178083</v>
      </c>
      <c r="Y44" s="165">
        <f>Laskenta_vuosihyötysuhde!I40</f>
        <v>5.2448697417316996</v>
      </c>
      <c r="Z44" s="166">
        <f>Laskenta_vuosihyötysuhde!N40</f>
        <v>17.580461408398364</v>
      </c>
      <c r="AA44" s="167">
        <f>Laskenta_vuosihyötysuhde!U40</f>
        <v>410.87499999999994</v>
      </c>
      <c r="AB44" s="168">
        <f>Laskenta_vuosihyötysuhde!V40</f>
        <v>336.92747795661461</v>
      </c>
      <c r="AC44" s="169">
        <f>Laskenta_vuosihyötysuhde!W40</f>
        <v>340.70469183505196</v>
      </c>
      <c r="AD44" s="24"/>
    </row>
    <row r="45" spans="2:30" ht="14.25" customHeight="1" x14ac:dyDescent="0.15">
      <c r="B45" s="12"/>
      <c r="C45" s="606" t="str" cm="1">
        <f t="array" ref="C45">INDEX(Kirjasto!D4:K200,29,Kirjasto!B4)</f>
        <v>Kokonaisteho:</v>
      </c>
      <c r="D45" s="123">
        <f>Tulokset!K37</f>
        <v>46.556131553914682</v>
      </c>
      <c r="E45" s="2" t="s">
        <v>49</v>
      </c>
      <c r="F45"/>
      <c r="G45"/>
      <c r="H45" s="24"/>
      <c r="I45"/>
      <c r="J45" s="843"/>
      <c r="K45"/>
      <c r="L45" s="633">
        <f>Tulokset!CR38</f>
        <v>194.83199999999999</v>
      </c>
      <c r="M45" s="633">
        <f>Tulokset!CS38</f>
        <v>192.67200000000003</v>
      </c>
      <c r="N45" s="24" t="str">
        <f>Tulokset!$AC$11</f>
        <v>m³/h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0.41598173515981735</v>
      </c>
      <c r="Y45" s="165">
        <f>Laskenta_vuosihyötysuhde!I41</f>
        <v>6.0740871237458194</v>
      </c>
      <c r="Z45" s="166">
        <f>Laskenta_vuosihyötysuhde!N41</f>
        <v>17.760437123745817</v>
      </c>
      <c r="AA45" s="167">
        <f>Laskenta_vuosihyötysuhde!U41</f>
        <v>307.49999999999989</v>
      </c>
      <c r="AB45" s="168">
        <f>Laskenta_vuosihyötysuhde!V41</f>
        <v>252.15746753065761</v>
      </c>
      <c r="AC45" s="169">
        <f>Laskenta_vuosihyötysuhde!W41</f>
        <v>254.98434496934217</v>
      </c>
      <c r="AD45" s="24"/>
    </row>
    <row r="46" spans="2:30" ht="15" customHeight="1" x14ac:dyDescent="0.25">
      <c r="B46" s="12"/>
      <c r="C46" s="606" t="str" cm="1">
        <f t="array" ref="C46">INDEX(Kirjasto!D4:K200,30,Kirjasto!B4)</f>
        <v>SFP:</v>
      </c>
      <c r="D46" s="479">
        <f>Tulokset!L37</f>
        <v>1.0322867306854697</v>
      </c>
      <c r="E46" s="2" t="s">
        <v>1106</v>
      </c>
      <c r="F46" s="424" t="s">
        <v>550</v>
      </c>
      <c r="G46" s="444" t="str">
        <f>Tulokset!CI37</f>
        <v>-</v>
      </c>
      <c r="H46" s="610" t="s">
        <v>1105</v>
      </c>
      <c r="I46"/>
      <c r="J46" s="833" t="str" cm="1">
        <f t="array" ref="J46">INDEX(Kirjasto!D4:K150,22,Kirjasto!B4)</f>
        <v>Paine-ero:</v>
      </c>
      <c r="K46" s="76"/>
      <c r="L46" s="633">
        <f>Tulokset!CT37</f>
        <v>87.839999999999975</v>
      </c>
      <c r="M46" s="633">
        <f>Tulokset!CU37</f>
        <v>77.760000000000005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0.45079908675799085</v>
      </c>
      <c r="Y46" s="165">
        <f>Laskenta_vuosihyötysuhde!I42</f>
        <v>6.9033045057599409</v>
      </c>
      <c r="Z46" s="166">
        <f>Laskenta_vuosihyötysuhde!N42</f>
        <v>17.940412839093273</v>
      </c>
      <c r="AA46" s="167">
        <f>Laskenta_vuosihyötysuhde!U42</f>
        <v>216.04166666666663</v>
      </c>
      <c r="AB46" s="168">
        <f>Laskenta_vuosihyötysuhde!V42</f>
        <v>177.15941316347698</v>
      </c>
      <c r="AC46" s="169">
        <f>Laskenta_vuosihyötysuhde!W42</f>
        <v>179.14550523930072</v>
      </c>
      <c r="AD46" s="24"/>
    </row>
    <row r="47" spans="2:30" ht="17" x14ac:dyDescent="0.25">
      <c r="B47" s="12"/>
      <c r="C47" s="606" t="s">
        <v>1103</v>
      </c>
      <c r="D47" s="479">
        <f>Tulokset!R41</f>
        <v>0.28674631407929713</v>
      </c>
      <c r="E47" s="2" t="s">
        <v>1104</v>
      </c>
      <c r="F47" s="424" t="s">
        <v>575</v>
      </c>
      <c r="G47" s="444" t="str">
        <f>Tulokset!CJ37</f>
        <v>-</v>
      </c>
      <c r="H47" s="610" t="s">
        <v>1105</v>
      </c>
      <c r="I47"/>
      <c r="J47" s="833" t="str" cm="1">
        <f t="array" ref="J47">INDEX(Kirjasto!D4:K150,26,Kirjasto!B4)</f>
        <v>Ohjausjännite:</v>
      </c>
      <c r="K47" s="76"/>
      <c r="L47" s="632">
        <f>Tulokset!CZ37</f>
        <v>6.0493245906815094</v>
      </c>
      <c r="M47" s="632">
        <f>Tulokset!DA37</f>
        <v>5.2925485252393409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0.48413242009132418</v>
      </c>
      <c r="Y47" s="165">
        <f>Laskenta_vuosihyötysuhde!I43</f>
        <v>7.7325218877740625</v>
      </c>
      <c r="Z47" s="166">
        <f>Laskenta_vuosihyötysuhde!N43</f>
        <v>18.12038855444073</v>
      </c>
      <c r="AA47" s="167">
        <f>Laskenta_vuosihyötysuhde!U43</f>
        <v>194.66666666666663</v>
      </c>
      <c r="AB47" s="168">
        <f>Laskenta_vuosihyötysuhde!V43</f>
        <v>159.63139407902887</v>
      </c>
      <c r="AC47" s="169">
        <f>Laskenta_vuosihyötysuhde!W43</f>
        <v>161.42098369874887</v>
      </c>
      <c r="AD47" s="24"/>
    </row>
    <row r="48" spans="2:30" ht="17.25" customHeight="1" x14ac:dyDescent="0.15">
      <c r="B48" s="12"/>
      <c r="C48" s="666" t="str" cm="1">
        <f t="array" ref="C48">INDEX(Kirjasto!D4:K200,143,Kirjasto!B4)</f>
        <v>Huom. yllä olevat arvot sisältävät myös laitteen elektroniikan.</v>
      </c>
      <c r="D48" s="25"/>
      <c r="E48" s="25"/>
      <c r="F48" s="25"/>
      <c r="G48" s="25"/>
      <c r="H48" s="26"/>
      <c r="I48"/>
      <c r="J48" s="612"/>
      <c r="K48" s="613"/>
      <c r="L48" s="613"/>
      <c r="M48" s="614"/>
      <c r="N48" s="615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0.51586757990867582</v>
      </c>
      <c r="Y48" s="165">
        <f>Laskenta_vuosihyötysuhde!I44</f>
        <v>8.561739269788184</v>
      </c>
      <c r="Z48" s="166">
        <f>Laskenta_vuosihyötysuhde!N44</f>
        <v>18.300364269788183</v>
      </c>
      <c r="AA48" s="167">
        <f>Laskenta_vuosihyötysuhde!U44</f>
        <v>173.75000000000026</v>
      </c>
      <c r="AB48" s="168">
        <f>Laskenta_vuosihyötysuhde!V44</f>
        <v>142.47921945837999</v>
      </c>
      <c r="AC48" s="169">
        <f>Laskenta_vuosihyötysuhde!W44</f>
        <v>144.07652012495376</v>
      </c>
      <c r="AD48" s="24"/>
    </row>
    <row r="49" spans="2:30" ht="14.25" customHeight="1" x14ac:dyDescent="0.15">
      <c r="B49" s="12"/>
      <c r="C49"/>
      <c r="D49"/>
      <c r="E49"/>
      <c r="F49"/>
      <c r="G49"/>
      <c r="H49"/>
      <c r="I49"/>
      <c r="J49" s="425"/>
      <c r="K49" s="598"/>
      <c r="L49" s="598"/>
      <c r="M49" s="599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0.55331050228310508</v>
      </c>
      <c r="Y49" s="165">
        <f>Laskenta_vuosihyötysuhde!I45</f>
        <v>9.3909566518023055</v>
      </c>
      <c r="Z49" s="166">
        <f>Laskenta_vuosihyötysuhde!N45</f>
        <v>18.480339985135636</v>
      </c>
      <c r="AA49" s="167">
        <f>Laskenta_vuosihyötysuhde!U45</f>
        <v>191.33333333333348</v>
      </c>
      <c r="AB49" s="168">
        <f>Laskenta_vuosihyötysuhde!V45</f>
        <v>156.89797979685383</v>
      </c>
      <c r="AC49" s="169">
        <f>Laskenta_vuosihyötysuhde!W45</f>
        <v>158.65692575870196</v>
      </c>
      <c r="AD49" s="24"/>
    </row>
    <row r="50" spans="2:30" ht="14.25" customHeight="1" x14ac:dyDescent="0.15">
      <c r="B50" s="12"/>
      <c r="C50" s="2" t="str" cm="1">
        <f t="array" ref="C50">INDEX(Kirjasto!D4:K125,31,Kirjasto!B4)</f>
        <v>Äänitehotasot liitäntäkanavissa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0.58984018264840188</v>
      </c>
      <c r="Y50" s="165">
        <f>Laskenta_vuosihyötysuhde!I46</f>
        <v>10.220174033816425</v>
      </c>
      <c r="Z50" s="166">
        <f>Laskenta_vuosihyötysuhde!N46</f>
        <v>18.660315700483089</v>
      </c>
      <c r="AA50" s="167">
        <f>Laskenta_vuosihyötysuhde!U46</f>
        <v>173.33333333333331</v>
      </c>
      <c r="AB50" s="168">
        <f>Laskenta_vuosihyötysuhde!V46</f>
        <v>142.13754267310784</v>
      </c>
      <c r="AC50" s="169">
        <f>Laskenta_vuosihyötysuhde!W46</f>
        <v>143.73101288244766</v>
      </c>
      <c r="AD50" s="24"/>
    </row>
    <row r="51" spans="2:30" ht="14.25" customHeight="1" x14ac:dyDescent="0.15">
      <c r="B51" s="12"/>
      <c r="C51" s="1399" t="str" cm="1">
        <f t="array" ref="C51">INDEX(Kirjasto!D4:K125,32,Kirjasto!B4)</f>
        <v>Liitäntäkanava</v>
      </c>
      <c r="D51" s="1449" t="str" cm="1">
        <f t="array" ref="D51">INDEX(Kirjasto!D4:K125,38,Kirjasto!B4)</f>
        <v>Äänitehotasot oktaavikaistoittain LW,okt [dB]</v>
      </c>
      <c r="E51" s="1449"/>
      <c r="F51" s="1449"/>
      <c r="G51" s="1449"/>
      <c r="H51" s="1449"/>
      <c r="I51" s="1449"/>
      <c r="J51" s="1449"/>
      <c r="K51" s="1449"/>
      <c r="L51" s="1449"/>
      <c r="M51" s="1448" t="s">
        <v>60</v>
      </c>
      <c r="N51" s="1446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0.61746575342465748</v>
      </c>
      <c r="Y51" s="165">
        <f>Laskenta_vuosihyötysuhde!I47</f>
        <v>11.049391415830547</v>
      </c>
      <c r="Z51" s="166">
        <f>Laskenta_vuosihyötysuhde!N47</f>
        <v>18.840291415830546</v>
      </c>
      <c r="AA51" s="167">
        <f>Laskenta_vuosihyötysuhde!U47</f>
        <v>120.99999999999955</v>
      </c>
      <c r="AB51" s="168">
        <f>Laskenta_vuosihyötysuhde!V47</f>
        <v>99.222938442957627</v>
      </c>
      <c r="AC51" s="169">
        <f>Laskenta_vuosihyötysuhde!W47</f>
        <v>100.33530322370828</v>
      </c>
      <c r="AD51" s="24"/>
    </row>
    <row r="52" spans="2:30" ht="14.25" customHeight="1" x14ac:dyDescent="0.15">
      <c r="B52" s="12"/>
      <c r="C52" s="1399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1402" t="s">
        <v>66</v>
      </c>
      <c r="J52" s="1403"/>
      <c r="K52" s="93" t="s">
        <v>67</v>
      </c>
      <c r="L52" s="94" t="s">
        <v>68</v>
      </c>
      <c r="M52" s="1449"/>
      <c r="N52" s="1447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0.64394977168949774</v>
      </c>
      <c r="Y52" s="165">
        <f>Laskenta_vuosihyötysuhde!I48</f>
        <v>11.878608797844668</v>
      </c>
      <c r="Z52" s="166">
        <f>Laskenta_vuosihyötysuhde!N48</f>
        <v>19.020267131178002</v>
      </c>
      <c r="AA52" s="167">
        <f>Laskenta_vuosihyötysuhde!U48</f>
        <v>106.33333333333364</v>
      </c>
      <c r="AB52" s="168">
        <f>Laskenta_vuosihyötysuhde!V48</f>
        <v>87.195915601387597</v>
      </c>
      <c r="AC52" s="169">
        <f>Laskenta_vuosihyötysuhde!W48</f>
        <v>88.173448287501785</v>
      </c>
      <c r="AD52" s="24"/>
    </row>
    <row r="53" spans="2:30" s="282" customFormat="1" ht="15" customHeight="1" x14ac:dyDescent="0.15">
      <c r="B53" s="797"/>
      <c r="C53" s="798" t="str" cm="1">
        <f t="array" ref="C53">INDEX(Kirjasto!D4:K125,33,Kirjasto!B4)</f>
        <v>Tuloilma</v>
      </c>
      <c r="D53" s="799">
        <f>Tulokset!P37</f>
        <v>85.166842089688146</v>
      </c>
      <c r="E53" s="800">
        <f>Tulokset!Q37</f>
        <v>70.166842089688146</v>
      </c>
      <c r="F53" s="800">
        <f>Tulokset!R37</f>
        <v>62.166842089688146</v>
      </c>
      <c r="G53" s="800">
        <f>Tulokset!S37</f>
        <v>59.166842089688146</v>
      </c>
      <c r="H53" s="800">
        <f>Tulokset!T37</f>
        <v>53.166842089688146</v>
      </c>
      <c r="I53" s="1450">
        <f>Tulokset!U37</f>
        <v>51.166842089688146</v>
      </c>
      <c r="J53" s="1451"/>
      <c r="K53" s="800">
        <f>Tulokset!V37</f>
        <v>45.166842089688146</v>
      </c>
      <c r="L53" s="801">
        <f>Tulokset!W37</f>
        <v>35.166842089688146</v>
      </c>
      <c r="M53" s="802">
        <f>Tulokset!X37</f>
        <v>85.338367957927019</v>
      </c>
      <c r="N53" s="803">
        <f>Tulokset!Y37</f>
        <v>63.166842089688146</v>
      </c>
      <c r="O53" s="154"/>
      <c r="Q53" s="797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0.67625570776255706</v>
      </c>
      <c r="Y53" s="165">
        <f>Laskenta_vuosihyötysuhde!I49</f>
        <v>12.707826179858788</v>
      </c>
      <c r="Z53" s="166">
        <f>Laskenta_vuosihyötysuhde!N49</f>
        <v>19.200242846525455</v>
      </c>
      <c r="AA53" s="167">
        <f>Laskenta_vuosihyötysuhde!U49</f>
        <v>117.9166666666665</v>
      </c>
      <c r="AB53" s="168">
        <f>Laskenta_vuosihyötysuhde!V49</f>
        <v>96.694530231945848</v>
      </c>
      <c r="AC53" s="169">
        <f>Laskenta_vuosihyötysuhde!W49</f>
        <v>97.778549629164985</v>
      </c>
      <c r="AD53" s="154"/>
    </row>
    <row r="54" spans="2:30" s="282" customFormat="1" ht="15" customHeight="1" x14ac:dyDescent="0.15">
      <c r="B54" s="797"/>
      <c r="C54" s="804" t="str" cm="1">
        <f t="array" ref="C54">INDEX(Kirjasto!D4:K125,34,Kirjasto!B4)</f>
        <v>Ulkoilma</v>
      </c>
      <c r="D54" s="805">
        <f>Tulokset!Z37</f>
        <v>73.054193223984697</v>
      </c>
      <c r="E54" s="806">
        <f>Tulokset!AA37</f>
        <v>62.054193223984704</v>
      </c>
      <c r="F54" s="806">
        <f>Tulokset!AB37</f>
        <v>55.054193223984704</v>
      </c>
      <c r="G54" s="806">
        <f>Tulokset!AC37</f>
        <v>44.054193223984704</v>
      </c>
      <c r="H54" s="806">
        <f>Tulokset!AD37</f>
        <v>32.054193223984704</v>
      </c>
      <c r="I54" s="1452">
        <f>Tulokset!AE37</f>
        <v>26.054193223984704</v>
      </c>
      <c r="J54" s="1453"/>
      <c r="K54" s="806">
        <f>Tulokset!AF37</f>
        <v>18.054193223984704</v>
      </c>
      <c r="L54" s="807">
        <f>Tulokset!AG37</f>
        <v>13.054193223984704</v>
      </c>
      <c r="M54" s="808">
        <f>Tulokset!AH37</f>
        <v>73.454850797406877</v>
      </c>
      <c r="N54" s="809">
        <f>Tulokset!AI37</f>
        <v>52.054193223984704</v>
      </c>
      <c r="O54" s="154"/>
      <c r="Q54" s="797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0.71415525114155254</v>
      </c>
      <c r="Y54" s="174">
        <f>Laskenta_vuosihyötysuhde!I50</f>
        <v>13.53704356187291</v>
      </c>
      <c r="Z54" s="175">
        <f>Laskenta_vuosihyötysuhde!N50</f>
        <v>19.380218561872908</v>
      </c>
      <c r="AA54" s="176">
        <f>Laskenta_vuosihyötysuhde!U50</f>
        <v>124.50000000000016</v>
      </c>
      <c r="AB54" s="177">
        <f>Laskenta_vuosihyötysuhde!V50</f>
        <v>102.09302343924202</v>
      </c>
      <c r="AC54" s="178">
        <f>Laskenta_vuosihyötysuhde!W50</f>
        <v>103.2375640607582</v>
      </c>
      <c r="AD54" s="154"/>
    </row>
    <row r="55" spans="2:30" s="282" customFormat="1" ht="15" customHeight="1" x14ac:dyDescent="0.15">
      <c r="B55" s="797"/>
      <c r="C55" s="810" t="str" cm="1">
        <f t="array" ref="C55">INDEX(Kirjasto!D4:K125,35,Kirjasto!B4)</f>
        <v>Poistoilma</v>
      </c>
      <c r="D55" s="811">
        <f>Tulokset!AJ37</f>
        <v>67.991849262605825</v>
      </c>
      <c r="E55" s="812">
        <f>Tulokset!AK37</f>
        <v>58.991849262605832</v>
      </c>
      <c r="F55" s="812">
        <f>Tulokset!AL37</f>
        <v>51.991849262605832</v>
      </c>
      <c r="G55" s="812">
        <f>Tulokset!AM37</f>
        <v>43.991849262605832</v>
      </c>
      <c r="H55" s="812">
        <f>Tulokset!AN37</f>
        <v>35.991849262605832</v>
      </c>
      <c r="I55" s="1450">
        <f>Tulokset!AO37</f>
        <v>29.991849262605832</v>
      </c>
      <c r="J55" s="1451"/>
      <c r="K55" s="812">
        <f>Tulokset!AP37</f>
        <v>19.991849262605832</v>
      </c>
      <c r="L55" s="813">
        <f>Tulokset!AQ37</f>
        <v>14.991849262605832</v>
      </c>
      <c r="M55" s="814">
        <f>Tulokset!AR37</f>
        <v>68.620686627350423</v>
      </c>
      <c r="N55" s="815">
        <f>Tulokset!AS37</f>
        <v>48.991849262605832</v>
      </c>
      <c r="O55" s="154"/>
      <c r="Q55" s="797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Yhteensä</v>
      </c>
      <c r="AA55" s="181">
        <f>SUM(AA10:AA54)</f>
        <v>4962.4166666666661</v>
      </c>
      <c r="AB55" s="246">
        <f>SUM(AB10:AB54)</f>
        <v>4039.136011437874</v>
      </c>
      <c r="AC55" s="246">
        <f>SUM(AC10:AC54)</f>
        <v>4084.4178052880743</v>
      </c>
      <c r="AD55" s="154"/>
    </row>
    <row r="56" spans="2:30" s="282" customFormat="1" ht="15" customHeight="1" x14ac:dyDescent="0.15">
      <c r="B56" s="797"/>
      <c r="C56" s="804" t="str" cm="1">
        <f t="array" ref="C56">INDEX(Kirjasto!D4:K125,36,Kirjasto!B4)</f>
        <v>Jäteilma</v>
      </c>
      <c r="D56" s="805">
        <f>Tulokset!AT37</f>
        <v>83.131940217930122</v>
      </c>
      <c r="E56" s="806">
        <f>Tulokset!AU37</f>
        <v>67.131940217930122</v>
      </c>
      <c r="F56" s="806">
        <f>Tulokset!AV37</f>
        <v>64.131940217930122</v>
      </c>
      <c r="G56" s="806">
        <f>Tulokset!AW37</f>
        <v>57.131940217930122</v>
      </c>
      <c r="H56" s="806">
        <f>Tulokset!AX37</f>
        <v>52.131940217930122</v>
      </c>
      <c r="I56" s="1452">
        <f>Tulokset!AY37</f>
        <v>50.131940217930122</v>
      </c>
      <c r="J56" s="1453"/>
      <c r="K56" s="806">
        <f>Tulokset!AZ37</f>
        <v>43.131940217930122</v>
      </c>
      <c r="L56" s="807">
        <f>Tulokset!BA37</f>
        <v>39.131940217930122</v>
      </c>
      <c r="M56" s="808">
        <f>Tulokset!BB37</f>
        <v>83.309180626517744</v>
      </c>
      <c r="N56" s="809">
        <f>Tulokset!BC37</f>
        <v>61.131940217930122</v>
      </c>
      <c r="O56" s="154"/>
      <c r="Q56" s="797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15">
      <c r="B57" s="797"/>
      <c r="C57" s="816" t="str">
        <f>Tulokset!BW17</f>
        <v>Keittiöohitus</v>
      </c>
      <c r="D57" s="817" t="str">
        <f>Tulokset!BT37</f>
        <v>-</v>
      </c>
      <c r="E57" s="818" t="str">
        <f>Tulokset!BU37</f>
        <v>-</v>
      </c>
      <c r="F57" s="818" t="str">
        <f>Tulokset!BV37</f>
        <v>-</v>
      </c>
      <c r="G57" s="818" t="str">
        <f>Tulokset!BW37</f>
        <v>-</v>
      </c>
      <c r="H57" s="818" t="str">
        <f>Tulokset!BX37</f>
        <v>-</v>
      </c>
      <c r="I57" s="1454" t="str">
        <f>Tulokset!BY37</f>
        <v>-</v>
      </c>
      <c r="J57" s="1455"/>
      <c r="K57" s="818" t="str">
        <f>Tulokset!BZ37</f>
        <v>-</v>
      </c>
      <c r="L57" s="819" t="str">
        <f>Tulokset!CA37</f>
        <v>-</v>
      </c>
      <c r="M57" s="820" t="str">
        <f>Tulokset!CB37</f>
        <v>-</v>
      </c>
      <c r="N57" s="821" t="str">
        <f>Tulokset!CC37</f>
        <v>-</v>
      </c>
      <c r="O57" s="154"/>
      <c r="Q57" s="797"/>
      <c r="R57" s="143"/>
      <c r="S57" s="143"/>
      <c r="T57" s="143"/>
      <c r="U57" s="143"/>
      <c r="V57" s="143"/>
      <c r="W57" s="1400" t="str" cm="1">
        <f t="array" ref="W57">INDEX(Kirjasto!D4:K125,101,Kirjasto!B4)</f>
        <v>SS,Kd = sisä- ja ulkoilman lämpötilan välinen lämmöntarveluku, Kd</v>
      </c>
      <c r="X57" s="1400"/>
      <c r="Y57" s="1400"/>
      <c r="Z57" s="1400"/>
      <c r="AA57" s="1400"/>
      <c r="AB57" s="1400"/>
      <c r="AC57" s="1400"/>
      <c r="AD57" s="154"/>
    </row>
    <row r="58" spans="2:30" ht="15.75" customHeight="1" x14ac:dyDescent="0.15">
      <c r="B58" s="12"/>
      <c r="C58" s="280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1400"/>
      <c r="X58" s="1400"/>
      <c r="Y58" s="1400"/>
      <c r="Z58" s="1400"/>
      <c r="AA58" s="1400"/>
      <c r="AB58" s="1400"/>
      <c r="AC58" s="1400"/>
      <c r="AD58" s="24"/>
    </row>
    <row r="59" spans="2:30" ht="15.75" customHeight="1" x14ac:dyDescent="0.15">
      <c r="B59" s="12"/>
      <c r="C59" s="2" t="str" cm="1">
        <f t="array" ref="C59">IF(Tulokset!BD2,CONCATENATE(INDEX(Kirjasto!D4:K125,41,Kirjasto!B4),":"),INDEX(Kirjasto!D4:K125,41,Kirjasto!B4))</f>
        <v>Äänitehotasot ympäristöön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1400" t="str" cm="1">
        <f t="array" ref="W59">INDEX(Kirjasto!D4:K125,102,Kirjasto!B4)</f>
        <v>ST,Kd = tulo- ja ulkoilman lämpötilan välinen lämmöntarveluku, Kd</v>
      </c>
      <c r="X59" s="1400"/>
      <c r="Y59" s="1400"/>
      <c r="Z59" s="1400"/>
      <c r="AA59" s="1400"/>
      <c r="AB59" s="1400"/>
      <c r="AC59" s="1400"/>
      <c r="AD59" s="24"/>
    </row>
    <row r="60" spans="2:30" ht="15.75" customHeight="1" x14ac:dyDescent="0.15">
      <c r="B60" s="12"/>
      <c r="C60" s="1399"/>
      <c r="D60" s="1449" t="str" cm="1">
        <f t="array" ref="D60">INDEX(Kirjasto!D4:K125,38,Kirjasto!B4)</f>
        <v>Äänitehotasot oktaavikaistoittain LW,okt [dB]</v>
      </c>
      <c r="E60" s="1449"/>
      <c r="F60" s="1449"/>
      <c r="G60" s="1449"/>
      <c r="H60" s="1449"/>
      <c r="I60" s="1449"/>
      <c r="J60" s="1449"/>
      <c r="K60" s="1449"/>
      <c r="L60" s="1449"/>
      <c r="M60" s="1448" t="s">
        <v>60</v>
      </c>
      <c r="N60" s="1448" t="s">
        <v>69</v>
      </c>
      <c r="O60" s="24"/>
      <c r="Q60" s="12"/>
      <c r="R60"/>
      <c r="S60" s="143"/>
      <c r="T60" s="143"/>
      <c r="U60" s="143"/>
      <c r="V60" s="143"/>
      <c r="W60" s="1400"/>
      <c r="X60" s="1400"/>
      <c r="Y60" s="1400"/>
      <c r="Z60" s="1400"/>
      <c r="AA60" s="1400"/>
      <c r="AB60" s="1400"/>
      <c r="AC60" s="1400"/>
      <c r="AD60" s="24"/>
    </row>
    <row r="61" spans="2:30" ht="13.5" customHeight="1" x14ac:dyDescent="0.15">
      <c r="B61" s="12"/>
      <c r="C61" s="1399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1402" t="s">
        <v>66</v>
      </c>
      <c r="J61" s="1403"/>
      <c r="K61" s="93" t="s">
        <v>67</v>
      </c>
      <c r="L61" s="94" t="s">
        <v>68</v>
      </c>
      <c r="M61" s="1449"/>
      <c r="N61" s="1449"/>
      <c r="O61" s="24"/>
      <c r="Q61" s="12"/>
      <c r="R61"/>
      <c r="S61" s="143"/>
      <c r="T61" s="143"/>
      <c r="U61" s="143"/>
      <c r="V61" s="143"/>
      <c r="W61" s="1400" t="str" cm="1">
        <f t="array" ref="W61">INDEX(Kirjasto!D4:K125,103,Kirjasto!B4)</f>
        <v>SJ,Kd = jäte- ja ulkoilman lämpötilan välinen lämmöntarveluku, Kd</v>
      </c>
      <c r="X61" s="1400"/>
      <c r="Y61" s="1400"/>
      <c r="Z61" s="1400"/>
      <c r="AA61" s="1400"/>
      <c r="AB61" s="1400"/>
      <c r="AC61" s="1400"/>
      <c r="AD61" s="24"/>
    </row>
    <row r="62" spans="2:30" s="282" customFormat="1" ht="17" customHeight="1" thickBot="1" x14ac:dyDescent="0.2">
      <c r="B62" s="797"/>
      <c r="C62" s="822" t="str" cm="1">
        <f t="array" ref="C62">INDEX(Kirjasto!D4:K125,42,Kirjasto!B4)</f>
        <v>Vaipan läpi</v>
      </c>
      <c r="D62" s="823">
        <f>Tulokset!BD37</f>
        <v>52.059608416600945</v>
      </c>
      <c r="E62" s="824">
        <f>Tulokset!BE37</f>
        <v>47.059608416600945</v>
      </c>
      <c r="F62" s="824">
        <f>Tulokset!BF37</f>
        <v>42.059608416600945</v>
      </c>
      <c r="G62" s="824">
        <f>Tulokset!BG37</f>
        <v>32.059608416600945</v>
      </c>
      <c r="H62" s="824">
        <f>Tulokset!BH37</f>
        <v>23.059608416600945</v>
      </c>
      <c r="I62" s="1404">
        <f>Tulokset!BI37</f>
        <v>17.059608416600945</v>
      </c>
      <c r="J62" s="1405"/>
      <c r="K62" s="824">
        <f>Tulokset!BJ37</f>
        <v>11.059608416600945</v>
      </c>
      <c r="L62" s="825">
        <f>Tulokset!BK37</f>
        <v>7.0596084166009447</v>
      </c>
      <c r="M62" s="826">
        <f>Tulokset!BL37</f>
        <v>53.606628856567454</v>
      </c>
      <c r="N62" s="827">
        <f>Tulokset!BM37</f>
        <v>37.059608416600945</v>
      </c>
      <c r="O62" s="154"/>
      <c r="Q62" s="797"/>
      <c r="R62" s="143"/>
      <c r="S62" s="143"/>
      <c r="T62" s="143"/>
      <c r="U62" s="143"/>
      <c r="V62" s="143"/>
      <c r="W62" s="1400"/>
      <c r="X62" s="1400"/>
      <c r="Y62" s="1400"/>
      <c r="Z62" s="1400"/>
      <c r="AA62" s="1400"/>
      <c r="AB62" s="1400"/>
      <c r="AC62" s="1400"/>
      <c r="AD62" s="154"/>
    </row>
    <row r="63" spans="2:30" s="282" customFormat="1" ht="16.25" customHeight="1" thickTop="1" x14ac:dyDescent="0.15">
      <c r="B63" s="797"/>
      <c r="C63" s="837" t="str" cm="1">
        <f t="array" ref="C63">INDEX(Kirjasto!D4:K125,43,Kirjasto!B4)</f>
        <v>Äänipainetaso huonetilassa, jonka ääniabsorptioala 10m²:</v>
      </c>
      <c r="D63" s="828"/>
      <c r="E63" s="828"/>
      <c r="F63" s="828"/>
      <c r="G63" s="828"/>
      <c r="H63" s="828"/>
      <c r="I63" s="828"/>
      <c r="J63" s="828"/>
      <c r="K63" s="828"/>
      <c r="L63" s="828"/>
      <c r="M63" s="829" t="s">
        <v>99</v>
      </c>
      <c r="N63" s="814">
        <f>Tulokset!BN37</f>
        <v>33.08020832988057</v>
      </c>
      <c r="O63" s="154"/>
      <c r="Q63" s="797"/>
      <c r="R63" s="143"/>
      <c r="S63" s="143"/>
      <c r="T63" s="143"/>
      <c r="U63" s="143"/>
      <c r="V63" s="143"/>
      <c r="W63" s="1421" t="str">
        <f>Laskenta_vuosihyötysuhde!B52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3" s="1421"/>
      <c r="Y63" s="1421"/>
      <c r="Z63" s="1421"/>
      <c r="AA63" s="1421"/>
      <c r="AB63" s="1421"/>
      <c r="AC63" s="1421"/>
      <c r="AD63" s="154"/>
    </row>
    <row r="64" spans="2:30" s="282" customFormat="1" ht="16.25" customHeight="1" x14ac:dyDescent="0.15">
      <c r="B64" s="797"/>
      <c r="C64" s="836" t="str" cm="1">
        <f t="array" ref="C64">INDEX(Kirjasto!D4:K125,44,Kirjasto!B4)</f>
        <v>Äänipainetaso tyypillisessä kylpyhuoneessa tai tekn. tilassa (V &lt; 10 m³), jonka ääniabsorptioala &lt; 2-3 m²:</v>
      </c>
      <c r="D64" s="830"/>
      <c r="E64" s="830"/>
      <c r="F64" s="830"/>
      <c r="G64" s="830"/>
      <c r="H64" s="830"/>
      <c r="I64" s="830"/>
      <c r="J64" s="830"/>
      <c r="K64" s="830"/>
      <c r="L64" s="830"/>
      <c r="M64" s="831" t="s">
        <v>100</v>
      </c>
      <c r="N64" s="808">
        <f>Tulokset!BO37</f>
        <v>39.100808243160195</v>
      </c>
      <c r="O64" s="154"/>
      <c r="Q64" s="797"/>
      <c r="R64" s="143"/>
      <c r="S64" s="143"/>
      <c r="T64" s="143"/>
      <c r="U64" s="143"/>
      <c r="V64" s="143"/>
      <c r="W64" s="1421"/>
      <c r="X64" s="1421"/>
      <c r="Y64" s="1421"/>
      <c r="Z64" s="1421"/>
      <c r="AA64" s="1421"/>
      <c r="AB64" s="1421"/>
      <c r="AC64" s="1421"/>
      <c r="AD64" s="154"/>
    </row>
    <row r="65" spans="2:30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1421"/>
      <c r="X65" s="1421"/>
      <c r="Y65" s="1421"/>
      <c r="Z65" s="1421"/>
      <c r="AA65" s="1421"/>
      <c r="AB65" s="1421"/>
      <c r="AC65" s="1421"/>
      <c r="AD65" s="24"/>
    </row>
    <row r="66" spans="2:30" ht="15.75" customHeight="1" x14ac:dyDescent="0.15">
      <c r="B66" s="12"/>
      <c r="C66" s="1419" t="str" cm="1">
        <f t="array" ref="C66">INDEX(Kirjasto!D4:K125,45,Kirjasto!B4)</f>
        <v>Ominaisenergiankulutus (SEC) ja luokittelu</v>
      </c>
      <c r="D66" s="1420"/>
      <c r="E66" s="1420"/>
      <c r="F66" s="1420"/>
      <c r="G66" s="1420"/>
      <c r="H66" s="1420"/>
      <c r="I66" s="590"/>
      <c r="J66" s="505"/>
      <c r="K66" s="132"/>
      <c r="L66" s="130" t="str" cm="1">
        <f t="array" ref="L66">INDEX(Kirjasto!D4:K125,58,Kirjasto!B4)</f>
        <v>Luokka</v>
      </c>
      <c r="M66" s="1416" t="str" cm="1">
        <f t="array" ref="M66">INDEX(Kirjasto!D4:K125,57,Kirjasto!B4)</f>
        <v>SEC-luku</v>
      </c>
      <c r="N66" s="1416"/>
      <c r="O66" s="24"/>
      <c r="Q66" s="12"/>
      <c r="R66"/>
      <c r="S66" s="143"/>
      <c r="T66" s="143"/>
      <c r="U66" s="143"/>
      <c r="V66" s="143"/>
      <c r="W66" s="1421"/>
      <c r="X66" s="1421"/>
      <c r="Y66" s="1421"/>
      <c r="Z66" s="1421"/>
      <c r="AA66" s="1421"/>
      <c r="AB66" s="1421"/>
      <c r="AC66" s="1421"/>
      <c r="AD66" s="24"/>
    </row>
    <row r="67" spans="2:30" ht="15.75" customHeight="1" x14ac:dyDescent="0.15">
      <c r="B67" s="12"/>
      <c r="C67" s="1422" t="str" cm="1">
        <f t="array" ref="C67">INDEX(Kirjasto!D4:K125,46,Kirjasto!B4)</f>
        <v>Komission asetusten (EU) N:o 1253/2014 &amp; N:o 1254/2014 mukaisesti</v>
      </c>
      <c r="D67" s="1423"/>
      <c r="E67" s="1423"/>
      <c r="F67" s="1423"/>
      <c r="G67" s="1423"/>
      <c r="H67" s="1423"/>
      <c r="I67" s="591"/>
      <c r="J67" s="506"/>
      <c r="K67" s="133" t="str">
        <f t="shared" ref="K67:K74" si="0">IF(L67=$I$73,"►","")</f>
        <v/>
      </c>
      <c r="L67" s="131" t="s">
        <v>177</v>
      </c>
      <c r="M67" s="1407" t="s">
        <v>190</v>
      </c>
      <c r="N67" s="1407"/>
      <c r="O67" s="24"/>
      <c r="Q67" s="12"/>
      <c r="R67"/>
      <c r="S67" s="143"/>
      <c r="T67" s="143"/>
      <c r="U67" s="143"/>
      <c r="V67" s="143"/>
      <c r="W67" s="1421"/>
      <c r="X67" s="1421"/>
      <c r="Y67" s="1421"/>
      <c r="Z67" s="1421"/>
      <c r="AA67" s="1421"/>
      <c r="AB67" s="1421"/>
      <c r="AC67" s="1421"/>
      <c r="AD67" s="24"/>
    </row>
    <row r="68" spans="2:30" ht="15.75" customHeight="1" x14ac:dyDescent="0.15">
      <c r="B68" s="12"/>
      <c r="C68" s="456" t="str" cm="1">
        <f t="array" ref="C68">INDEX(Kirjasto!D4:K125,47,Kirjasto!B4)</f>
        <v>HUOM! SEC-laskentaa käytetään vain asuinrakennuksiin tarkoitetuilla ilmanvaihtokoneilla.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1401" t="s">
        <v>191</v>
      </c>
      <c r="N68" s="1401"/>
      <c r="O68" s="24"/>
      <c r="Q68" s="12"/>
      <c r="R68"/>
      <c r="S68" s="143"/>
      <c r="T68" s="143"/>
      <c r="U68" s="143"/>
      <c r="V68" s="143"/>
      <c r="W68" s="1421"/>
      <c r="X68" s="1421"/>
      <c r="Y68" s="1421"/>
      <c r="Z68" s="1421"/>
      <c r="AA68" s="1421"/>
      <c r="AB68" s="1421"/>
      <c r="AC68" s="1421"/>
      <c r="AD68" s="24"/>
    </row>
    <row r="69" spans="2:30" ht="16.5" customHeight="1" x14ac:dyDescent="0.15">
      <c r="B69" s="12"/>
      <c r="C69" s="507" t="str" cm="1">
        <f t="array" ref="C69">INDEX(Kirjasto!D4:K125,48,Kirjasto!B4)</f>
        <v>Vertailuilmavirta:</v>
      </c>
      <c r="D69" s="455">
        <f>Tulokset!M37*3.6</f>
        <v>226.79999999999998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1406" t="s">
        <v>192</v>
      </c>
      <c r="N69" s="1406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15">
      <c r="B70" s="12"/>
      <c r="C70" s="139" t="str" cm="1">
        <f t="array" ref="C70">INDEX(Kirjasto!D4:K125,49,Kirjasto!B4)</f>
        <v>Laskennan lähtöarvot: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1428" t="s">
        <v>193</v>
      </c>
      <c r="N70" s="1428"/>
      <c r="O70" s="24"/>
      <c r="Q70" s="12"/>
      <c r="R70" s="526" t="str" cm="1">
        <f t="array" ref="R70">INDEX(Kirjasto!D4:K125,54,Kirjasto!B4)</f>
        <v>Kaikki oikeudet pidätetään.</v>
      </c>
      <c r="S70" s="528" t="s">
        <v>199</v>
      </c>
      <c r="T70" s="527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15">
      <c r="B71" s="12"/>
      <c r="C71" s="137" t="str" cm="1">
        <f t="array" ref="C71">INDEX(Kirjasto!D4:K125,50,Kirjasto!B4)</f>
        <v>Yleinen luokittelu</v>
      </c>
      <c r="D71" s="126"/>
      <c r="E71" s="126"/>
      <c r="F71" s="126"/>
      <c r="G71" s="1444" t="str" cm="1">
        <f t="array" ref="G71">INDEX(Kirjasto!D4:K125,57,Kirjasto!B4)</f>
        <v>SEC-luku</v>
      </c>
      <c r="H71" s="1445"/>
      <c r="I71" s="1436">
        <f>Tulokset!BQ37</f>
        <v>-40.461968443342393</v>
      </c>
      <c r="J71" s="1437"/>
      <c r="K71" s="133" t="str">
        <f t="shared" si="0"/>
        <v/>
      </c>
      <c r="L71" s="131" t="s">
        <v>178</v>
      </c>
      <c r="M71" s="1429" t="s">
        <v>194</v>
      </c>
      <c r="N71" s="1429"/>
      <c r="O71" s="24"/>
      <c r="Q71" s="12"/>
      <c r="R71" s="1427" t="str" cm="1">
        <f t="array" ref="R71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1" s="1427"/>
      <c r="T71" s="1427"/>
      <c r="U71" s="1427"/>
      <c r="V71" s="1427"/>
      <c r="W71" s="1427"/>
      <c r="X71" s="1427"/>
      <c r="Y71" s="1427"/>
      <c r="Z71" s="1427"/>
      <c r="AA71" s="1427"/>
      <c r="AB71" s="1427"/>
      <c r="AC71" s="1427"/>
      <c r="AD71" s="24"/>
    </row>
    <row r="72" spans="2:30" ht="21.75" customHeight="1" x14ac:dyDescent="0.15">
      <c r="B72" s="12"/>
      <c r="C72" s="137" t="str" cm="1">
        <f t="array" ref="C72">INDEX(Kirjasto!D4:K125,51,Kirjasto!B4)</f>
        <v>Ilmanvaihdon ohjaus</v>
      </c>
      <c r="D72" s="126"/>
      <c r="E72" s="126"/>
      <c r="F72" s="126"/>
      <c r="G72" s="1425" t="s">
        <v>721</v>
      </c>
      <c r="H72" s="1426"/>
      <c r="I72" s="1438"/>
      <c r="J72" s="1439"/>
      <c r="K72" s="133" t="str">
        <f t="shared" si="0"/>
        <v/>
      </c>
      <c r="L72" s="131" t="s">
        <v>179</v>
      </c>
      <c r="M72" s="1430" t="s">
        <v>195</v>
      </c>
      <c r="N72" s="1430"/>
      <c r="O72" s="24"/>
      <c r="Q72" s="12"/>
      <c r="R72" s="1427"/>
      <c r="S72" s="1427"/>
      <c r="T72" s="1427"/>
      <c r="U72" s="1427"/>
      <c r="V72" s="1427"/>
      <c r="W72" s="1427"/>
      <c r="X72" s="1427"/>
      <c r="Y72" s="1427"/>
      <c r="Z72" s="1427"/>
      <c r="AA72" s="1427"/>
      <c r="AB72" s="1427"/>
      <c r="AC72" s="1427"/>
      <c r="AD72" s="24"/>
    </row>
    <row r="73" spans="2:30" ht="20.25" customHeight="1" x14ac:dyDescent="0.15">
      <c r="B73" s="12"/>
      <c r="C73" s="137" t="str" cm="1">
        <f t="array" ref="C73">INDEX(Kirjasto!D4:K125,52,Kirjasto!B4)</f>
        <v>Moottori ja ohjaus</v>
      </c>
      <c r="D73" s="126"/>
      <c r="E73" s="126"/>
      <c r="F73" s="126"/>
      <c r="G73" s="1432" t="str" cm="1">
        <f t="array" ref="G73">INDEX(Kirjasto!D4:K125,58,Kirjasto!B4)</f>
        <v>Luokka</v>
      </c>
      <c r="H73" s="1433"/>
      <c r="I73" s="1440" t="str">
        <f>Tulokset!BR37</f>
        <v>A</v>
      </c>
      <c r="J73" s="1441"/>
      <c r="K73" s="133" t="str">
        <f t="shared" si="0"/>
        <v/>
      </c>
      <c r="L73" s="131" t="s">
        <v>180</v>
      </c>
      <c r="M73" s="1431" t="s">
        <v>196</v>
      </c>
      <c r="N73" s="1431"/>
      <c r="O73" s="24"/>
      <c r="Q73" s="14"/>
      <c r="R73" s="525" t="str" cm="1">
        <f t="array" ref="R73">INDEX(Kirjasto!D4:K125,56,Kirjasto!B4)</f>
        <v>Laskentaohjelman laatinut Insinööritoimisto W. Zenner Oy. Laskentaohjelma perustuu SFS-EN 13141-7 mukaisiin laboratoriomittauksiin.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15">
      <c r="B74" s="12"/>
      <c r="C74" s="138" t="str" cm="1">
        <f t="array" ref="C74">INDEX(Kirjasto!D4:K125,53,Kirjasto!B4)</f>
        <v>Ilmasto</v>
      </c>
      <c r="D74" s="136"/>
      <c r="E74" s="127"/>
      <c r="F74" s="127"/>
      <c r="G74" s="1434"/>
      <c r="H74" s="1435"/>
      <c r="I74" s="1442"/>
      <c r="J74" s="1443"/>
      <c r="K74" s="134" t="str">
        <f t="shared" si="0"/>
        <v/>
      </c>
      <c r="L74" s="131" t="s">
        <v>181</v>
      </c>
      <c r="M74" s="1431" t="s">
        <v>197</v>
      </c>
      <c r="N74" s="1431"/>
      <c r="O74" s="24"/>
    </row>
    <row r="75" spans="2:30" s="282" customFormat="1" ht="20.25" customHeight="1" x14ac:dyDescent="0.15">
      <c r="B75" s="12"/>
      <c r="C75" s="526" t="str" cm="1">
        <f t="array" ref="C75">INDEX(Kirjasto!D4:K125,54,Kirjasto!B4)</f>
        <v>Kaikki oikeudet pidätetään.</v>
      </c>
      <c r="D75" s="126"/>
      <c r="E75" s="527" t="s">
        <v>199</v>
      </c>
      <c r="F75" s="527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12"/>
      <c r="C76" s="1427" t="str" cm="1">
        <f t="array" ref="C76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6" s="1427"/>
      <c r="E76" s="1427"/>
      <c r="F76" s="1427"/>
      <c r="G76" s="1427"/>
      <c r="H76" s="1427"/>
      <c r="I76" s="1427"/>
      <c r="J76" s="1427"/>
      <c r="K76" s="1427"/>
      <c r="L76" s="1427"/>
      <c r="M76" s="1427"/>
      <c r="N76" s="1427"/>
      <c r="O76" s="24"/>
    </row>
    <row r="77" spans="2:30" x14ac:dyDescent="0.15">
      <c r="B77" s="12"/>
      <c r="C77" s="1427"/>
      <c r="D77" s="1427"/>
      <c r="E77" s="1427"/>
      <c r="F77" s="1427"/>
      <c r="G77" s="1427"/>
      <c r="H77" s="1427"/>
      <c r="I77" s="1427"/>
      <c r="J77" s="1427"/>
      <c r="K77" s="1427"/>
      <c r="L77" s="1427"/>
      <c r="M77" s="1427"/>
      <c r="N77" s="1427"/>
      <c r="O77" s="24"/>
    </row>
    <row r="78" spans="2:30" x14ac:dyDescent="0.15">
      <c r="B78" s="283"/>
      <c r="C78" s="525" t="str" cm="1">
        <f t="array" ref="C78">INDEX(Kirjasto!D4:K125,56,Kirjasto!B4)</f>
        <v>Laskentaohjelman laatinut Insinööritoimisto W. Zenner Oy. Laskentaohjelma perustuu SFS-EN 13141-7 mukaisiin laboratoriomittauksiin.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INDEX(Kirjasto!D4:K125,104,Kirjasto!B4)</f>
        <v>Vesikiertoisen lämmityspatterin mitoitus</v>
      </c>
      <c r="D82" s="126"/>
      <c r="E82" s="126"/>
      <c r="F82" s="126"/>
      <c r="G82" s="392" t="str">
        <f>Tulokset!M62</f>
        <v>Ei käytettävissä tässä mallissa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30" t="str" cm="1">
        <f t="array" ref="C84">INDEX(Kirjasto!D4:K125,106,Kirjasto!B4)</f>
        <v>Syötä mitoitus- ja tavoitearvot:</v>
      </c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386"/>
    </row>
    <row r="85" spans="2:15" x14ac:dyDescent="0.15">
      <c r="B85" s="385"/>
      <c r="C85" s="532" t="str" cm="1">
        <f t="array" ref="C85">INDEX(Kirjasto!D4:K125,107,Kirjasto!B4)</f>
        <v>Aloita syöttämällä joko meno- tai paluuveden lämpötila</v>
      </c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386"/>
    </row>
    <row r="86" spans="2:15" x14ac:dyDescent="0.15">
      <c r="B86" s="385"/>
      <c r="C86" s="531" t="str" cm="1">
        <f t="array" ref="C86">INDEX(Kirjasto!D4:K125,108,Kirjasto!B4)</f>
        <v>Patterille tulevan ilman lämpötila</v>
      </c>
      <c r="D86" s="531"/>
      <c r="E86" s="531"/>
      <c r="F86" s="533">
        <v>1</v>
      </c>
      <c r="G86" s="531" t="s">
        <v>509</v>
      </c>
      <c r="H86" s="534" t="str" cm="1">
        <f t="array" ref="H86">INDEX(Kirjasto!D4:K125,115,Kirjasto!B4)</f>
        <v xml:space="preserve">Patterimitoitus menoveden lämpötilan mukaan </v>
      </c>
      <c r="I86" s="607"/>
      <c r="J86" s="535"/>
      <c r="K86" s="535"/>
      <c r="L86" s="535"/>
      <c r="M86" s="535"/>
      <c r="N86" s="536"/>
      <c r="O86" s="386"/>
    </row>
    <row r="87" spans="2:15" x14ac:dyDescent="0.15">
      <c r="B87" s="385"/>
      <c r="C87" s="531" t="str" cm="1">
        <f t="array" ref="C87">INDEX(Kirjasto!D4:K125,109,Kirjasto!B4)</f>
        <v>Patterilta lähtevän ilman lämpötila</v>
      </c>
      <c r="D87" s="531"/>
      <c r="E87" s="531"/>
      <c r="F87" s="533">
        <v>20</v>
      </c>
      <c r="G87" s="531" t="s">
        <v>509</v>
      </c>
      <c r="H87" s="137" t="str" cm="1">
        <f t="array" ref="H87">INDEX(Kirjasto!D4:K125,117,Kirjasto!B4)</f>
        <v>Menoveden lämpötila</v>
      </c>
      <c r="I87" s="608"/>
      <c r="J87" s="531"/>
      <c r="K87" s="531"/>
      <c r="L87" s="531"/>
      <c r="M87" s="537" t="str">
        <f>Tulokset!N41</f>
        <v>-</v>
      </c>
      <c r="N87" s="538" t="s">
        <v>509</v>
      </c>
      <c r="O87" s="386"/>
    </row>
    <row r="88" spans="2:15" x14ac:dyDescent="0.15">
      <c r="B88" s="385"/>
      <c r="C88" s="531" t="str" cm="1">
        <f t="array" ref="C88">INDEX(Kirjasto!D4:K125,110,Kirjasto!B4)</f>
        <v>Menoveden lämpötila</v>
      </c>
      <c r="D88" s="531"/>
      <c r="E88" s="531"/>
      <c r="F88" s="533">
        <v>50</v>
      </c>
      <c r="G88" s="531" t="s">
        <v>509</v>
      </c>
      <c r="H88" s="137" t="str" cm="1">
        <f t="array" ref="H88">INDEX(Kirjasto!D4:K125,118,Kirjasto!B4)</f>
        <v>Paluuveden lämpötila</v>
      </c>
      <c r="I88" s="608"/>
      <c r="J88" s="531"/>
      <c r="K88" s="531"/>
      <c r="L88" s="531"/>
      <c r="M88" s="537" t="str">
        <f>Tulokset!N42</f>
        <v>-</v>
      </c>
      <c r="N88" s="538" t="s">
        <v>509</v>
      </c>
      <c r="O88" s="386"/>
    </row>
    <row r="89" spans="2:15" x14ac:dyDescent="0.15">
      <c r="B89" s="385"/>
      <c r="C89" s="531" t="str" cm="1">
        <f t="array" ref="C89">INDEX(Kirjasto!D4:K125,111,Kirjasto!B4)</f>
        <v>Paluuveden lämpötila</v>
      </c>
      <c r="D89" s="531"/>
      <c r="E89" s="531"/>
      <c r="F89" s="533">
        <v>30</v>
      </c>
      <c r="G89" s="531" t="s">
        <v>509</v>
      </c>
      <c r="H89" s="137" t="str" cm="1">
        <f t="array" ref="H89">INDEX(Kirjasto!D4:K125,119,Kirjasto!B4)</f>
        <v>Virtaama</v>
      </c>
      <c r="I89" s="608"/>
      <c r="J89" s="531"/>
      <c r="K89" s="531"/>
      <c r="L89" s="531"/>
      <c r="M89" s="539" t="str">
        <f>Tulokset!N43</f>
        <v>-</v>
      </c>
      <c r="N89" s="538" t="s">
        <v>974</v>
      </c>
      <c r="O89" s="386"/>
    </row>
    <row r="90" spans="2:15" x14ac:dyDescent="0.15">
      <c r="B90" s="385"/>
      <c r="C90" s="531"/>
      <c r="D90" s="531"/>
      <c r="E90" s="531"/>
      <c r="F90" s="531"/>
      <c r="G90" s="531"/>
      <c r="H90" s="137" t="str" cm="1">
        <f t="array" ref="H90">INDEX(Kirjasto!D4:K125,120,Kirjasto!B4)</f>
        <v>Patterin nestepuolen painehäviö</v>
      </c>
      <c r="I90" s="608"/>
      <c r="J90" s="531"/>
      <c r="K90" s="531"/>
      <c r="L90" s="531"/>
      <c r="M90" s="537" t="str">
        <f>Tulokset!N44</f>
        <v>-</v>
      </c>
      <c r="N90" s="538" t="s">
        <v>500</v>
      </c>
      <c r="O90" s="386"/>
    </row>
    <row r="91" spans="2:15" x14ac:dyDescent="0.15">
      <c r="B91" s="385"/>
      <c r="C91" s="531" t="str" cm="1">
        <f t="array" ref="C91">INDEX(Kirjasto!D4:K125,112,Kirjasto!B4)</f>
        <v>Tuloilman tilavuusvirta</v>
      </c>
      <c r="D91" s="531"/>
      <c r="E91" s="531"/>
      <c r="F91" s="753">
        <f>E33</f>
        <v>45.1</v>
      </c>
      <c r="G91" s="531" t="s">
        <v>974</v>
      </c>
      <c r="H91" s="137" t="str" cm="1">
        <f t="array" ref="H91">INDEX(Kirjasto!D4:K125,121,Kirjasto!B4)</f>
        <v>Säätöventtiilin painehäviö*</v>
      </c>
      <c r="I91" s="608"/>
      <c r="J91" s="531"/>
      <c r="K91" s="531"/>
      <c r="L91" s="531"/>
      <c r="M91" s="537" t="str">
        <f>Tulokset!N45</f>
        <v>-</v>
      </c>
      <c r="N91" s="538" t="s">
        <v>500</v>
      </c>
      <c r="O91" s="386"/>
    </row>
    <row r="92" spans="2:15" ht="14.25" customHeight="1" x14ac:dyDescent="0.15">
      <c r="B92" s="385"/>
      <c r="C92" s="540" t="str" cm="1">
        <f t="array" ref="C92">INDEX(Kirjasto!D4:K125,113,Kirjasto!B4)</f>
        <v>Tarvittava lämmitysteho:</v>
      </c>
      <c r="D92" s="541"/>
      <c r="E92" s="542"/>
      <c r="F92" s="842" t="str">
        <f>Tulokset!D57</f>
        <v>-</v>
      </c>
      <c r="G92" s="530" t="s">
        <v>49</v>
      </c>
      <c r="H92" s="543" t="str" cm="1">
        <f t="array" ref="H92">INDEX(Kirjasto!D4:K125,122,Kirjasto!B4)</f>
        <v>Virtausnopeus</v>
      </c>
      <c r="I92" s="609"/>
      <c r="J92" s="544"/>
      <c r="K92" s="544"/>
      <c r="L92" s="544"/>
      <c r="M92" s="545" t="str">
        <f>Tulokset!N46</f>
        <v>-</v>
      </c>
      <c r="N92" s="546" t="s">
        <v>502</v>
      </c>
      <c r="O92" s="386"/>
    </row>
    <row r="93" spans="2:15" x14ac:dyDescent="0.15">
      <c r="B93" s="385"/>
      <c r="C93" s="531"/>
      <c r="D93" s="531"/>
      <c r="E93" s="531"/>
      <c r="F93" s="531"/>
      <c r="G93" s="531"/>
      <c r="H93" s="529" t="str">
        <f>Tulokset!M63</f>
        <v/>
      </c>
      <c r="I93" s="529"/>
      <c r="J93" s="531"/>
      <c r="K93" s="531"/>
      <c r="L93" s="531"/>
      <c r="M93" s="531"/>
      <c r="N93" s="531"/>
      <c r="O93" s="386"/>
    </row>
    <row r="94" spans="2:15" x14ac:dyDescent="0.15">
      <c r="B94" s="385"/>
      <c r="C94" s="531"/>
      <c r="D94" s="531"/>
      <c r="E94" s="531"/>
      <c r="F94" s="531"/>
      <c r="G94" s="531"/>
      <c r="H94" s="534" t="str" cm="1">
        <f t="array" ref="H94">INDEX(Kirjasto!D4:K125,116,Kirjasto!B4)</f>
        <v xml:space="preserve">Patterimitoitus paluuveden lämpötilan mukaan </v>
      </c>
      <c r="I94" s="607"/>
      <c r="J94" s="535"/>
      <c r="K94" s="535"/>
      <c r="L94" s="535"/>
      <c r="M94" s="535"/>
      <c r="N94" s="547"/>
      <c r="O94" s="386"/>
    </row>
    <row r="95" spans="2:15" x14ac:dyDescent="0.15">
      <c r="B95" s="385"/>
      <c r="C95" s="531"/>
      <c r="D95" s="531"/>
      <c r="E95" s="531"/>
      <c r="F95" s="531"/>
      <c r="G95" s="531"/>
      <c r="H95" s="137" t="str" cm="1">
        <f t="array" ref="H95">INDEX(Kirjasto!D4:K125,117,Kirjasto!B4)</f>
        <v>Menoveden lämpötila</v>
      </c>
      <c r="I95" s="608"/>
      <c r="J95" s="531"/>
      <c r="K95" s="531"/>
      <c r="L95" s="531"/>
      <c r="M95" s="537" t="str">
        <f>Tulokset!N48</f>
        <v>-</v>
      </c>
      <c r="N95" s="538" t="s">
        <v>509</v>
      </c>
      <c r="O95" s="386"/>
    </row>
    <row r="96" spans="2:15" x14ac:dyDescent="0.15">
      <c r="B96" s="385"/>
      <c r="C96" s="531"/>
      <c r="D96" s="531"/>
      <c r="E96" s="531"/>
      <c r="F96" s="531"/>
      <c r="G96" s="531"/>
      <c r="H96" s="137" t="str" cm="1">
        <f t="array" ref="H96">INDEX(Kirjasto!D4:K125,118,Kirjasto!B4)</f>
        <v>Paluuveden lämpötila</v>
      </c>
      <c r="I96" s="608"/>
      <c r="J96" s="531"/>
      <c r="K96" s="531"/>
      <c r="L96" s="531"/>
      <c r="M96" s="537" t="str">
        <f>Tulokset!N49</f>
        <v>-</v>
      </c>
      <c r="N96" s="538" t="s">
        <v>509</v>
      </c>
      <c r="O96" s="386"/>
    </row>
    <row r="97" spans="2:15" x14ac:dyDescent="0.15">
      <c r="B97" s="385"/>
      <c r="C97" s="531"/>
      <c r="D97" s="531"/>
      <c r="E97" s="531"/>
      <c r="F97" s="531"/>
      <c r="G97" s="531"/>
      <c r="H97" s="137" t="str" cm="1">
        <f t="array" ref="H97">INDEX(Kirjasto!D4:K125,119,Kirjasto!B4)</f>
        <v>Virtaama</v>
      </c>
      <c r="I97" s="608"/>
      <c r="J97" s="531"/>
      <c r="K97" s="531"/>
      <c r="L97" s="531"/>
      <c r="M97" s="539" t="str">
        <f>Tulokset!N50</f>
        <v>-</v>
      </c>
      <c r="N97" s="538" t="s">
        <v>974</v>
      </c>
      <c r="O97" s="386"/>
    </row>
    <row r="98" spans="2:15" x14ac:dyDescent="0.15">
      <c r="B98" s="385"/>
      <c r="C98" s="531"/>
      <c r="D98" s="531"/>
      <c r="E98" s="531"/>
      <c r="F98" s="531"/>
      <c r="G98" s="531"/>
      <c r="H98" s="137" t="str" cm="1">
        <f t="array" ref="H98">INDEX(Kirjasto!D4:K125,120,Kirjasto!B4)</f>
        <v>Patterin nestepuolen painehäviö</v>
      </c>
      <c r="I98" s="608"/>
      <c r="J98" s="531"/>
      <c r="K98" s="531"/>
      <c r="L98" s="531"/>
      <c r="M98" s="537" t="str">
        <f>Tulokset!N51</f>
        <v>-</v>
      </c>
      <c r="N98" s="538" t="s">
        <v>500</v>
      </c>
      <c r="O98" s="386"/>
    </row>
    <row r="99" spans="2:15" x14ac:dyDescent="0.15">
      <c r="B99" s="385"/>
      <c r="C99" s="1424" t="str" cm="1">
        <f t="array" ref="C99">INDEX(Kirjasto!D4:K125,114,Kirjasto!B4)</f>
        <v>* Käytettäessä Oras DN15S suurtehorunkoa + Stabila -patteriventtiiliä (täysin auki, KV = 1,00)</v>
      </c>
      <c r="D99" s="1424"/>
      <c r="E99" s="1424"/>
      <c r="F99" s="1424"/>
      <c r="G99" s="531"/>
      <c r="H99" s="137" t="str" cm="1">
        <f t="array" ref="H99">INDEX(Kirjasto!D4:K125,121,Kirjasto!B4)</f>
        <v>Säätöventtiilin painehäviö*</v>
      </c>
      <c r="I99" s="608"/>
      <c r="J99" s="531"/>
      <c r="K99" s="531"/>
      <c r="L99" s="531"/>
      <c r="M99" s="537" t="str">
        <f>Tulokset!N52</f>
        <v>-</v>
      </c>
      <c r="N99" s="538" t="s">
        <v>500</v>
      </c>
      <c r="O99" s="386"/>
    </row>
    <row r="100" spans="2:15" x14ac:dyDescent="0.15">
      <c r="B100" s="385"/>
      <c r="C100" s="1424"/>
      <c r="D100" s="1424"/>
      <c r="E100" s="1424"/>
      <c r="F100" s="1424"/>
      <c r="G100" s="531"/>
      <c r="H100" s="543" t="str" cm="1">
        <f t="array" ref="H100">INDEX(Kirjasto!D4:K125,122,Kirjasto!B4)</f>
        <v>Virtausnopeus</v>
      </c>
      <c r="I100" s="609"/>
      <c r="J100" s="544"/>
      <c r="K100" s="544"/>
      <c r="L100" s="544"/>
      <c r="M100" s="545" t="str">
        <f>Tulokset!N53</f>
        <v>-</v>
      </c>
      <c r="N100" s="546" t="s">
        <v>502</v>
      </c>
      <c r="O100" s="386"/>
    </row>
    <row r="101" spans="2:15" x14ac:dyDescent="0.15">
      <c r="B101" s="385"/>
      <c r="C101" s="445"/>
      <c r="D101" s="445"/>
      <c r="E101" s="445"/>
      <c r="F101" s="445"/>
      <c r="G101" s="126"/>
      <c r="H101" s="559" t="str">
        <f>Tulokset!M64</f>
        <v/>
      </c>
      <c r="I101" s="559"/>
      <c r="J101" s="383"/>
      <c r="K101" s="383"/>
      <c r="L101" s="383"/>
      <c r="M101" s="448"/>
      <c r="N101" s="383"/>
      <c r="O101" s="386"/>
    </row>
    <row r="102" spans="2:15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 7.1</v>
      </c>
    </row>
  </sheetData>
  <sheetProtection algorithmName="SHA-512" hashValue="TgbyB3IKJYV/tyjcTwI5146lXSrFQAQ9uG2fWiCfTeIKVmlGvG0Q9NBVlcEpoqIZIdEN5/PcSdpV3oVi/aFeCA==" saltValue="ijWRJZ05KnTEh6+5p3xFhw==" spinCount="100000" sheet="1" objects="1" scenarios="1"/>
  <mergeCells count="48"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60:C61"/>
    <mergeCell ref="W59:AC60"/>
    <mergeCell ref="W57:AC58"/>
    <mergeCell ref="W61:AC62"/>
    <mergeCell ref="M68:N68"/>
    <mergeCell ref="I61:J61"/>
    <mergeCell ref="I62:J62"/>
  </mergeCells>
  <conditionalFormatting sqref="F46:H47">
    <cfRule type="expression" dxfId="111" priority="28">
      <formula>$G$46="-"</formula>
    </cfRule>
  </conditionalFormatting>
  <conditionalFormatting sqref="I73">
    <cfRule type="expression" dxfId="110" priority="29">
      <formula>$I$71&gt;0</formula>
    </cfRule>
    <cfRule type="expression" dxfId="109" priority="30">
      <formula>$I$71&lt;-42</formula>
    </cfRule>
    <cfRule type="expression" dxfId="108" priority="31">
      <formula>$I$71&lt;-34</formula>
    </cfRule>
    <cfRule type="expression" dxfId="107" priority="32">
      <formula>$I$71&lt;-26</formula>
    </cfRule>
    <cfRule type="expression" dxfId="106" priority="33">
      <formula>$I$71&lt;-23</formula>
    </cfRule>
    <cfRule type="expression" dxfId="105" priority="34">
      <formula>$I$71&lt;-20</formula>
    </cfRule>
    <cfRule type="expression" dxfId="104" priority="35">
      <formula>$I$71&lt;-10</formula>
    </cfRule>
    <cfRule type="expression" dxfId="103" priority="36">
      <formula>$I$71&lt;0</formula>
    </cfRule>
  </conditionalFormatting>
  <conditionalFormatting sqref="W10:AC54">
    <cfRule type="expression" dxfId="96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3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1168400</xdr:colOff>
                    <xdr:row>6</xdr:row>
                    <xdr:rowOff>25400</xdr:rowOff>
                  </from>
                  <to>
                    <xdr:col>3</xdr:col>
                    <xdr:colOff>482600</xdr:colOff>
                    <xdr:row>6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1778000</xdr:colOff>
                    <xdr:row>56</xdr:row>
                    <xdr:rowOff>0</xdr:rowOff>
                  </from>
                  <to>
                    <xdr:col>3</xdr:col>
                    <xdr:colOff>38100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10</xdr:col>
                    <xdr:colOff>711200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457200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10</xdr:col>
                    <xdr:colOff>711200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444500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215900</xdr:colOff>
                    <xdr:row>3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43DB-4B70-4F5E-9DBA-1C0ED13C4E42}">
  <dimension ref="B2:BW116"/>
  <sheetViews>
    <sheetView topLeftCell="BB65" zoomScale="85" zoomScaleNormal="85" workbookViewId="0">
      <selection activeCell="BM57" sqref="BM57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3.33203125" bestFit="1" customWidth="1"/>
    <col min="18" max="18" width="9.6640625" bestFit="1" customWidth="1"/>
    <col min="19" max="19" width="9.1640625" bestFit="1" customWidth="1"/>
    <col min="22" max="22" width="13" customWidth="1"/>
    <col min="24" max="24" width="10.6640625" customWidth="1"/>
    <col min="25" max="25" width="10" customWidth="1"/>
    <col min="40" max="40" width="11.5" customWidth="1"/>
    <col min="43" max="43" width="11.33203125" customWidth="1"/>
    <col min="59" max="59" width="11.5" customWidth="1"/>
    <col min="60" max="60" width="9.6640625" bestFit="1" customWidth="1"/>
    <col min="61" max="61" width="10" bestFit="1" customWidth="1"/>
    <col min="62" max="62" width="9.6640625" bestFit="1" customWidth="1"/>
    <col min="65" max="70" width="10" customWidth="1"/>
  </cols>
  <sheetData>
    <row r="2" spans="3:69" x14ac:dyDescent="0.15">
      <c r="C2" s="2" t="s">
        <v>0</v>
      </c>
      <c r="J2" t="s">
        <v>15</v>
      </c>
      <c r="P2" s="23" t="s">
        <v>2044</v>
      </c>
      <c r="Q2" s="22"/>
      <c r="R2" s="22"/>
      <c r="S2" s="22"/>
      <c r="T2" s="22"/>
      <c r="U2" s="22"/>
      <c r="V2" s="22"/>
      <c r="W2" s="22"/>
      <c r="X2" s="22"/>
      <c r="Y2" s="21"/>
      <c r="AZ2" t="s">
        <v>533</v>
      </c>
      <c r="BG2" s="2" t="s">
        <v>2169</v>
      </c>
    </row>
    <row r="3" spans="3:69" ht="17" x14ac:dyDescent="0.25">
      <c r="J3" s="852">
        <f>'C-series'!E33</f>
        <v>500</v>
      </c>
      <c r="K3" t="s">
        <v>13</v>
      </c>
      <c r="L3" s="122">
        <f>'C-series'!E44</f>
        <v>149</v>
      </c>
      <c r="M3" t="s">
        <v>14</v>
      </c>
      <c r="P3" s="601" t="s">
        <v>34</v>
      </c>
      <c r="Q3" s="2"/>
      <c r="Y3" s="24"/>
      <c r="AA3" s="2" t="s">
        <v>53</v>
      </c>
      <c r="AM3" s="2" t="s">
        <v>524</v>
      </c>
      <c r="AQ3" s="2" t="s">
        <v>2143</v>
      </c>
      <c r="AZ3" t="s">
        <v>3</v>
      </c>
      <c r="BA3">
        <v>-1.8299729089178483E-3</v>
      </c>
      <c r="BB3">
        <v>-0.73638484267800319</v>
      </c>
      <c r="BC3">
        <v>1263.0869140408336</v>
      </c>
    </row>
    <row r="4" spans="3:69" x14ac:dyDescent="0.15">
      <c r="C4" t="s">
        <v>1</v>
      </c>
      <c r="E4" s="1"/>
      <c r="H4" s="1"/>
      <c r="P4" s="458" t="s">
        <v>4</v>
      </c>
      <c r="Q4" s="4" t="s">
        <v>5</v>
      </c>
      <c r="T4" s="4"/>
      <c r="U4" s="4"/>
      <c r="W4" t="s">
        <v>27</v>
      </c>
      <c r="Y4" s="24"/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Z4" t="s">
        <v>408</v>
      </c>
      <c r="BA4">
        <v>-1.7835379999785593E-3</v>
      </c>
      <c r="BB4">
        <v>-0.36812150735232407</v>
      </c>
      <c r="BC4">
        <v>818.37289607846901</v>
      </c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860">
        <f t="array" ref="P5:Q5">LINEST(AF34:AF37,LN(AC34:AC37))</f>
        <v>18.26449977344469</v>
      </c>
      <c r="Q5" s="52">
        <v>-60.496294834609785</v>
      </c>
      <c r="R5" t="s">
        <v>28</v>
      </c>
      <c r="T5" s="4"/>
      <c r="U5" s="39" t="s">
        <v>43</v>
      </c>
      <c r="V5" t="s">
        <v>28</v>
      </c>
      <c r="W5" s="9">
        <f>$P$5*LN($J$3)+$Q$5</f>
        <v>53.010413371069873</v>
      </c>
      <c r="X5" t="s">
        <v>31</v>
      </c>
      <c r="Y5" s="24"/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f>IF('C koodit'!E12=1,190,0)</f>
        <v>0</v>
      </c>
      <c r="AO5" t="s">
        <v>2211</v>
      </c>
      <c r="AQ5" s="2" t="s">
        <v>2139</v>
      </c>
      <c r="AZ5" t="s">
        <v>411</v>
      </c>
      <c r="BA5">
        <v>-1.8408995974059186E-3</v>
      </c>
      <c r="BB5">
        <v>-0.27749303744237341</v>
      </c>
      <c r="BC5">
        <v>436.43375328904114</v>
      </c>
      <c r="BG5" t="s">
        <v>2171</v>
      </c>
      <c r="BQ5" t="str">
        <f>BJ7</f>
        <v>ePM 65% F7</v>
      </c>
    </row>
    <row r="6" spans="3:69" ht="17" x14ac:dyDescent="0.25">
      <c r="C6" s="2" t="s">
        <v>3</v>
      </c>
      <c r="D6" s="1"/>
      <c r="E6" s="1"/>
      <c r="H6" s="1"/>
      <c r="P6" s="861">
        <f t="array" ref="P6:Q6">LINEST(AG34:AG37,LN(AC34:AC37))</f>
        <v>20.827270041214792</v>
      </c>
      <c r="Q6" s="862">
        <v>-57.434625240923737</v>
      </c>
      <c r="R6" s="25" t="s">
        <v>7</v>
      </c>
      <c r="S6" s="25"/>
      <c r="T6" s="50"/>
      <c r="U6" s="450" t="s">
        <v>43</v>
      </c>
      <c r="V6" s="25" t="s">
        <v>7</v>
      </c>
      <c r="W6" s="863">
        <f>$P$6*LN($J$3)+$Q$6</f>
        <v>71.998695825235586</v>
      </c>
      <c r="X6" s="25" t="s">
        <v>31</v>
      </c>
      <c r="Y6" s="26"/>
      <c r="AA6" s="55">
        <v>25</v>
      </c>
      <c r="AB6" s="56">
        <f t="shared" ref="AB6:AB12" si="0">(-$D$9-SQRT($D$9^2-(4*$C$9*($E$9-AA6))))/(2*$C$9)</f>
        <v>654.25037329157124</v>
      </c>
      <c r="AC6" s="55">
        <v>20</v>
      </c>
      <c r="AD6" s="57">
        <f t="shared" ref="AD6:AD12" si="1">(-$D$14-SQRT($D$14^2-(4*$C$14*($E$14-AC6))))/(2*$C$14)</f>
        <v>582.83308011693862</v>
      </c>
      <c r="AE6" s="55">
        <v>10</v>
      </c>
      <c r="AF6" s="57">
        <f t="shared" ref="AF6:AF11" si="2">(-$D$19-SQRT($D$19^2-(4*$C$19*($E$19-AE6))))/(2*$C$19)</f>
        <v>418.68869265387121</v>
      </c>
      <c r="AG6" s="56">
        <v>10</v>
      </c>
      <c r="AH6" s="57">
        <f>(-$D$24-SQRT($D$24^2-(4*$C$24*($E$24-AG6))))/(2*$C$24)</f>
        <v>257.85106453446394</v>
      </c>
      <c r="AM6" s="129" t="s">
        <v>226</v>
      </c>
      <c r="AN6" s="1089">
        <f>'Kojeet ja kennon hyötysuhde_C'!F58</f>
        <v>0.80449999999999999</v>
      </c>
      <c r="AO6" t="s">
        <v>2209</v>
      </c>
      <c r="AQ6" t="s">
        <v>2136</v>
      </c>
      <c r="AR6" t="s">
        <v>2140</v>
      </c>
      <c r="AS6" s="2">
        <v>7.1463755446508875E-2</v>
      </c>
      <c r="AT6" s="2">
        <v>1.1102173216131614</v>
      </c>
      <c r="AU6" s="2"/>
      <c r="AZ6" t="s">
        <v>409</v>
      </c>
      <c r="BA6">
        <v>-1.4239005403105199E-3</v>
      </c>
      <c r="BB6">
        <v>-0.39963521762046122</v>
      </c>
      <c r="BC6">
        <v>202.17294797913897</v>
      </c>
      <c r="BQ6" t="str">
        <f>BM7</f>
        <v>ePM10 50% M5</v>
      </c>
    </row>
    <row r="7" spans="3:69" ht="17" x14ac:dyDescent="0.25">
      <c r="C7" t="s">
        <v>11</v>
      </c>
      <c r="D7" s="1"/>
      <c r="E7" s="1"/>
      <c r="H7" s="1"/>
      <c r="P7" s="23" t="s">
        <v>2045</v>
      </c>
      <c r="Q7" s="22"/>
      <c r="R7" s="22"/>
      <c r="S7" s="22"/>
      <c r="T7" s="208"/>
      <c r="U7" s="483"/>
      <c r="V7" s="22"/>
      <c r="W7" s="22"/>
      <c r="X7" s="22"/>
      <c r="Y7" s="21"/>
      <c r="AA7" s="55">
        <v>100</v>
      </c>
      <c r="AB7" s="56">
        <f t="shared" si="0"/>
        <v>629.36379914838335</v>
      </c>
      <c r="AC7" s="55">
        <v>50</v>
      </c>
      <c r="AD7" s="57">
        <f t="shared" si="1"/>
        <v>570.11547619002181</v>
      </c>
      <c r="AE7" s="55">
        <v>50</v>
      </c>
      <c r="AF7" s="57">
        <f t="shared" si="2"/>
        <v>395.52550235940686</v>
      </c>
      <c r="AG7" s="56">
        <v>20</v>
      </c>
      <c r="AH7" s="57">
        <f>(-$D$24-SQRT($D$24^2-(4*$C$24*($E$24-AG7))))/(2*$C$24)</f>
        <v>248.64190471104959</v>
      </c>
      <c r="AM7" s="129" t="s">
        <v>2210</v>
      </c>
      <c r="AN7">
        <v>550</v>
      </c>
      <c r="AQ7" t="s">
        <v>2137</v>
      </c>
      <c r="AR7" t="s">
        <v>2141</v>
      </c>
      <c r="AS7" s="2">
        <v>5.9822004957880807E-4</v>
      </c>
      <c r="AT7" s="2">
        <v>5.9691630886583871E-2</v>
      </c>
      <c r="AU7" s="2">
        <v>28.559726575316688</v>
      </c>
      <c r="AZ7" t="s">
        <v>534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601" t="s">
        <v>41</v>
      </c>
      <c r="T8" s="4" t="s">
        <v>418</v>
      </c>
      <c r="U8" s="5"/>
      <c r="Y8" s="24"/>
      <c r="AA8" s="55">
        <v>200</v>
      </c>
      <c r="AB8" s="56">
        <f t="shared" si="0"/>
        <v>594.97595729709474</v>
      </c>
      <c r="AC8" s="55">
        <v>100</v>
      </c>
      <c r="AD8" s="57">
        <f t="shared" si="1"/>
        <v>548.36777867485296</v>
      </c>
      <c r="AE8" s="55">
        <v>90</v>
      </c>
      <c r="AF8" s="57">
        <f t="shared" si="2"/>
        <v>371.15944670020446</v>
      </c>
      <c r="AG8" s="56">
        <v>40</v>
      </c>
      <c r="AH8" s="57">
        <f>(-$D$24-SQRT($D$24^2-(4*$C$24*($E$24-AG8))))/(2*$C$24)</f>
        <v>229.53785769609709</v>
      </c>
      <c r="AM8" s="129" t="s">
        <v>527</v>
      </c>
      <c r="AN8" s="3">
        <f>AR14</f>
        <v>551.3335628559181</v>
      </c>
      <c r="AO8" t="s">
        <v>14</v>
      </c>
      <c r="AQ8" t="s">
        <v>2138</v>
      </c>
      <c r="AR8" t="s">
        <v>2140</v>
      </c>
      <c r="AS8" s="2">
        <v>4.9396852463048392E-4</v>
      </c>
      <c r="AT8" s="2">
        <v>1.9999999999999998</v>
      </c>
      <c r="AU8" s="2"/>
      <c r="AZ8" t="s">
        <v>3</v>
      </c>
      <c r="BA8" s="286">
        <f>BA3</f>
        <v>-1.8299729089178483E-3</v>
      </c>
      <c r="BB8" s="286">
        <f t="shared" ref="BB8:BC8" si="3">BB3</f>
        <v>-0.73638484267800319</v>
      </c>
      <c r="BC8" s="286">
        <f t="shared" si="3"/>
        <v>1263.0869140408336</v>
      </c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1353">
        <f>BH109</f>
        <v>-1.7827017451941536E-3</v>
      </c>
      <c r="D9" s="1353">
        <f t="shared" ref="D9:E9" si="4">BI109</f>
        <v>-0.72537191294995595</v>
      </c>
      <c r="E9" s="1353">
        <f t="shared" si="4"/>
        <v>1262.6488301242487</v>
      </c>
      <c r="H9" s="2"/>
      <c r="P9" s="12" t="s">
        <v>2042</v>
      </c>
      <c r="Q9" s="52">
        <f t="array" ref="Q9:R9">LINEST(AC35:AC37,U35:U37)</f>
        <v>71.114212967681482</v>
      </c>
      <c r="R9" s="52">
        <v>-49.452093742793068</v>
      </c>
      <c r="T9" s="111">
        <f>(J3-R9)/Q9</f>
        <v>7.7263330467075084</v>
      </c>
      <c r="U9" s="39" t="s">
        <v>42</v>
      </c>
      <c r="V9" t="s">
        <v>44</v>
      </c>
      <c r="W9" s="125">
        <f>IF($J$3&gt;$AJ$35,AVERAGE(T10,T10,T10,T10,T11),T9)</f>
        <v>7.7263330467075084</v>
      </c>
      <c r="X9" t="s">
        <v>25</v>
      </c>
      <c r="Y9" s="24" t="str">
        <f>IF(W9&gt;10,"Ei käyttöalueella","OK")</f>
        <v>OK</v>
      </c>
      <c r="AA9" s="55">
        <v>300</v>
      </c>
      <c r="AB9" s="56">
        <f t="shared" si="0"/>
        <v>559.03881062391019</v>
      </c>
      <c r="AC9" s="55">
        <v>150</v>
      </c>
      <c r="AD9" s="57">
        <f t="shared" si="1"/>
        <v>525.8682520064591</v>
      </c>
      <c r="AE9" s="55">
        <v>130</v>
      </c>
      <c r="AF9" s="57">
        <f t="shared" si="2"/>
        <v>345.38106086358533</v>
      </c>
      <c r="AG9" s="56">
        <v>60</v>
      </c>
      <c r="AH9" s="57">
        <f>(-$D$24-SQRT($D$24^2-(4*$C$24*($E$24-AG9))))/(2*$C$24)</f>
        <v>209.39421485538645</v>
      </c>
      <c r="AM9" s="129" t="s">
        <v>528</v>
      </c>
      <c r="AN9" s="3">
        <f>'Laskenta poistopuoli C5'!AR14</f>
        <v>497.55451577119203</v>
      </c>
      <c r="AO9" t="s">
        <v>14</v>
      </c>
      <c r="AZ9" t="s">
        <v>408</v>
      </c>
      <c r="BA9" s="286">
        <f t="shared" ref="BA9:BC9" si="5">BA4</f>
        <v>-1.7835379999785593E-3</v>
      </c>
      <c r="BB9" s="286">
        <f t="shared" si="5"/>
        <v>-0.36812150735232407</v>
      </c>
      <c r="BC9" s="286">
        <f t="shared" si="5"/>
        <v>818.37289607846901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s="12" t="s">
        <v>2043</v>
      </c>
      <c r="Q10" s="52">
        <f t="array" ref="Q10:R10">LINEST(AJ34:AJ35,AI34:AI35)</f>
        <v>24.574999578033765</v>
      </c>
      <c r="R10" s="52">
        <v>346.13122006921242</v>
      </c>
      <c r="T10" s="111">
        <f>(J3-R10)/Q10</f>
        <v>6.2611915594221372</v>
      </c>
      <c r="W10" t="b">
        <f>H88</f>
        <v>1</v>
      </c>
      <c r="Y10" s="24"/>
      <c r="AA10" s="55">
        <v>400</v>
      </c>
      <c r="AB10" s="56">
        <f t="shared" si="0"/>
        <v>521.32193237327101</v>
      </c>
      <c r="AC10" s="55">
        <v>230</v>
      </c>
      <c r="AD10" s="57">
        <f t="shared" si="1"/>
        <v>488.08981935508075</v>
      </c>
      <c r="AE10" s="55">
        <v>170</v>
      </c>
      <c r="AF10" s="57">
        <f t="shared" si="2"/>
        <v>317.91195418861821</v>
      </c>
      <c r="AG10" s="56">
        <v>160</v>
      </c>
      <c r="AH10" s="57">
        <f>(-$D$24-SQRT($D$24^2-(4*$C$24*($E$24-AG10))))/(2*$C$24)</f>
        <v>82.992893577309133</v>
      </c>
      <c r="AQ10" t="s">
        <v>2136</v>
      </c>
      <c r="AR10" s="110">
        <f>AS6*$J$3^AT6</f>
        <v>70.880877284986767</v>
      </c>
      <c r="AS10" t="s">
        <v>14</v>
      </c>
      <c r="AZ10" t="s">
        <v>411</v>
      </c>
      <c r="BA10" s="286">
        <f t="shared" ref="BA10:BC10" si="6">BA5</f>
        <v>-1.8408995974059186E-3</v>
      </c>
      <c r="BB10" s="286">
        <f t="shared" si="6"/>
        <v>-0.27749303744237341</v>
      </c>
      <c r="BC10" s="286">
        <f t="shared" si="6"/>
        <v>436.43375328904114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x14ac:dyDescent="0.15">
      <c r="C11" s="2" t="s">
        <v>408</v>
      </c>
      <c r="D11" s="1"/>
      <c r="E11" s="1"/>
      <c r="H11" s="1"/>
      <c r="P11" s="14" t="s">
        <v>417</v>
      </c>
      <c r="Q11" s="864">
        <f t="array" ref="Q11:S11">LINEST(AI34:AI38,AJ34:AJ38^{1,2})</f>
        <v>1.7041911426152932E-5</v>
      </c>
      <c r="R11" s="864">
        <v>1.4903911421381855E-3</v>
      </c>
      <c r="S11" s="864">
        <v>2.7838160596430246</v>
      </c>
      <c r="T11" s="865">
        <f>Q11*J3^2+R11*J3+S11</f>
        <v>7.78948948725035</v>
      </c>
      <c r="U11" s="25"/>
      <c r="V11" s="25" t="s">
        <v>348</v>
      </c>
      <c r="W11" s="866">
        <v>100</v>
      </c>
      <c r="X11" s="25" t="s">
        <v>13</v>
      </c>
      <c r="Y11" s="26"/>
      <c r="AA11" s="55">
        <v>500</v>
      </c>
      <c r="AB11" s="56">
        <f t="shared" si="0"/>
        <v>481.53139436024861</v>
      </c>
      <c r="AC11" s="55">
        <v>320</v>
      </c>
      <c r="AD11" s="57">
        <f t="shared" si="1"/>
        <v>442.46956587231512</v>
      </c>
      <c r="AE11" s="55">
        <v>320</v>
      </c>
      <c r="AF11" s="57">
        <f t="shared" si="2"/>
        <v>190.64733408241827</v>
      </c>
      <c r="AG11" s="56"/>
      <c r="AH11" s="57"/>
      <c r="AM11" s="129" t="s">
        <v>525</v>
      </c>
      <c r="AN11" s="227">
        <f>(J3/1000*AN8)/W14</f>
        <v>0.61185984102178326</v>
      </c>
      <c r="AQ11" t="s">
        <v>2137</v>
      </c>
      <c r="AR11" s="110">
        <f>AS7*$J$3^2+AT7*$J$3+AU7</f>
        <v>207.96055441331066</v>
      </c>
      <c r="AS11" t="s">
        <v>14</v>
      </c>
      <c r="AZ11" t="s">
        <v>409</v>
      </c>
      <c r="BA11" s="286">
        <f t="shared" ref="BA11:BC11" si="7">BA6</f>
        <v>-1.4239005403105199E-3</v>
      </c>
      <c r="BB11" s="286">
        <f t="shared" si="7"/>
        <v>-0.39963521762046122</v>
      </c>
      <c r="BC11" s="286">
        <f t="shared" si="7"/>
        <v>202.17294797913897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520</v>
      </c>
      <c r="AB12" s="59">
        <f t="shared" si="0"/>
        <v>473.2925954290904</v>
      </c>
      <c r="AC12" s="58">
        <v>510</v>
      </c>
      <c r="AD12" s="60">
        <f t="shared" si="1"/>
        <v>330.67113176285858</v>
      </c>
      <c r="AE12" s="58"/>
      <c r="AF12" s="60"/>
      <c r="AG12" s="59"/>
      <c r="AH12" s="60"/>
      <c r="AM12" s="129" t="s">
        <v>526</v>
      </c>
      <c r="AN12" s="227">
        <f>('Laskenta poistopuoli C5'!J3/1000*AN9)/'Laskenta poistopuoli C5'!W14</f>
        <v>0.61924197998261143</v>
      </c>
      <c r="AQ12" t="s">
        <v>2138</v>
      </c>
      <c r="AR12" s="110">
        <f>AS8*$J$3^AT8</f>
        <v>123.49213115762068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44</v>
      </c>
      <c r="W13" s="295">
        <f>P20</f>
        <v>450.53909890148327</v>
      </c>
      <c r="X13" t="s">
        <v>49</v>
      </c>
      <c r="Y13" s="129" t="s">
        <v>414</v>
      </c>
      <c r="AZ13" t="s">
        <v>535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1353">
        <f>BH110</f>
        <v>-1.7362668362548646E-3</v>
      </c>
      <c r="D14" s="1353">
        <f t="shared" ref="D14:E14" si="8">BI110</f>
        <v>-0.35710857762427684</v>
      </c>
      <c r="E14" s="1353">
        <f t="shared" si="8"/>
        <v>817.93481216188411</v>
      </c>
      <c r="H14" s="2"/>
      <c r="O14" t="s">
        <v>412</v>
      </c>
      <c r="P14" s="51">
        <f t="array" ref="P14:R14">LINEST(AE34:AE37,AC34:AC37^{1,2})</f>
        <v>3.7162601682385011E-3</v>
      </c>
      <c r="Q14" s="51">
        <v>-1.2939838113326347</v>
      </c>
      <c r="R14" s="51">
        <v>176.20644976406709</v>
      </c>
      <c r="V14" t="s">
        <v>52</v>
      </c>
      <c r="W14" s="296">
        <f>IF(W13&gt;Y14,Y14,W13)</f>
        <v>450.53909890148327</v>
      </c>
      <c r="X14" t="s">
        <v>49</v>
      </c>
      <c r="Y14" s="129">
        <v>725</v>
      </c>
      <c r="Z14" t="s">
        <v>49</v>
      </c>
      <c r="AM14" s="297" t="s">
        <v>520</v>
      </c>
      <c r="AN14" s="84">
        <f>1100+((AN6-0.73)*3000)-300*($AN$7/1000)/2-AN5</f>
        <v>1241</v>
      </c>
      <c r="AQ14" t="s">
        <v>2142</v>
      </c>
      <c r="AR14" s="3">
        <f>L3+AR10+AR11+AR12</f>
        <v>551.3335628559181</v>
      </c>
      <c r="AS14" t="s">
        <v>14</v>
      </c>
      <c r="AZ14" s="451" t="b">
        <f>TuloksetC!D40</f>
        <v>1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3.9907557534608256E-6</v>
      </c>
      <c r="Q15" s="7">
        <v>-1.2143271385596564E-3</v>
      </c>
      <c r="R15" s="7">
        <v>0.62411766275166902</v>
      </c>
      <c r="S15" s="7">
        <v>-55.722904272932055</v>
      </c>
      <c r="BJ15" s="5">
        <v>483.29235357810359</v>
      </c>
      <c r="BK15" s="5">
        <v>69.11699999999999</v>
      </c>
      <c r="BM15" s="5"/>
      <c r="BN15" s="5"/>
    </row>
    <row r="16" spans="3:69" ht="14" thickBot="1" x14ac:dyDescent="0.2">
      <c r="C16" s="2" t="s">
        <v>411</v>
      </c>
      <c r="D16" s="1"/>
      <c r="E16" s="1"/>
      <c r="H16" s="1"/>
      <c r="V16" t="s">
        <v>58</v>
      </c>
      <c r="W16">
        <f>'Laskenta poistopuoli C5'!W13</f>
        <v>401.74482016316426</v>
      </c>
      <c r="AM16" s="129" t="s">
        <v>521</v>
      </c>
      <c r="AN16" s="3">
        <f>(AN8-L3)/AN11</f>
        <v>657.55837510766514</v>
      </c>
      <c r="AZ16" t="s">
        <v>21</v>
      </c>
      <c r="BJ16" s="5">
        <v>528.55687778939728</v>
      </c>
      <c r="BK16" s="5">
        <v>77.183000000000007</v>
      </c>
      <c r="BM16" s="4"/>
      <c r="BN16" s="4"/>
    </row>
    <row r="17" spans="3:67" ht="14" thickBot="1" x14ac:dyDescent="0.2">
      <c r="C17" t="s">
        <v>11</v>
      </c>
      <c r="D17" s="1"/>
      <c r="E17" s="1"/>
      <c r="H17" s="1"/>
      <c r="O17" t="s">
        <v>412</v>
      </c>
      <c r="P17" s="3">
        <f>$P$14*J3^2+$Q$14*J3+$R$14</f>
        <v>458.27958615737498</v>
      </c>
      <c r="Q17" t="s">
        <v>49</v>
      </c>
      <c r="V17" t="s">
        <v>73</v>
      </c>
      <c r="W17" s="294">
        <v>4.4000000000000004</v>
      </c>
      <c r="X17" t="s">
        <v>2111</v>
      </c>
      <c r="AM17" s="129" t="s">
        <v>522</v>
      </c>
      <c r="AN17" s="3">
        <f>(AN9-'Laskenta poistopuoli C5'!L3)/AN12</f>
        <v>562.87287851669805</v>
      </c>
      <c r="AZ17" s="2" t="s">
        <v>3</v>
      </c>
      <c r="BA17" s="2">
        <f t="shared" ref="BA17:BC20" si="9">IF($AZ$14,BA8,BA3)</f>
        <v>-1.8299729089178483E-3</v>
      </c>
      <c r="BB17" s="2">
        <f t="shared" si="9"/>
        <v>-0.73638484267800319</v>
      </c>
      <c r="BC17" s="2">
        <f t="shared" si="9"/>
        <v>1263.0869140408336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451.59861164559152</v>
      </c>
      <c r="Q18" t="s">
        <v>49</v>
      </c>
      <c r="AM18" s="297" t="s">
        <v>529</v>
      </c>
      <c r="AN18" s="84">
        <f>AN16+AN17</f>
        <v>1220.4312536243633</v>
      </c>
      <c r="AZ18" s="2" t="s">
        <v>408</v>
      </c>
      <c r="BA18" s="2">
        <f t="shared" si="9"/>
        <v>-1.7835379999785593E-3</v>
      </c>
      <c r="BB18" s="2">
        <f t="shared" si="9"/>
        <v>-0.36812150735232407</v>
      </c>
      <c r="BC18" s="2">
        <f t="shared" si="9"/>
        <v>818.37289607846901</v>
      </c>
      <c r="BG18" t="s">
        <v>2177</v>
      </c>
    </row>
    <row r="19" spans="3:67" x14ac:dyDescent="0.15">
      <c r="C19" s="1353">
        <f>BH111</f>
        <v>-1.7936284336822238E-3</v>
      </c>
      <c r="D19" s="1353">
        <f t="shared" ref="D19:E19" si="10">BI111</f>
        <v>-0.26648010771432618</v>
      </c>
      <c r="E19" s="1353">
        <f t="shared" si="10"/>
        <v>435.99566937245618</v>
      </c>
      <c r="O19" t="s">
        <v>419</v>
      </c>
      <c r="P19" s="3">
        <f>AVERAGE(P17:P18)</f>
        <v>454.93909890148325</v>
      </c>
      <c r="Q19" t="s">
        <v>49</v>
      </c>
      <c r="V19" s="74" t="s">
        <v>74</v>
      </c>
      <c r="W19" s="77">
        <f>W13+W16+W17</f>
        <v>856.68391906464751</v>
      </c>
      <c r="X19" s="75" t="s">
        <v>49</v>
      </c>
      <c r="AB19" s="6"/>
      <c r="AC19" s="6"/>
      <c r="AQ19" t="s">
        <v>2144</v>
      </c>
      <c r="AZ19" s="2" t="s">
        <v>411</v>
      </c>
      <c r="BA19" s="2">
        <f t="shared" si="9"/>
        <v>-1.8408995974059186E-3</v>
      </c>
      <c r="BB19" s="2">
        <f t="shared" si="9"/>
        <v>-0.27749303744237341</v>
      </c>
      <c r="BC19" s="2">
        <f t="shared" si="9"/>
        <v>436.43375328904114</v>
      </c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84">
        <f>P19-W17</f>
        <v>450.53909890148327</v>
      </c>
      <c r="Q20" t="s">
        <v>2109</v>
      </c>
      <c r="AB20" s="6"/>
      <c r="AC20" s="6"/>
      <c r="AQ20" t="s">
        <v>2145</v>
      </c>
      <c r="AT20" s="2"/>
      <c r="AU20" s="2"/>
      <c r="AZ20" s="2" t="s">
        <v>409</v>
      </c>
      <c r="BA20" s="2">
        <f t="shared" si="9"/>
        <v>-1.4239005403105199E-3</v>
      </c>
      <c r="BB20" s="2">
        <f t="shared" si="9"/>
        <v>-0.39963521762046122</v>
      </c>
      <c r="BC20" s="2">
        <f t="shared" si="9"/>
        <v>202.17294797913897</v>
      </c>
      <c r="BG20" s="1071">
        <f>EXP(BI20)</f>
        <v>5.077577934597171E-2</v>
      </c>
      <c r="BH20" s="1072">
        <f t="array" ref="BH20:BI20">LINEST(LN(BH9:BH13),LN(BG9:BG13))</f>
        <v>1.2376148039531605</v>
      </c>
      <c r="BI20">
        <v>-2.9803358226237009</v>
      </c>
      <c r="BJ20" s="1071">
        <f>EXP(BL20)</f>
        <v>8.5932881129601388E-2</v>
      </c>
      <c r="BK20" s="1072">
        <f t="array" ref="BK20:BL20">LINEST(LN(BK9:BK17),LN(BJ9:BJ17))</f>
        <v>1.0825496613839145</v>
      </c>
      <c r="BL20">
        <v>-2.4541887394212081</v>
      </c>
      <c r="BM20" s="1071">
        <f>EXP(BO20)</f>
        <v>9.2006285223235479E-3</v>
      </c>
      <c r="BN20" s="1072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V21" t="s">
        <v>78</v>
      </c>
      <c r="W21" s="110">
        <f>MAX(J3,'Laskenta poistopuoli C5'!J3)</f>
        <v>500</v>
      </c>
      <c r="X21" t="s">
        <v>13</v>
      </c>
      <c r="AB21" s="6"/>
      <c r="AC21" s="6"/>
      <c r="AQ21" t="s">
        <v>2146</v>
      </c>
      <c r="AT21" s="2">
        <v>7.1463755446508875E-2</v>
      </c>
      <c r="AU21" s="2">
        <v>1.1102173216131614</v>
      </c>
    </row>
    <row r="22" spans="3:67" ht="15" x14ac:dyDescent="0.15">
      <c r="C22" t="s">
        <v>11</v>
      </c>
      <c r="D22" s="1"/>
      <c r="E22" s="1"/>
      <c r="H22" s="1"/>
      <c r="O22" t="s">
        <v>461</v>
      </c>
      <c r="V22" t="s">
        <v>75</v>
      </c>
      <c r="W22">
        <f>W19/W21</f>
        <v>1.7133678381292949</v>
      </c>
      <c r="X22" t="s">
        <v>77</v>
      </c>
      <c r="AB22" s="6"/>
      <c r="AC22" s="6"/>
      <c r="AQ22" t="s">
        <v>2147</v>
      </c>
      <c r="AT22" s="2"/>
      <c r="AU22" s="2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O23">
        <v>165</v>
      </c>
      <c r="P23" t="s">
        <v>13</v>
      </c>
      <c r="BG23" s="110">
        <f>J3</f>
        <v>500</v>
      </c>
      <c r="BH23" t="s">
        <v>13</v>
      </c>
    </row>
    <row r="24" spans="3:67" x14ac:dyDescent="0.15">
      <c r="C24" s="1353">
        <f>BH112</f>
        <v>-1.3766293765868252E-3</v>
      </c>
      <c r="D24" s="1353">
        <f t="shared" ref="D24:E24" si="11">BI112</f>
        <v>-0.38862228789241399</v>
      </c>
      <c r="E24" s="1353">
        <f t="shared" si="11"/>
        <v>201.73486406255401</v>
      </c>
      <c r="H24" s="1"/>
      <c r="O24">
        <v>198</v>
      </c>
      <c r="P24" t="s">
        <v>14</v>
      </c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5.9599999999999996E-4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koodit'!$E$12)</f>
        <v>ePM 65% F7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2047</v>
      </c>
      <c r="AW33" s="52">
        <f>Q9</f>
        <v>71.114212967681482</v>
      </c>
      <c r="AX33" s="52">
        <f>R9</f>
        <v>-49.452093742793068</v>
      </c>
      <c r="AZ33" s="111">
        <f>(AO36-AX33)/AW33</f>
        <v>8.0778802122700597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-1.7827017451941536E-3</v>
      </c>
      <c r="W34" s="99">
        <f>D9</f>
        <v>-0.72537191294995595</v>
      </c>
      <c r="X34" s="100">
        <f>E9</f>
        <v>1262.6488301242487</v>
      </c>
      <c r="Y34" s="36">
        <f>C9-U29</f>
        <v>-2.3787017451941533E-3</v>
      </c>
      <c r="Z34" s="28">
        <f>(-W34+SQRT(W34^2-(4*Y34*X34)))/(2*Y34)</f>
        <v>-896.82567322655098</v>
      </c>
      <c r="AA34" s="29">
        <f>(-W34-SQRT(W34^2-(4*Y34*X34)))/(2*Y34)</f>
        <v>591.88121584955013</v>
      </c>
      <c r="AB34" s="36">
        <f>AB6</f>
        <v>654.25037329157124</v>
      </c>
      <c r="AC34" s="53">
        <f>IF(Z34&lt;0,AA34,IF(Z34&gt;AB34,AA34,Z34))</f>
        <v>591.88121584955013</v>
      </c>
      <c r="AD34" s="53">
        <f>V34*AC34^2+W34*AC34+X34</f>
        <v>208.79273071062266</v>
      </c>
      <c r="AE34" s="53">
        <f>X51*AC34^2+Y51*AC34+Z51</f>
        <v>715.75594137394239</v>
      </c>
      <c r="AF34" s="53">
        <f>AVERAGE(K60,K60,K62)</f>
        <v>55.359713397034199</v>
      </c>
      <c r="AG34" s="53">
        <f>AVERAGE(U60:U62,U62)</f>
        <v>75.215327713145669</v>
      </c>
      <c r="AI34">
        <v>10</v>
      </c>
      <c r="AJ34" s="3">
        <f>AC34</f>
        <v>591.88121584955013</v>
      </c>
      <c r="AL34">
        <f>AN52*AC34^2+AO52*AC34+AP52</f>
        <v>0</v>
      </c>
      <c r="AM34" t="s">
        <v>14</v>
      </c>
      <c r="AO34" s="618">
        <f>AC34/$J$3-1</f>
        <v>0.18376243169910023</v>
      </c>
      <c r="AR34" s="278" t="b">
        <f>IF(AO36&gt;AC34,FALSE,TRUE)</f>
        <v>1</v>
      </c>
      <c r="AS34" t="s">
        <v>1117</v>
      </c>
      <c r="AV34" t="s">
        <v>2043</v>
      </c>
      <c r="AW34" s="52">
        <f t="shared" ref="AW34:AY35" si="12">Q10</f>
        <v>24.574999578033765</v>
      </c>
      <c r="AX34" s="52">
        <f t="shared" si="12"/>
        <v>346.13122006921242</v>
      </c>
      <c r="AZ34" s="111">
        <f>(AO36-AX34)/AW34</f>
        <v>7.2784855748550452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2181</v>
      </c>
    </row>
    <row r="35" spans="21:67" x14ac:dyDescent="0.15">
      <c r="U35" s="35">
        <v>8</v>
      </c>
      <c r="V35" s="98">
        <f>C14</f>
        <v>-1.7362668362548646E-3</v>
      </c>
      <c r="W35" s="99">
        <f>D14</f>
        <v>-0.35710857762427684</v>
      </c>
      <c r="X35" s="100">
        <f>E14</f>
        <v>817.93481216188411</v>
      </c>
      <c r="Y35" s="36">
        <f>C14-U29</f>
        <v>-2.3322668362548643E-3</v>
      </c>
      <c r="Z35" s="28">
        <f t="shared" ref="Z35:Z37" si="13">(-W35+SQRT(W35^2-(4*Y35*X35)))/(2*Y35)</f>
        <v>-673.68885976146373</v>
      </c>
      <c r="AA35" s="29">
        <f t="shared" ref="AA35:AA37" si="14">(-W35-SQRT(W35^2-(4*Y35*X35)))/(2*Y35)</f>
        <v>520.57234149989176</v>
      </c>
      <c r="AB35" s="36">
        <f>AD6</f>
        <v>582.83308011693862</v>
      </c>
      <c r="AC35" s="53">
        <f t="shared" ref="AC35:AC37" si="15">IF(Z35&lt;0,AA35,IF(Z35&gt;AB35,AA35,Z35))</f>
        <v>520.57234149989176</v>
      </c>
      <c r="AD35" s="53">
        <f>V35*AC35^2+W35*AC35+X35</f>
        <v>161.51335538986905</v>
      </c>
      <c r="AE35" s="53">
        <f t="shared" ref="AE35:AE37" si="16">X52*AC35^2+Y52*AC35+Z52</f>
        <v>503.08528936114942</v>
      </c>
      <c r="AF35" s="53">
        <f>AVERAGE(K65,K65,K67)</f>
        <v>54.810768429920557</v>
      </c>
      <c r="AG35" s="53">
        <f>AVERAGE(U65:U67,U67)</f>
        <v>72.528737381113203</v>
      </c>
      <c r="AI35">
        <v>8.5</v>
      </c>
      <c r="AJ35" s="3">
        <f>Q9*AI35+R9</f>
        <v>555.01871648249949</v>
      </c>
      <c r="AL35">
        <f t="shared" ref="AL35:AL37" si="17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12"/>
        <v>1.7041911426152932E-5</v>
      </c>
      <c r="AX35" s="52">
        <f t="shared" si="12"/>
        <v>1.4903911421381855E-3</v>
      </c>
      <c r="AY35" s="52">
        <f t="shared" si="12"/>
        <v>2.7838160596430246</v>
      </c>
      <c r="AZ35" s="111">
        <f>AW35*AO36^2+AX35*AO36+AY35</f>
        <v>8.2634482460989744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BH35-BI35</f>
        <v>0.49729170014446034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-1.7936284336822238E-3</v>
      </c>
      <c r="W36" s="99">
        <f>D19</f>
        <v>-0.26648010771432618</v>
      </c>
      <c r="X36" s="100">
        <f>E19</f>
        <v>435.99566937245618</v>
      </c>
      <c r="Y36" s="36">
        <f>C19-U29</f>
        <v>-2.3896284336822238E-3</v>
      </c>
      <c r="Z36" s="28">
        <f t="shared" si="13"/>
        <v>-486.52701103572434</v>
      </c>
      <c r="AA36" s="29">
        <f t="shared" si="14"/>
        <v>375.01172106082976</v>
      </c>
      <c r="AB36" s="36">
        <f>AF6</f>
        <v>418.68869265387121</v>
      </c>
      <c r="AC36" s="53">
        <f t="shared" si="15"/>
        <v>375.01172106082976</v>
      </c>
      <c r="AD36" s="53">
        <f>V36*AC36^2+W36*AC36+X36</f>
        <v>83.817739396071261</v>
      </c>
      <c r="AE36" s="53">
        <f t="shared" si="16"/>
        <v>218.02285028376485</v>
      </c>
      <c r="AF36" s="53">
        <f>AVERAGE(K70,K70,K72)</f>
        <v>47.392285596895412</v>
      </c>
      <c r="AG36" s="53">
        <f>AVERAGE(U70:U72,U72)</f>
        <v>67.126751310889659</v>
      </c>
      <c r="AI36">
        <v>8</v>
      </c>
      <c r="AJ36" s="3">
        <f>AC35</f>
        <v>520.57234149989176</v>
      </c>
      <c r="AL36">
        <f t="shared" si="17"/>
        <v>0</v>
      </c>
      <c r="AM36" t="s">
        <v>14</v>
      </c>
      <c r="AO36" s="611">
        <f>TuloksetC!$CR$16</f>
        <v>525</v>
      </c>
      <c r="AP36" t="s">
        <v>13</v>
      </c>
      <c r="AR36" s="629">
        <f>IF($AO$36&gt;$AJ$35,AVERAGE(AZ34,AZ34,AZ34,AZ34,AZ35),AVERAGE(AZ33))</f>
        <v>8.0778802122700597</v>
      </c>
      <c r="AS36" t="s">
        <v>25</v>
      </c>
      <c r="BG36" s="4">
        <v>100</v>
      </c>
      <c r="BH36" s="5">
        <f t="shared" ref="BH36:BH42" si="18">$BG$20*BG36^$BH$20</f>
        <v>15.166529211639332</v>
      </c>
      <c r="BI36" s="5">
        <f t="shared" ref="BI36:BI42" si="19">$BJ$20*BG36^$BK$20</f>
        <v>12.567783644775107</v>
      </c>
      <c r="BJ36" s="5">
        <f t="shared" ref="BJ36:BJ42" si="20">$BM$20*BG36^$BN$20</f>
        <v>3.3377974383929478</v>
      </c>
      <c r="BL36" s="5">
        <f t="shared" ref="BL36:BL42" si="21">BH36-BI36</f>
        <v>2.5987455668642259</v>
      </c>
      <c r="BM36" s="5">
        <f t="shared" ref="BM36:BM42" si="22">BJ36-BI36</f>
        <v>-9.2299862063821578</v>
      </c>
    </row>
    <row r="37" spans="21:67" x14ac:dyDescent="0.15">
      <c r="U37" s="38">
        <v>4</v>
      </c>
      <c r="V37" s="101">
        <f>C24</f>
        <v>-1.3766293765868252E-3</v>
      </c>
      <c r="W37" s="102">
        <f>D24</f>
        <v>-0.38862228789241399</v>
      </c>
      <c r="X37" s="103">
        <f>E24</f>
        <v>201.73486406255401</v>
      </c>
      <c r="Y37" s="37">
        <f>C24-U29</f>
        <v>-1.9726293765868251E-3</v>
      </c>
      <c r="Z37" s="30">
        <f t="shared" si="13"/>
        <v>-433.12273919412678</v>
      </c>
      <c r="AA37" s="31">
        <f t="shared" si="14"/>
        <v>236.11548962916584</v>
      </c>
      <c r="AB37" s="37">
        <f>AH6</f>
        <v>257.85106453446394</v>
      </c>
      <c r="AC37" s="53">
        <f t="shared" si="15"/>
        <v>236.11548962916584</v>
      </c>
      <c r="AD37" s="53">
        <f>V37*AC37^2+W37*AC37+X37</f>
        <v>33.227312567921189</v>
      </c>
      <c r="AE37" s="53">
        <f t="shared" si="16"/>
        <v>76.474130721699012</v>
      </c>
      <c r="AF37" s="53">
        <f>AVERAGE(K75,K75,K77)</f>
        <v>39.339090880450151</v>
      </c>
      <c r="AG37" s="53">
        <f>AVERAGE(U75:U77,U77)</f>
        <v>55.859842145957458</v>
      </c>
      <c r="AI37">
        <v>6</v>
      </c>
      <c r="AJ37" s="3">
        <f t="shared" ref="AJ37:AJ38" si="23">AC36</f>
        <v>375.01172106082976</v>
      </c>
      <c r="AL37">
        <f t="shared" si="17"/>
        <v>0</v>
      </c>
      <c r="AM37" t="s">
        <v>14</v>
      </c>
      <c r="AO37" s="611">
        <f>TuloksetC!$CR$17</f>
        <v>164.27249999999998</v>
      </c>
      <c r="AP37" t="s">
        <v>14</v>
      </c>
      <c r="BG37" s="4">
        <v>150</v>
      </c>
      <c r="BH37" s="5">
        <f t="shared" si="18"/>
        <v>25.050670523054098</v>
      </c>
      <c r="BI37" s="5">
        <f t="shared" si="19"/>
        <v>19.493338689080041</v>
      </c>
      <c r="BJ37" s="5">
        <f t="shared" si="20"/>
        <v>5.6082234704753633</v>
      </c>
      <c r="BL37" s="5">
        <f t="shared" si="21"/>
        <v>5.5573318339740574</v>
      </c>
      <c r="BM37" s="5">
        <f t="shared" si="22"/>
        <v>-13.885115218604678</v>
      </c>
    </row>
    <row r="38" spans="21:67" x14ac:dyDescent="0.15">
      <c r="AI38">
        <v>4</v>
      </c>
      <c r="AJ38" s="3">
        <f t="shared" si="23"/>
        <v>236.11548962916584</v>
      </c>
      <c r="BG38" s="4">
        <v>200</v>
      </c>
      <c r="BH38" s="5">
        <f t="shared" si="18"/>
        <v>35.763942254962934</v>
      </c>
      <c r="BI38" s="5">
        <f t="shared" si="19"/>
        <v>26.615744299285648</v>
      </c>
      <c r="BJ38" s="5">
        <f t="shared" si="20"/>
        <v>8.1044688891354717</v>
      </c>
      <c r="BL38" s="5">
        <f t="shared" si="21"/>
        <v>9.1481979556772863</v>
      </c>
      <c r="BM38" s="5">
        <f t="shared" si="22"/>
        <v>-18.511275410150176</v>
      </c>
    </row>
    <row r="39" spans="21:67" x14ac:dyDescent="0.15">
      <c r="BG39" s="4">
        <v>300</v>
      </c>
      <c r="BH39" s="5">
        <f t="shared" si="18"/>
        <v>59.071572772698502</v>
      </c>
      <c r="BI39" s="5">
        <f t="shared" si="19"/>
        <v>41.282515099917731</v>
      </c>
      <c r="BJ39" s="5">
        <f t="shared" si="20"/>
        <v>13.617265121298265</v>
      </c>
      <c r="BL39" s="5">
        <f t="shared" si="21"/>
        <v>17.789057672780771</v>
      </c>
      <c r="BM39" s="5">
        <f t="shared" si="22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8"/>
        <v>84.334362052639577</v>
      </c>
      <c r="BI40" s="5">
        <f t="shared" si="19"/>
        <v>56.366171206286182</v>
      </c>
      <c r="BJ40" s="5">
        <f t="shared" si="20"/>
        <v>19.678370897962274</v>
      </c>
      <c r="BL40" s="5">
        <f t="shared" si="21"/>
        <v>27.968190846353394</v>
      </c>
      <c r="BM40" s="5">
        <f t="shared" si="22"/>
        <v>-36.687800308323908</v>
      </c>
    </row>
    <row r="41" spans="21:67" x14ac:dyDescent="0.15">
      <c r="BG41" s="4">
        <v>500</v>
      </c>
      <c r="BH41" s="5">
        <f t="shared" si="18"/>
        <v>111.15828324448869</v>
      </c>
      <c r="BI41" s="5">
        <f t="shared" si="19"/>
        <v>71.76760232761535</v>
      </c>
      <c r="BJ41" s="5">
        <f t="shared" si="20"/>
        <v>26.182832953926539</v>
      </c>
      <c r="BL41" s="5">
        <f t="shared" si="21"/>
        <v>39.390680916873336</v>
      </c>
      <c r="BM41" s="5">
        <f t="shared" si="22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8"/>
        <v>139.29570095255036</v>
      </c>
      <c r="BI42" s="5">
        <f t="shared" si="19"/>
        <v>87.427099080242925</v>
      </c>
      <c r="BJ42" s="5">
        <f t="shared" si="20"/>
        <v>33.063930201770098</v>
      </c>
      <c r="BL42" s="5">
        <f t="shared" si="21"/>
        <v>51.868601872307437</v>
      </c>
      <c r="BM42" s="5">
        <f t="shared" si="22"/>
        <v>-54.363168878472827</v>
      </c>
    </row>
    <row r="43" spans="21:67" x14ac:dyDescent="0.15">
      <c r="U43" s="10" t="s">
        <v>26</v>
      </c>
      <c r="V43" s="21"/>
      <c r="W43" s="995">
        <f>D105</f>
        <v>10</v>
      </c>
      <c r="X43" s="995">
        <f t="shared" ref="X43:AD43" si="24">E105</f>
        <v>5</v>
      </c>
      <c r="Y43" s="995">
        <f t="shared" si="24"/>
        <v>4</v>
      </c>
      <c r="Z43" s="995">
        <f t="shared" si="24"/>
        <v>-1</v>
      </c>
      <c r="AA43" s="995">
        <f t="shared" si="24"/>
        <v>-10</v>
      </c>
      <c r="AB43" s="995">
        <f t="shared" si="24"/>
        <v>-14</v>
      </c>
      <c r="AC43" s="995">
        <f t="shared" si="24"/>
        <v>-19</v>
      </c>
      <c r="AD43" s="995">
        <f t="shared" si="24"/>
        <v>-24</v>
      </c>
      <c r="AE43" s="39" t="s">
        <v>42</v>
      </c>
      <c r="AF43" s="53">
        <f>$W$5+W43</f>
        <v>63.010413371069873</v>
      </c>
      <c r="AG43" s="53">
        <f t="shared" ref="AG43:AM43" si="25">$W$5+X43</f>
        <v>58.010413371069873</v>
      </c>
      <c r="AH43" s="53">
        <f t="shared" si="25"/>
        <v>57.010413371069873</v>
      </c>
      <c r="AI43" s="53">
        <f t="shared" si="25"/>
        <v>52.010413371069873</v>
      </c>
      <c r="AJ43" s="53">
        <f t="shared" si="25"/>
        <v>43.010413371069873</v>
      </c>
      <c r="AK43" s="53">
        <f t="shared" si="25"/>
        <v>39.010413371069873</v>
      </c>
      <c r="AL43" s="53">
        <f t="shared" si="25"/>
        <v>34.010413371069873</v>
      </c>
      <c r="AM43" s="53">
        <f t="shared" si="25"/>
        <v>29.010413371069873</v>
      </c>
      <c r="AN43" s="5">
        <f t="array" ref="AN43">10*LOG10(SUM(10^(AF43:AM43/10)))</f>
        <v>65.217996830982557</v>
      </c>
      <c r="AO43" s="5" cm="1">
        <f t="array" ref="AO43">10*LOG10(SUM(10^((AF43:AM43+$AF$46:$AM$46)/10)))</f>
        <v>53.010236440272749</v>
      </c>
      <c r="AP43" t="str">
        <f>IF(ABS(W5-AO43)&lt;0.5,"OK","Tarkista laskenta!")</f>
        <v>OK</v>
      </c>
    </row>
    <row r="44" spans="21:67" x14ac:dyDescent="0.15">
      <c r="U44" s="14" t="s">
        <v>29</v>
      </c>
      <c r="V44" s="26"/>
      <c r="W44" s="995">
        <f t="shared" ref="W44:AD44" si="26">D116</f>
        <v>0</v>
      </c>
      <c r="X44" s="995">
        <f t="shared" si="26"/>
        <v>-4</v>
      </c>
      <c r="Y44" s="995">
        <f t="shared" si="26"/>
        <v>4</v>
      </c>
      <c r="Z44" s="995">
        <f t="shared" si="26"/>
        <v>-4</v>
      </c>
      <c r="AA44" s="995">
        <f t="shared" si="26"/>
        <v>-7</v>
      </c>
      <c r="AB44" s="995">
        <f t="shared" si="26"/>
        <v>-8</v>
      </c>
      <c r="AC44" s="995">
        <f t="shared" si="26"/>
        <v>-14</v>
      </c>
      <c r="AD44" s="995">
        <f t="shared" si="26"/>
        <v>-14</v>
      </c>
      <c r="AE44" s="39" t="s">
        <v>43</v>
      </c>
      <c r="AF44" s="53">
        <f>$W$6+W44</f>
        <v>71.998695825235586</v>
      </c>
      <c r="AG44" s="53">
        <f t="shared" ref="AG44:AM44" si="27">$W$6+X44</f>
        <v>67.998695825235586</v>
      </c>
      <c r="AH44" s="53">
        <f t="shared" si="27"/>
        <v>75.998695825235586</v>
      </c>
      <c r="AI44" s="53">
        <f t="shared" si="27"/>
        <v>67.998695825235586</v>
      </c>
      <c r="AJ44" s="53">
        <f t="shared" si="27"/>
        <v>64.998695825235586</v>
      </c>
      <c r="AK44" s="53">
        <f t="shared" si="27"/>
        <v>63.998695825235586</v>
      </c>
      <c r="AL44" s="53">
        <f t="shared" si="27"/>
        <v>57.998695825235586</v>
      </c>
      <c r="AM44" s="53">
        <f t="shared" si="27"/>
        <v>57.998695825235586</v>
      </c>
      <c r="AN44" s="5">
        <f t="array" ref="AN44">10*LOG10(SUM(10^(AF44:AM44/10)))</f>
        <v>78.761733185898294</v>
      </c>
      <c r="AO44" s="5" cm="1">
        <f t="array" ref="AO44">10*LOG10(SUM(10^((AF44:AM44+$AF$46:$AM$46)/10)))</f>
        <v>72.164565591882294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7.9599734159106658E-5</v>
      </c>
      <c r="BN44">
        <v>4.3081615178497075E-2</v>
      </c>
      <c r="BO44">
        <v>-2.336920998041629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2184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75" x14ac:dyDescent="0.15">
      <c r="W49" t="s">
        <v>50</v>
      </c>
      <c r="BG49" t="s">
        <v>102</v>
      </c>
      <c r="BH49" s="8">
        <v>-1.8299729089178483E-3</v>
      </c>
      <c r="BI49" s="8">
        <v>-0.73638484267800319</v>
      </c>
      <c r="BJ49" s="8">
        <v>1263.0869140408336</v>
      </c>
    </row>
    <row r="50" spans="3:75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-1.7835379999785593E-3</v>
      </c>
      <c r="BI50" s="8">
        <v>-0.36812150735232407</v>
      </c>
      <c r="BJ50" s="8">
        <v>818.37289607846901</v>
      </c>
      <c r="BQ50" t="s">
        <v>2191</v>
      </c>
    </row>
    <row r="51" spans="3:75" x14ac:dyDescent="0.15">
      <c r="W51" t="s">
        <v>3</v>
      </c>
      <c r="X51" s="54">
        <f t="array" ref="X51:Z51">LINEST(Y59:Y70,X59:X70^{1,2})</f>
        <v>-1.1119406402390656E-3</v>
      </c>
      <c r="Y51" s="54">
        <v>1.0177096636302509</v>
      </c>
      <c r="Z51" s="54">
        <v>502.93150469812406</v>
      </c>
      <c r="BG51" t="s">
        <v>405</v>
      </c>
      <c r="BH51" s="8">
        <v>-1.8408995974059186E-3</v>
      </c>
      <c r="BI51" s="8">
        <v>-0.27749303744237341</v>
      </c>
      <c r="BJ51" s="8">
        <v>436.43375328904114</v>
      </c>
      <c r="BR51" t="s">
        <v>2192</v>
      </c>
      <c r="BS51" t="s">
        <v>2193</v>
      </c>
      <c r="BT51" t="s">
        <v>87</v>
      </c>
      <c r="BU51" t="s">
        <v>2194</v>
      </c>
      <c r="BV51" t="s">
        <v>117</v>
      </c>
    </row>
    <row r="52" spans="3:75" x14ac:dyDescent="0.15">
      <c r="W52" t="s">
        <v>404</v>
      </c>
      <c r="X52" s="54">
        <f t="array" ref="X52:Z52">LINEST(Y73:Y81,X73:X81^{1,2})</f>
        <v>-8.3627589740289737E-4</v>
      </c>
      <c r="Y52" s="54">
        <v>0.91233773680430463</v>
      </c>
      <c r="Z52" s="54">
        <v>254.77455489236826</v>
      </c>
      <c r="BG52" t="s">
        <v>406</v>
      </c>
      <c r="BH52" s="8">
        <v>-1.4239005403105199E-3</v>
      </c>
      <c r="BI52" s="8">
        <v>-0.39963521762046122</v>
      </c>
      <c r="BJ52" s="8">
        <v>202.17294797913897</v>
      </c>
      <c r="BQ52">
        <v>100</v>
      </c>
      <c r="BR52" s="3">
        <f>$BH$50*BQ52^2+$BI$50*BQ52+$BJ$50</f>
        <v>763.72536534345102</v>
      </c>
      <c r="BS52" s="3">
        <f>$BH$57*BQ52^2+$BI$57*BQ52+$BJ$57</f>
        <v>766.49260320485018</v>
      </c>
      <c r="BT52" s="3">
        <f>BS52-BR52</f>
        <v>2.7672378613991668</v>
      </c>
      <c r="BU52" s="3">
        <f>$BM$44*BQ52^2+$BN$44*BQ52+$BO$44</f>
        <v>2.7672378613991446</v>
      </c>
      <c r="BV52" s="3">
        <f>BT52-BU52</f>
        <v>2.2204460492503131E-14</v>
      </c>
      <c r="BW52" t="s">
        <v>603</v>
      </c>
    </row>
    <row r="53" spans="3:75" x14ac:dyDescent="0.15">
      <c r="W53" t="s">
        <v>405</v>
      </c>
      <c r="X53" s="54">
        <f t="array" ref="X53:Z53">LINEST(Y84:Y89,X84:X89^{1,2})</f>
        <v>-6.5883583500396764E-4</v>
      </c>
      <c r="Y53" s="54">
        <v>0.53390777933183464</v>
      </c>
      <c r="Z53" s="54">
        <v>110.455756147888</v>
      </c>
      <c r="BQ53">
        <v>200</v>
      </c>
      <c r="BR53" s="3">
        <f t="shared" ref="BR53:BR56" si="28">$BH$50*BQ53^2+$BI$50*BQ53+$BJ$50</f>
        <v>673.40707460886188</v>
      </c>
      <c r="BS53" s="3">
        <f>$BH$57*BQ53^2+$BI$57*BQ53+$BJ$57</f>
        <v>682.87046601288398</v>
      </c>
      <c r="BT53" s="3">
        <f t="shared" ref="BT53:BT56" si="29">BS53-BR53</f>
        <v>9.4633914040221043</v>
      </c>
      <c r="BU53" s="3">
        <f>$BM$44*BQ53^2+$BN$44*BQ53+$BO$44</f>
        <v>9.4633914040220528</v>
      </c>
      <c r="BV53" s="3">
        <f>BT53-BU53</f>
        <v>5.1514348342607263E-14</v>
      </c>
      <c r="BW53" t="s">
        <v>603</v>
      </c>
    </row>
    <row r="54" spans="3:75" x14ac:dyDescent="0.15">
      <c r="W54" t="s">
        <v>406</v>
      </c>
      <c r="X54" s="54">
        <f t="array" ref="X54:Z54">LINEST(Y92:Y95,X92:X95^{1,2})</f>
        <v>-3.1655004426812532E-4</v>
      </c>
      <c r="Y54" s="54">
        <v>0.20389570306355434</v>
      </c>
      <c r="Z54" s="54">
        <v>45.979027939910978</v>
      </c>
      <c r="BG54" s="2" t="s">
        <v>2185</v>
      </c>
      <c r="BQ54">
        <v>300</v>
      </c>
      <c r="BR54" s="3">
        <f t="shared" si="28"/>
        <v>547.41802387470148</v>
      </c>
      <c r="BS54" s="3">
        <f>$BH$57*BQ54^2+$BI$57*BQ54+$BJ$57</f>
        <v>565.16956350452858</v>
      </c>
      <c r="BT54" s="3">
        <f t="shared" si="29"/>
        <v>17.751539629827107</v>
      </c>
      <c r="BU54" s="3">
        <f>$BM$44*BQ54^2+$BN$44*BQ54+$BO$44</f>
        <v>17.751539629827093</v>
      </c>
      <c r="BV54" s="3">
        <f>BT54-BU54</f>
        <v>0</v>
      </c>
      <c r="BW54" t="s">
        <v>603</v>
      </c>
    </row>
    <row r="55" spans="3:75" x14ac:dyDescent="0.15">
      <c r="BH55" s="4" t="s">
        <v>4</v>
      </c>
      <c r="BI55" s="4" t="s">
        <v>5</v>
      </c>
      <c r="BJ55" s="4" t="s">
        <v>6</v>
      </c>
      <c r="BQ55">
        <v>400</v>
      </c>
      <c r="BR55" s="3">
        <f t="shared" si="28"/>
        <v>385.75821314096987</v>
      </c>
      <c r="BS55" s="3">
        <f>$BH$57*BQ55^2+$BI$57*BQ55+$BJ$57</f>
        <v>413.38989567978422</v>
      </c>
      <c r="BT55" s="3">
        <f t="shared" si="29"/>
        <v>27.631682538814346</v>
      </c>
      <c r="BU55" s="3">
        <f>$BM$44*BQ55^2+$BN$44*BQ55+$BO$44</f>
        <v>27.631682538814268</v>
      </c>
      <c r="BV55" s="3">
        <f>BT55-BU55</f>
        <v>7.815970093361102E-14</v>
      </c>
      <c r="BW55" t="s">
        <v>603</v>
      </c>
    </row>
    <row r="56" spans="3:75" x14ac:dyDescent="0.15">
      <c r="C56" s="2" t="s">
        <v>45</v>
      </c>
      <c r="BG56" t="s">
        <v>102</v>
      </c>
      <c r="BH56" s="7">
        <f>BH49+BM$44</f>
        <v>-1.7503731747587417E-3</v>
      </c>
      <c r="BI56" s="7">
        <f t="shared" ref="BI56:BJ56" si="30">BI49+BN$44</f>
        <v>-0.69330322749950613</v>
      </c>
      <c r="BJ56" s="7">
        <f t="shared" si="30"/>
        <v>1260.7499930427919</v>
      </c>
      <c r="BQ56">
        <v>500</v>
      </c>
      <c r="BR56" s="3">
        <f t="shared" si="28"/>
        <v>188.42764240766712</v>
      </c>
      <c r="BS56" s="3">
        <f>$BH$57*BQ56^2+$BI$57*BQ56+$BJ$57</f>
        <v>227.53146253865077</v>
      </c>
      <c r="BT56" s="3">
        <f t="shared" si="29"/>
        <v>39.10382013098365</v>
      </c>
      <c r="BU56" s="3">
        <f>$BM$44*BQ56^2+$BN$44*BQ56+$BO$44</f>
        <v>39.103820130983571</v>
      </c>
      <c r="BV56" s="3">
        <f>BT56-BU56</f>
        <v>7.815970093361102E-14</v>
      </c>
      <c r="BW56" t="s">
        <v>603</v>
      </c>
    </row>
    <row r="57" spans="3:7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2"/>
      <c r="U57" s="21"/>
      <c r="W57" s="2" t="s">
        <v>48</v>
      </c>
      <c r="BG57" t="s">
        <v>404</v>
      </c>
      <c r="BH57" s="7">
        <f t="shared" ref="BH57:BH59" si="31">BH50+BM$44</f>
        <v>-1.7039382658194527E-3</v>
      </c>
      <c r="BI57" s="7">
        <f t="shared" ref="BI57:BI59" si="32">BI50+BN$44</f>
        <v>-0.32503989217382701</v>
      </c>
      <c r="BJ57" s="7">
        <f t="shared" ref="BJ57:BJ59" si="33">BJ50+BO$44</f>
        <v>816.03597508042742</v>
      </c>
    </row>
    <row r="58" spans="3:75" x14ac:dyDescent="0.15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U58" s="24"/>
      <c r="W58" s="10"/>
      <c r="X58" s="16" t="s">
        <v>13</v>
      </c>
      <c r="Y58" s="11" t="s">
        <v>49</v>
      </c>
      <c r="BG58" t="s">
        <v>405</v>
      </c>
      <c r="BH58" s="7">
        <f t="shared" si="31"/>
        <v>-1.7612998632468119E-3</v>
      </c>
      <c r="BI58" s="7">
        <f t="shared" si="32"/>
        <v>-0.23441142226387635</v>
      </c>
      <c r="BJ58" s="7">
        <f t="shared" si="33"/>
        <v>434.09683229099949</v>
      </c>
    </row>
    <row r="59" spans="3:75" x14ac:dyDescent="0.15">
      <c r="C59" s="10" t="s">
        <v>3</v>
      </c>
      <c r="D59" s="67">
        <v>611.24785436810203</v>
      </c>
      <c r="E59" s="68">
        <v>56.039310494973591</v>
      </c>
      <c r="F59" s="69">
        <v>717.63451603420606</v>
      </c>
      <c r="H59" t="s">
        <v>4</v>
      </c>
      <c r="I59" t="s">
        <v>5</v>
      </c>
      <c r="K59" s="27" t="s">
        <v>424</v>
      </c>
      <c r="M59" s="10" t="s">
        <v>3</v>
      </c>
      <c r="N59" s="67">
        <v>629.17768837462597</v>
      </c>
      <c r="O59" s="68">
        <v>75.462279505439284</v>
      </c>
      <c r="P59" s="69">
        <v>721.94218225015641</v>
      </c>
      <c r="R59" t="s">
        <v>4</v>
      </c>
      <c r="S59" t="s">
        <v>5</v>
      </c>
      <c r="T59" t="s">
        <v>6</v>
      </c>
      <c r="U59" s="856" t="s">
        <v>425</v>
      </c>
      <c r="W59" s="34" t="s">
        <v>3</v>
      </c>
      <c r="X59" s="19">
        <v>110.18915387804911</v>
      </c>
      <c r="Y59" s="20">
        <v>595.93760715020903</v>
      </c>
      <c r="BG59" t="s">
        <v>406</v>
      </c>
      <c r="BH59" s="7">
        <f t="shared" si="31"/>
        <v>-1.3443008061514133E-3</v>
      </c>
      <c r="BI59" s="7">
        <f t="shared" si="32"/>
        <v>-0.35655360244196416</v>
      </c>
      <c r="BJ59" s="7">
        <f t="shared" si="33"/>
        <v>199.83602698109735</v>
      </c>
    </row>
    <row r="60" spans="3:75" x14ac:dyDescent="0.15">
      <c r="C60" s="12"/>
      <c r="D60" s="67">
        <v>541.62478974594433</v>
      </c>
      <c r="E60" s="68">
        <v>55.032590691675303</v>
      </c>
      <c r="F60" s="69">
        <v>710.94356199878303</v>
      </c>
      <c r="G60" s="129" t="s">
        <v>412</v>
      </c>
      <c r="H60">
        <f t="array" ref="H60:J60">LINEST(E59:E62,D59:D62^{1,2})</f>
        <v>2.0630055745833909E-4</v>
      </c>
      <c r="I60">
        <v>-0.23041136734128695</v>
      </c>
      <c r="J60">
        <v>119.66203911154346</v>
      </c>
      <c r="K60" s="298">
        <f>$H$60*AC34^2+$I$60*AC34+$J$60</f>
        <v>55.55778614397552</v>
      </c>
      <c r="M60" s="12"/>
      <c r="N60" s="67">
        <v>532.65794809164368</v>
      </c>
      <c r="O60" s="68">
        <v>75.545028409837727</v>
      </c>
      <c r="P60" s="69">
        <v>709.59231062598428</v>
      </c>
      <c r="Q60" s="129" t="s">
        <v>412</v>
      </c>
      <c r="R60">
        <f t="array" ref="R60:T60">LINEST(O59:O62,N59:N62^{1,2})</f>
        <v>1.0659016807683382E-4</v>
      </c>
      <c r="S60">
        <v>-0.12343139538586893</v>
      </c>
      <c r="T60">
        <v>110.95568468390383</v>
      </c>
      <c r="U60" s="857">
        <f>$R$60*AC34^2+$S$60*AC34+$T$60</f>
        <v>75.239987590228623</v>
      </c>
      <c r="W60" s="96"/>
      <c r="X60" s="17">
        <v>136.43414354966512</v>
      </c>
      <c r="Y60" s="13">
        <v>615.30503087383704</v>
      </c>
    </row>
    <row r="61" spans="3:75" x14ac:dyDescent="0.15">
      <c r="C61" s="12"/>
      <c r="D61" s="67">
        <v>461.52175623506179</v>
      </c>
      <c r="E61" s="68">
        <v>57.55522907548734</v>
      </c>
      <c r="F61" s="69">
        <v>712.28205625603186</v>
      </c>
      <c r="G61" s="129" t="s">
        <v>423</v>
      </c>
      <c r="H61">
        <f t="array" ref="H61:I61">LINEST(E59:E62,D59:D62)</f>
        <v>-3.1289868869920648E-2</v>
      </c>
      <c r="I61">
        <v>73.475007351047765</v>
      </c>
      <c r="K61" s="298">
        <f>H61*$AC$34+I61</f>
        <v>54.955121720546146</v>
      </c>
      <c r="M61" s="12"/>
      <c r="N61" s="67">
        <v>450.08128754152114</v>
      </c>
      <c r="O61" s="68">
        <v>76.90227839282656</v>
      </c>
      <c r="P61" s="69">
        <v>714.96034019198805</v>
      </c>
      <c r="Q61" s="129" t="s">
        <v>420</v>
      </c>
      <c r="R61">
        <f t="array" ref="R61:S61">LINEST(O59:O62,N59:N62)</f>
        <v>-1.9323419323029917E-2</v>
      </c>
      <c r="S61">
        <v>86.677788804227092</v>
      </c>
      <c r="U61" s="857">
        <f>R61*AC34+S61</f>
        <v>75.240619880941452</v>
      </c>
      <c r="W61" s="96"/>
      <c r="X61" s="17">
        <v>244.34577649341912</v>
      </c>
      <c r="Y61" s="13">
        <v>686.56237760659815</v>
      </c>
      <c r="BG61" s="2" t="s">
        <v>2186</v>
      </c>
    </row>
    <row r="62" spans="3:75" x14ac:dyDescent="0.15">
      <c r="C62" s="14"/>
      <c r="D62" s="67">
        <v>357.67806103248057</v>
      </c>
      <c r="E62" s="68">
        <v>63.567010423443264</v>
      </c>
      <c r="F62" s="69">
        <v>712.22425934183491</v>
      </c>
      <c r="G62" s="297" t="s">
        <v>462</v>
      </c>
      <c r="H62" s="2">
        <f t="array" ref="H62:I62">LINEST(E59:E62,LN(D59:D62))</f>
        <v>-15.253513930170293</v>
      </c>
      <c r="I62" s="2">
        <v>152.33141437376131</v>
      </c>
      <c r="K62" s="298">
        <f>H62*LN($AC$34)+I62</f>
        <v>54.963567903151556</v>
      </c>
      <c r="M62" s="14"/>
      <c r="N62" s="67">
        <v>348.23126989901903</v>
      </c>
      <c r="O62" s="68">
        <v>80.924803422663771</v>
      </c>
      <c r="P62" s="69">
        <v>717.21117693830195</v>
      </c>
      <c r="Q62" s="297" t="s">
        <v>462</v>
      </c>
      <c r="R62" s="2">
        <f t="array" ref="R62:S62">LINEST(O59:O62,LN(N59:N62))</f>
        <v>-9.5128963360300585</v>
      </c>
      <c r="S62" s="2">
        <v>135.91407962498565</v>
      </c>
      <c r="U62" s="857">
        <f>R62*LN(AC34)+S62</f>
        <v>75.190351690706308</v>
      </c>
      <c r="W62" s="96"/>
      <c r="X62" s="17">
        <v>287.92378430542857</v>
      </c>
      <c r="Y62" s="13">
        <v>731.12241183796675</v>
      </c>
      <c r="BH62" s="4" t="s">
        <v>4</v>
      </c>
      <c r="BI62" s="4" t="s">
        <v>5</v>
      </c>
      <c r="BJ62" s="4" t="s">
        <v>6</v>
      </c>
    </row>
    <row r="63" spans="3:75" x14ac:dyDescent="0.15">
      <c r="C63" s="12"/>
      <c r="D63" s="17"/>
      <c r="E63" s="42"/>
      <c r="F63" s="13"/>
      <c r="K63" s="298"/>
      <c r="M63" s="12"/>
      <c r="N63" s="17"/>
      <c r="O63" s="42"/>
      <c r="P63" s="13"/>
      <c r="U63" s="858"/>
      <c r="W63" s="96"/>
      <c r="X63" s="17">
        <v>325.00060286575126</v>
      </c>
      <c r="Y63" s="13">
        <v>725.58635672098774</v>
      </c>
      <c r="BG63" t="s">
        <v>102</v>
      </c>
      <c r="BH63" s="7">
        <f>BH49+BM$45</f>
        <v>-1.8299729089178483E-3</v>
      </c>
      <c r="BI63" s="7">
        <f t="shared" ref="BI63:BJ63" si="34">BI49+BN$45</f>
        <v>-0.82700014874291539</v>
      </c>
      <c r="BJ63" s="7">
        <f t="shared" si="34"/>
        <v>1262.8279230543271</v>
      </c>
    </row>
    <row r="64" spans="3:75" x14ac:dyDescent="0.15">
      <c r="C64" s="10" t="s">
        <v>408</v>
      </c>
      <c r="D64" s="67">
        <v>542.17973154723245</v>
      </c>
      <c r="E64" s="68">
        <v>55.408722331093671</v>
      </c>
      <c r="F64" s="69">
        <v>496.84002348434831</v>
      </c>
      <c r="H64" t="s">
        <v>4</v>
      </c>
      <c r="I64" t="s">
        <v>5</v>
      </c>
      <c r="K64" s="298"/>
      <c r="M64" s="10" t="s">
        <v>408</v>
      </c>
      <c r="N64" s="67">
        <v>549.80364039694439</v>
      </c>
      <c r="O64" s="68">
        <v>72.753765860813573</v>
      </c>
      <c r="P64" s="69">
        <v>498.31936528437234</v>
      </c>
      <c r="R64" t="s">
        <v>4</v>
      </c>
      <c r="S64" t="s">
        <v>5</v>
      </c>
      <c r="T64" t="s">
        <v>6</v>
      </c>
      <c r="U64" s="858"/>
      <c r="W64" s="96"/>
      <c r="X64" s="17">
        <v>367.67696731313396</v>
      </c>
      <c r="Y64" s="13">
        <v>725.45298360357344</v>
      </c>
      <c r="BG64" t="s">
        <v>404</v>
      </c>
      <c r="BH64" s="7">
        <f t="shared" ref="BH64:BH66" si="35">BH50+BM$45</f>
        <v>-1.7835379999785593E-3</v>
      </c>
      <c r="BI64" s="7">
        <f t="shared" ref="BI64:BI66" si="36">BI50+BN$45</f>
        <v>-0.45873681341723627</v>
      </c>
      <c r="BJ64" s="7">
        <f t="shared" ref="BJ64:BJ66" si="37">BJ50+BO$45</f>
        <v>818.11390509196247</v>
      </c>
    </row>
    <row r="65" spans="3:69" x14ac:dyDescent="0.15">
      <c r="C65" s="12"/>
      <c r="D65" s="67">
        <v>472.47464976336812</v>
      </c>
      <c r="E65" s="68">
        <v>54.475572963562122</v>
      </c>
      <c r="F65" s="69">
        <v>495.86656525699954</v>
      </c>
      <c r="G65" s="129" t="s">
        <v>412</v>
      </c>
      <c r="H65">
        <f t="array" ref="H65:J65">LINEST(E64:E67,D64:D67^{1,2})</f>
        <v>1.7215009491819728E-4</v>
      </c>
      <c r="I65">
        <v>-0.16292453154740719</v>
      </c>
      <c r="J65">
        <v>93.105950302895735</v>
      </c>
      <c r="K65" s="298">
        <f>$H$65*AC35^2+$I$65*AC35+$J$65</f>
        <v>54.943857274674436</v>
      </c>
      <c r="M65" s="12"/>
      <c r="N65" s="67">
        <v>468.9663385731302</v>
      </c>
      <c r="O65" s="68">
        <v>72.714694319392635</v>
      </c>
      <c r="P65" s="69">
        <v>496.54316512520251</v>
      </c>
      <c r="Q65" s="129" t="s">
        <v>412</v>
      </c>
      <c r="R65">
        <f t="array" ref="R65:T65">LINEST(O64:O67,N64:N67^{1,2})</f>
        <v>9.4493097359703353E-5</v>
      </c>
      <c r="S65">
        <v>-9.7967691591196601E-2</v>
      </c>
      <c r="T65">
        <v>98.008180547324827</v>
      </c>
      <c r="U65" s="857">
        <f>$R$65*AC35^2+$S$65*AC35+$T$65</f>
        <v>72.616120037892074</v>
      </c>
      <c r="W65" s="96"/>
      <c r="X65" s="17">
        <v>422.40029469418704</v>
      </c>
      <c r="Y65" s="13">
        <v>715.66926214595003</v>
      </c>
      <c r="BG65" t="s">
        <v>405</v>
      </c>
      <c r="BH65" s="7">
        <f t="shared" si="35"/>
        <v>-1.8408995974059186E-3</v>
      </c>
      <c r="BI65" s="7">
        <f t="shared" si="36"/>
        <v>-0.36810834350728561</v>
      </c>
      <c r="BJ65" s="7">
        <f t="shared" si="37"/>
        <v>436.17476230253465</v>
      </c>
    </row>
    <row r="66" spans="3:69" x14ac:dyDescent="0.15">
      <c r="C66" s="12"/>
      <c r="D66" s="67">
        <v>389.74060928785525</v>
      </c>
      <c r="E66" s="68">
        <v>55.826521838973228</v>
      </c>
      <c r="F66" s="69">
        <v>482.12740321684242</v>
      </c>
      <c r="G66" s="129" t="s">
        <v>423</v>
      </c>
      <c r="H66">
        <f t="array" ref="H66:I66">LINEST(E64:E67,D64:D67)</f>
        <v>-1.9605897359869787E-2</v>
      </c>
      <c r="I66">
        <v>64.779637618449229</v>
      </c>
      <c r="K66" s="298">
        <f>H66*$AC$35+I66</f>
        <v>54.573349722615269</v>
      </c>
      <c r="M66" s="12"/>
      <c r="N66" s="67">
        <v>390.47715559199054</v>
      </c>
      <c r="O66" s="68">
        <v>74.279931700530938</v>
      </c>
      <c r="P66" s="69">
        <v>481.38102796073275</v>
      </c>
      <c r="Q66" s="129" t="s">
        <v>420</v>
      </c>
      <c r="R66">
        <f t="array" ref="R66:S66">LINEST(O64:O67,N64:N67)</f>
        <v>-1.899895896380098E-2</v>
      </c>
      <c r="S66">
        <v>82.395311446178809</v>
      </c>
      <c r="U66" s="857">
        <f>R66*$AC$35+S66</f>
        <v>72.504978892332574</v>
      </c>
      <c r="W66" s="96"/>
      <c r="X66" s="17">
        <v>458.55440474029535</v>
      </c>
      <c r="Y66" s="13">
        <v>725.92923935658655</v>
      </c>
      <c r="BG66" t="s">
        <v>406</v>
      </c>
      <c r="BH66" s="7">
        <f t="shared" si="35"/>
        <v>-1.4239005403105199E-3</v>
      </c>
      <c r="BI66" s="7">
        <f t="shared" si="36"/>
        <v>-0.49025052368537342</v>
      </c>
      <c r="BJ66" s="7">
        <f t="shared" si="37"/>
        <v>201.91395699263245</v>
      </c>
    </row>
    <row r="67" spans="3:69" x14ac:dyDescent="0.15">
      <c r="C67" s="14"/>
      <c r="D67" s="67">
        <v>292.98939438082436</v>
      </c>
      <c r="E67" s="68">
        <v>60.12898930801839</v>
      </c>
      <c r="F67" s="69">
        <v>448.39384997533358</v>
      </c>
      <c r="G67" s="297" t="s">
        <v>462</v>
      </c>
      <c r="H67" s="2">
        <f t="array" ref="H67:I67">LINEST(E64:E67,LN(D64:D67))</f>
        <v>-8.3229880425413008</v>
      </c>
      <c r="I67" s="2">
        <v>106.60428887433723</v>
      </c>
      <c r="K67" s="298">
        <f>H67*LN($AC$35)+I67</f>
        <v>54.544590740412808</v>
      </c>
      <c r="M67" s="14"/>
      <c r="N67" s="67">
        <v>288.52325300426202</v>
      </c>
      <c r="O67" s="68">
        <v>77.576983980648919</v>
      </c>
      <c r="P67" s="69">
        <v>442.39586141865533</v>
      </c>
      <c r="Q67" s="297" t="s">
        <v>462</v>
      </c>
      <c r="R67" s="2">
        <f t="array" ref="R67:S67">LINEST(O64:O67,LN(N64:N67))</f>
        <v>-7.9114262368208186</v>
      </c>
      <c r="S67" s="2">
        <v>121.98233361351772</v>
      </c>
      <c r="U67" s="857">
        <f>R67*LN($AC$35)+S67</f>
        <v>72.496925297114075</v>
      </c>
      <c r="W67" s="96"/>
      <c r="X67" s="17">
        <v>502.5198255229879</v>
      </c>
      <c r="Y67" s="13">
        <v>726.01319961048898</v>
      </c>
    </row>
    <row r="68" spans="3:69" x14ac:dyDescent="0.15">
      <c r="C68" s="12"/>
      <c r="D68" s="17"/>
      <c r="E68" s="42"/>
      <c r="F68" s="24"/>
      <c r="K68" s="298"/>
      <c r="M68" s="12"/>
      <c r="N68" s="17"/>
      <c r="O68" s="42"/>
      <c r="P68" s="24"/>
      <c r="U68" s="858"/>
      <c r="W68" s="96"/>
      <c r="X68" s="17">
        <v>538.99940207028442</v>
      </c>
      <c r="Y68" s="13">
        <v>723.10259129668827</v>
      </c>
      <c r="BG68" t="s">
        <v>21</v>
      </c>
      <c r="BH68" s="504">
        <f>'C koodit'!$E$12</f>
        <v>2</v>
      </c>
    </row>
    <row r="69" spans="3:69" x14ac:dyDescent="0.15">
      <c r="C69" s="10" t="s">
        <v>411</v>
      </c>
      <c r="D69" s="67">
        <v>387.63817389018845</v>
      </c>
      <c r="E69" s="68">
        <v>48.06850608295192</v>
      </c>
      <c r="F69" s="69">
        <v>227.47266794443044</v>
      </c>
      <c r="H69" t="s">
        <v>4</v>
      </c>
      <c r="I69" t="s">
        <v>5</v>
      </c>
      <c r="J69" t="s">
        <v>6</v>
      </c>
      <c r="K69" s="298"/>
      <c r="M69" s="10" t="s">
        <v>411</v>
      </c>
      <c r="N69" s="67">
        <v>395.54495018994675</v>
      </c>
      <c r="O69" s="68">
        <v>67.733794046754298</v>
      </c>
      <c r="P69" s="69">
        <v>219.35432659614258</v>
      </c>
      <c r="R69" t="s">
        <v>4</v>
      </c>
      <c r="S69" t="s">
        <v>5</v>
      </c>
      <c r="T69" t="s">
        <v>6</v>
      </c>
      <c r="U69" s="858"/>
      <c r="W69" s="96"/>
      <c r="X69" s="17">
        <v>576.22666298714682</v>
      </c>
      <c r="Y69" s="13">
        <v>725.5132088142559</v>
      </c>
    </row>
    <row r="70" spans="3:69" x14ac:dyDescent="0.15">
      <c r="C70" s="12"/>
      <c r="D70" s="67">
        <v>335.53377285666636</v>
      </c>
      <c r="E70" s="68">
        <v>46.922722267487693</v>
      </c>
      <c r="F70" s="69">
        <v>227.87245939483202</v>
      </c>
      <c r="G70" s="129" t="s">
        <v>412</v>
      </c>
      <c r="H70">
        <f t="array" ref="H70:J70">LINEST(E69:E72,D69:D72^{1,2})</f>
        <v>3.1514479512710603E-4</v>
      </c>
      <c r="I70">
        <v>-0.2081047800684297</v>
      </c>
      <c r="J70">
        <v>81.351320334945513</v>
      </c>
      <c r="K70" s="298">
        <f>$H$70*AC36^2+$I$70*AC36+$J$70</f>
        <v>47.629595832028542</v>
      </c>
      <c r="M70" s="12"/>
      <c r="N70" s="67">
        <v>345.88484092861643</v>
      </c>
      <c r="O70" s="68">
        <v>66.324854410521937</v>
      </c>
      <c r="P70" s="69">
        <v>221.93456894633064</v>
      </c>
      <c r="Q70" s="129" t="s">
        <v>412</v>
      </c>
      <c r="R70">
        <f t="array" ref="R70:T70">LINEST(O69:O72,N69:N72^{1,2})</f>
        <v>1.2202951699219173E-4</v>
      </c>
      <c r="S70">
        <v>-8.0335946324847932E-2</v>
      </c>
      <c r="T70">
        <v>80.158770047811572</v>
      </c>
      <c r="U70" s="857">
        <f>$R$70*AC36^2+$S$70*AC36+$T$70</f>
        <v>67.193322133815457</v>
      </c>
      <c r="W70" s="46"/>
      <c r="X70" s="18">
        <v>616.02444621087636</v>
      </c>
      <c r="Y70" s="15">
        <v>718.75363130123674</v>
      </c>
      <c r="BG70" s="2" t="s">
        <v>2187</v>
      </c>
    </row>
    <row r="71" spans="3:69" x14ac:dyDescent="0.15">
      <c r="C71" s="12"/>
      <c r="D71" s="67">
        <v>277.64440783292383</v>
      </c>
      <c r="E71" s="68">
        <v>47.930748155823295</v>
      </c>
      <c r="F71" s="69">
        <v>212.19723808089819</v>
      </c>
      <c r="G71" s="129" t="s">
        <v>423</v>
      </c>
      <c r="H71">
        <f t="array" ref="H71:I71">LINEST(E69:E72,D69:D72)</f>
        <v>-2.6938884687218643E-2</v>
      </c>
      <c r="I71">
        <v>57.022768898183102</v>
      </c>
      <c r="K71" s="298">
        <f>H71*$AC$36+I71</f>
        <v>46.920371388170004</v>
      </c>
      <c r="M71" s="12"/>
      <c r="N71" s="67">
        <v>286.08482041588422</v>
      </c>
      <c r="O71" s="68">
        <v>67.682274039692331</v>
      </c>
      <c r="P71" s="69">
        <v>214.21610961690237</v>
      </c>
      <c r="Q71" s="129" t="s">
        <v>420</v>
      </c>
      <c r="R71">
        <f t="array" ref="R71:S71">LINEST(O69:O72,N69:N72)</f>
        <v>-6.9863439598233839E-3</v>
      </c>
      <c r="S71">
        <v>69.739597862026358</v>
      </c>
      <c r="U71" s="857">
        <f>R71*AC36+S71</f>
        <v>67.119636989730054</v>
      </c>
      <c r="BG71" s="2" t="s">
        <v>102</v>
      </c>
      <c r="BH71" s="504">
        <f>IF($BH$68=1,BH56,IF($BH$68=3,BH63,BH49))</f>
        <v>-1.8299729089178483E-3</v>
      </c>
      <c r="BI71" s="504">
        <f t="shared" ref="BI71:BJ71" si="38">IF($BH$68=1,BI56,IF($BH$68=3,BI63,BI49))</f>
        <v>-0.73638484267800319</v>
      </c>
      <c r="BJ71" s="504">
        <f t="shared" si="38"/>
        <v>1263.0869140408336</v>
      </c>
    </row>
    <row r="72" spans="3:69" x14ac:dyDescent="0.15">
      <c r="C72" s="14"/>
      <c r="D72" s="67">
        <v>191.37159094168865</v>
      </c>
      <c r="E72" s="68">
        <v>53.052885496574561</v>
      </c>
      <c r="F72" s="69">
        <v>206.29179488928867</v>
      </c>
      <c r="G72" s="297" t="s">
        <v>462</v>
      </c>
      <c r="H72" s="2">
        <f t="array" ref="H72:I72">LINEST(E69:E72,LN(D69:D72))</f>
        <v>-7.8976620659586896</v>
      </c>
      <c r="I72" s="2">
        <v>93.726770816427859</v>
      </c>
      <c r="K72" s="298">
        <f>H72*LN($AC$36)+I72</f>
        <v>46.917665126629139</v>
      </c>
      <c r="M72" s="14"/>
      <c r="N72" s="67">
        <v>208.46631996655969</v>
      </c>
      <c r="O72" s="68">
        <v>68.582481035887938</v>
      </c>
      <c r="P72" s="69">
        <v>192.97696042063367</v>
      </c>
      <c r="Q72" s="297" t="s">
        <v>462</v>
      </c>
      <c r="R72" s="2">
        <f t="array" ref="R72:S72">LINEST(O69:O72,LN(N69:N72))</f>
        <v>-2.1858218502251363</v>
      </c>
      <c r="S72" s="2">
        <v>80.052295791575332</v>
      </c>
      <c r="U72" s="857">
        <f>R72*LN($AC$36)+S72</f>
        <v>67.097023060006549</v>
      </c>
      <c r="W72" s="34"/>
      <c r="X72" s="345" t="s">
        <v>13</v>
      </c>
      <c r="Y72" s="344" t="s">
        <v>49</v>
      </c>
      <c r="BG72" s="2" t="s">
        <v>404</v>
      </c>
      <c r="BH72" s="504">
        <f t="shared" ref="BH72:BJ72" si="39">IF($BH$68=1,BH57,IF($BH$68=3,BH64,BH50))</f>
        <v>-1.7835379999785593E-3</v>
      </c>
      <c r="BI72" s="504">
        <f t="shared" si="39"/>
        <v>-0.36812150735232407</v>
      </c>
      <c r="BJ72" s="504">
        <f t="shared" si="39"/>
        <v>818.37289607846901</v>
      </c>
    </row>
    <row r="73" spans="3:69" x14ac:dyDescent="0.15">
      <c r="C73" s="12"/>
      <c r="D73" s="17"/>
      <c r="E73" s="42"/>
      <c r="F73" s="13"/>
      <c r="K73" s="298"/>
      <c r="M73" s="12"/>
      <c r="N73" s="17"/>
      <c r="O73" s="42"/>
      <c r="P73" s="13"/>
      <c r="U73" s="24"/>
      <c r="W73" s="34" t="s">
        <v>404</v>
      </c>
      <c r="X73" s="483">
        <v>92.715984398123922</v>
      </c>
      <c r="Y73" s="973">
        <v>334.32405536817663</v>
      </c>
      <c r="BG73" s="2" t="s">
        <v>405</v>
      </c>
      <c r="BH73" s="504">
        <f t="shared" ref="BH73:BJ73" si="40">IF($BH$68=1,BH58,IF($BH$68=3,BH65,BH51))</f>
        <v>-1.8408995974059186E-3</v>
      </c>
      <c r="BI73" s="504">
        <f t="shared" si="40"/>
        <v>-0.27749303744237341</v>
      </c>
      <c r="BJ73" s="504">
        <f t="shared" si="40"/>
        <v>436.43375328904114</v>
      </c>
    </row>
    <row r="74" spans="3:69" x14ac:dyDescent="0.15">
      <c r="C74" s="10" t="s">
        <v>409</v>
      </c>
      <c r="D74" s="67">
        <v>241.54774717790758</v>
      </c>
      <c r="E74" s="68">
        <v>39.832465884352047</v>
      </c>
      <c r="F74" s="69">
        <v>77.12253426011452</v>
      </c>
      <c r="H74" t="s">
        <v>4</v>
      </c>
      <c r="I74" t="s">
        <v>5</v>
      </c>
      <c r="J74" t="s">
        <v>6</v>
      </c>
      <c r="K74" s="298"/>
      <c r="M74" s="10" t="s">
        <v>409</v>
      </c>
      <c r="N74" s="67">
        <v>245.95007777378834</v>
      </c>
      <c r="O74" s="68">
        <v>56.064320354440241</v>
      </c>
      <c r="P74" s="69">
        <v>77.260385251478269</v>
      </c>
      <c r="R74" t="s">
        <v>4</v>
      </c>
      <c r="S74" t="s">
        <v>5</v>
      </c>
      <c r="T74" t="s">
        <v>6</v>
      </c>
      <c r="U74" s="24"/>
      <c r="W74" s="96"/>
      <c r="X74" s="5">
        <v>153.8436504885284</v>
      </c>
      <c r="Y74" s="42">
        <v>372.63604278483638</v>
      </c>
      <c r="BG74" s="2" t="s">
        <v>406</v>
      </c>
      <c r="BH74" s="504">
        <f t="shared" ref="BH74:BJ74" si="41">IF($BH$68=1,BH59,IF($BH$68=3,BH66,BH52))</f>
        <v>-1.4239005403105199E-3</v>
      </c>
      <c r="BI74" s="504">
        <f t="shared" si="41"/>
        <v>-0.39963521762046122</v>
      </c>
      <c r="BJ74" s="504">
        <f t="shared" si="41"/>
        <v>202.17294797913897</v>
      </c>
    </row>
    <row r="75" spans="3:69" x14ac:dyDescent="0.15">
      <c r="C75" s="12"/>
      <c r="D75" s="67">
        <v>210.39256375926465</v>
      </c>
      <c r="E75" s="68">
        <v>38.90781019036568</v>
      </c>
      <c r="F75" s="69">
        <v>76.518085781762579</v>
      </c>
      <c r="G75" s="129" t="s">
        <v>412</v>
      </c>
      <c r="H75">
        <f t="array" ref="H75:J75">LINEST(E74:E77,D74:D77^{1,2})</f>
        <v>5.7318267513710496E-4</v>
      </c>
      <c r="I75">
        <v>-0.26710074673589279</v>
      </c>
      <c r="J75">
        <v>70.584143994233216</v>
      </c>
      <c r="K75" s="298">
        <f>$H$75*AC37^2+$I$75*AC37+$J$75</f>
        <v>39.472755138804615</v>
      </c>
      <c r="M75" s="12"/>
      <c r="N75" s="67">
        <v>212.4938738313096</v>
      </c>
      <c r="O75" s="68">
        <v>55.848634076637381</v>
      </c>
      <c r="P75" s="69">
        <v>73.483347785955786</v>
      </c>
      <c r="R75">
        <f t="array" ref="R75:T75">LINEST(O74:O77,N74:N77^{1,2})</f>
        <v>2.8008796105935064E-4</v>
      </c>
      <c r="S75">
        <v>-0.13424227362762839</v>
      </c>
      <c r="T75">
        <v>72.030598727436455</v>
      </c>
      <c r="U75" s="857">
        <f>$R$75*AC37^2+$S$75*AC37+$T$75</f>
        <v>55.948969280095668</v>
      </c>
      <c r="W75" s="96"/>
      <c r="X75" s="5">
        <v>253.42738758866832</v>
      </c>
      <c r="Y75" s="42">
        <v>430.72261723601497</v>
      </c>
    </row>
    <row r="76" spans="3:69" x14ac:dyDescent="0.15">
      <c r="C76" s="12"/>
      <c r="D76" s="67">
        <v>175.32883927084114</v>
      </c>
      <c r="E76" s="68">
        <v>42.096114198066246</v>
      </c>
      <c r="F76" s="69">
        <v>73.12388520996565</v>
      </c>
      <c r="G76" s="129" t="s">
        <v>423</v>
      </c>
      <c r="H76">
        <f t="array" ref="H76:I76">LINEST(E74:E77,D74:D77)</f>
        <v>-5.3981427546971952E-2</v>
      </c>
      <c r="I76">
        <v>51.741588756466598</v>
      </c>
      <c r="K76" s="298">
        <f>H76*$AC$37+I76</f>
        <v>38.995737560331975</v>
      </c>
      <c r="M76" s="12"/>
      <c r="N76" s="67">
        <v>178.25322186533424</v>
      </c>
      <c r="O76" s="68">
        <v>57.266066149065502</v>
      </c>
      <c r="P76" s="69">
        <v>71.418113605462722</v>
      </c>
      <c r="Q76" s="129" t="s">
        <v>420</v>
      </c>
      <c r="R76">
        <f t="array" ref="R76:S76">LINEST(O74:O77,N74:N77)</f>
        <v>-2.8287798735263749E-2</v>
      </c>
      <c r="S76">
        <v>62.498134993882061</v>
      </c>
      <c r="U76" s="857">
        <f>R76*AC37+S76</f>
        <v>55.818947544973966</v>
      </c>
      <c r="W76" s="96"/>
      <c r="X76" s="5">
        <v>324.46714326457584</v>
      </c>
      <c r="Y76" s="42">
        <v>464.73565247258693</v>
      </c>
    </row>
    <row r="77" spans="3:69" x14ac:dyDescent="0.15">
      <c r="C77" s="14"/>
      <c r="D77" s="70">
        <v>131.62355365636563</v>
      </c>
      <c r="E77" s="71">
        <v>45.163853243501777</v>
      </c>
      <c r="F77" s="72">
        <v>68.162130097838585</v>
      </c>
      <c r="G77" s="853" t="s">
        <v>462</v>
      </c>
      <c r="H77" s="854">
        <f t="array" ref="H77:I77">LINEST(E74:E77,LN(D74:D77))</f>
        <v>-9.966005539905721</v>
      </c>
      <c r="I77" s="854">
        <v>93.52921620154828</v>
      </c>
      <c r="J77" s="25"/>
      <c r="K77" s="855">
        <f>H77*LN($AC$37)+I77</f>
        <v>39.071762363741207</v>
      </c>
      <c r="M77" s="14"/>
      <c r="N77" s="70">
        <v>133.67050235069436</v>
      </c>
      <c r="O77" s="71">
        <v>59.021513629604186</v>
      </c>
      <c r="P77" s="72">
        <v>66.440347343438674</v>
      </c>
      <c r="Q77" s="853" t="s">
        <v>462</v>
      </c>
      <c r="R77" s="854">
        <f t="array" ref="R77:S77">LINEST(O74:O77,LN(N74:N77))</f>
        <v>-5.3108624207855391</v>
      </c>
      <c r="S77" s="854">
        <v>84.855983189171724</v>
      </c>
      <c r="T77" s="25"/>
      <c r="U77" s="859">
        <f>R77*LN($AC$37)+S77</f>
        <v>55.835725879380099</v>
      </c>
      <c r="W77" s="96"/>
      <c r="X77" s="5">
        <v>388.88146120155363</v>
      </c>
      <c r="Y77" s="42">
        <v>482.62744042958218</v>
      </c>
    </row>
    <row r="78" spans="3:69" ht="14" x14ac:dyDescent="0.15">
      <c r="W78" s="96"/>
      <c r="X78" s="5">
        <v>435.03170293522749</v>
      </c>
      <c r="Y78" s="42">
        <v>495.34300948889341</v>
      </c>
      <c r="BG78" s="83" t="s">
        <v>2466</v>
      </c>
    </row>
    <row r="79" spans="3:69" x14ac:dyDescent="0.15">
      <c r="F79" s="5"/>
      <c r="W79" s="96"/>
      <c r="X79" s="5">
        <v>483.29235357810359</v>
      </c>
      <c r="Y79" s="42">
        <v>499.73023062619956</v>
      </c>
    </row>
    <row r="80" spans="3:69" x14ac:dyDescent="0.15">
      <c r="C80" s="2" t="s">
        <v>2100</v>
      </c>
      <c r="F80" s="5"/>
      <c r="W80" s="96"/>
      <c r="X80" s="5">
        <v>528.55687778939728</v>
      </c>
      <c r="Y80" s="42">
        <v>503.17968984604948</v>
      </c>
      <c r="BG80" t="s">
        <v>2420</v>
      </c>
      <c r="BH80" t="s">
        <v>2463</v>
      </c>
      <c r="BJ80" t="s">
        <v>2421</v>
      </c>
      <c r="BK80" t="s">
        <v>2464</v>
      </c>
      <c r="BM80" t="s">
        <v>2336</v>
      </c>
      <c r="BN80" t="s">
        <v>2464</v>
      </c>
      <c r="BP80" t="s">
        <v>2405</v>
      </c>
      <c r="BQ80" t="s">
        <v>2464</v>
      </c>
    </row>
    <row r="81" spans="3:73" ht="15" x14ac:dyDescent="0.15">
      <c r="F81" s="5"/>
      <c r="W81" s="46"/>
      <c r="X81" s="209">
        <v>551.9146958158334</v>
      </c>
      <c r="Y81" s="974">
        <v>503.04986857377685</v>
      </c>
      <c r="BG81" t="s">
        <v>2177</v>
      </c>
      <c r="BJ81" t="s">
        <v>2177</v>
      </c>
      <c r="BM81" t="s">
        <v>2177</v>
      </c>
      <c r="BP81" t="s">
        <v>2177</v>
      </c>
    </row>
    <row r="82" spans="3:73" x14ac:dyDescent="0.15">
      <c r="C82" t="s">
        <v>2101</v>
      </c>
      <c r="F82" s="5"/>
      <c r="H82" t="b">
        <f>IF(W9&gt;10.01,FALSE,TRUE)</f>
        <v>1</v>
      </c>
      <c r="BG82" s="4" t="s">
        <v>4</v>
      </c>
      <c r="BH82" s="4" t="s">
        <v>5</v>
      </c>
      <c r="BJ82" s="4" t="s">
        <v>4</v>
      </c>
      <c r="BK82" s="4" t="s">
        <v>5</v>
      </c>
      <c r="BM82" s="4" t="s">
        <v>4</v>
      </c>
      <c r="BN82" s="4" t="s">
        <v>5</v>
      </c>
      <c r="BP82" s="4" t="s">
        <v>4</v>
      </c>
      <c r="BQ82" s="4" t="s">
        <v>5</v>
      </c>
    </row>
    <row r="83" spans="3:73" x14ac:dyDescent="0.15">
      <c r="C83" t="s">
        <v>2102</v>
      </c>
      <c r="H83" t="b">
        <f>IF(W9&lt;2,FALSE,TRUE)</f>
        <v>1</v>
      </c>
      <c r="W83" s="74"/>
      <c r="X83" s="344" t="s">
        <v>13</v>
      </c>
      <c r="Y83" s="277" t="s">
        <v>49</v>
      </c>
      <c r="BG83" s="1071">
        <f>'C5 LÄM-1'!S64</f>
        <v>55.029316266739983</v>
      </c>
      <c r="BH83" s="1072">
        <f>'C5 LÄM-1'!Q64</f>
        <v>1.6981040587097147</v>
      </c>
      <c r="BJ83" s="1071">
        <f>'C5 LÄM-2'!S64</f>
        <v>84.104006919282924</v>
      </c>
      <c r="BK83" s="1072">
        <f>'C5 LÄM-2'!Q64</f>
        <v>1.6735322658708449</v>
      </c>
      <c r="BM83" s="1071">
        <f>'C5 JÄ-1'!AF74</f>
        <v>79.197860524137553</v>
      </c>
      <c r="BN83" s="1072">
        <f>'C5 JÄ-1'!AD74</f>
        <v>1.7179772051600481</v>
      </c>
      <c r="BP83" s="1071">
        <f>'C5 JÄ-2'!AF74</f>
        <v>104.93797839694815</v>
      </c>
      <c r="BQ83" s="1072">
        <f>'C5 JÄ-2'!AD74</f>
        <v>1.7095261012783656</v>
      </c>
    </row>
    <row r="84" spans="3:73" x14ac:dyDescent="0.15">
      <c r="C84" t="s">
        <v>2103</v>
      </c>
      <c r="H84" t="b">
        <f>IF(L3&gt;500,FALSE,TRUE)</f>
        <v>1</v>
      </c>
      <c r="W84" s="12" t="s">
        <v>411</v>
      </c>
      <c r="X84" s="42">
        <v>386.47731571014606</v>
      </c>
      <c r="Y84" s="13">
        <v>218.05587529074802</v>
      </c>
    </row>
    <row r="85" spans="3:73" x14ac:dyDescent="0.15">
      <c r="C85" t="s">
        <v>2106</v>
      </c>
      <c r="H85" t="b">
        <f>IF(J3&gt;(AC34+1),FALSE,TRUE)</f>
        <v>1</v>
      </c>
      <c r="W85" s="12"/>
      <c r="X85" s="42">
        <v>355.90538751815342</v>
      </c>
      <c r="Y85" s="13">
        <v>217.64280457984552</v>
      </c>
      <c r="BS85" s="2" t="s">
        <v>2469</v>
      </c>
    </row>
    <row r="86" spans="3:73" x14ac:dyDescent="0.15">
      <c r="C86" t="s">
        <v>2104</v>
      </c>
      <c r="H86" t="b">
        <f>IF(J3&lt;W11,FALSE,TRUE)</f>
        <v>1</v>
      </c>
      <c r="W86" s="12"/>
      <c r="X86" s="42">
        <v>292.8673076125429</v>
      </c>
      <c r="Y86" s="13">
        <v>210.05668755065179</v>
      </c>
      <c r="BM86" s="2" t="s">
        <v>2461</v>
      </c>
    </row>
    <row r="87" spans="3:73" x14ac:dyDescent="0.15">
      <c r="F87" s="5"/>
      <c r="W87" s="12"/>
      <c r="X87" s="42">
        <v>201.68191762748367</v>
      </c>
      <c r="Y87" s="13">
        <v>191.05362970131466</v>
      </c>
      <c r="BH87" s="4" t="s">
        <v>2420</v>
      </c>
      <c r="BI87" s="4" t="s">
        <v>2421</v>
      </c>
      <c r="BJ87" s="4" t="s">
        <v>2336</v>
      </c>
      <c r="BK87" s="4" t="s">
        <v>2405</v>
      </c>
      <c r="BM87" s="43" t="s">
        <v>2470</v>
      </c>
      <c r="BN87" s="44" t="s">
        <v>2420</v>
      </c>
      <c r="BO87" s="45" t="s">
        <v>2421</v>
      </c>
      <c r="BP87" s="43" t="s">
        <v>2470</v>
      </c>
      <c r="BQ87" s="44" t="s">
        <v>2336</v>
      </c>
      <c r="BR87" s="45" t="s">
        <v>2405</v>
      </c>
      <c r="BS87" s="43" t="s">
        <v>2471</v>
      </c>
      <c r="BT87" s="45" t="s">
        <v>2472</v>
      </c>
      <c r="BU87" s="630" t="s">
        <v>2473</v>
      </c>
    </row>
    <row r="88" spans="3:73" x14ac:dyDescent="0.15">
      <c r="C88" s="2" t="s">
        <v>2107</v>
      </c>
      <c r="F88" s="5"/>
      <c r="H88" s="2" t="b">
        <f>IF(AND(H82,H83,H84,H85,H86),TRUE,FALSE)</f>
        <v>1</v>
      </c>
      <c r="W88" s="12"/>
      <c r="X88" s="42">
        <v>93.238346141265808</v>
      </c>
      <c r="Y88" s="13">
        <v>155.45689299810556</v>
      </c>
      <c r="BG88">
        <v>50</v>
      </c>
      <c r="BH88" s="5">
        <f>$BG$83*($BG88/1000)^$BH$83</f>
        <v>0.33986762810880661</v>
      </c>
      <c r="BI88" s="5">
        <f>$BJ$83*($BG88/1000)^$BK$83</f>
        <v>0.55911482852964756</v>
      </c>
      <c r="BJ88" s="5">
        <f>$BM$83*($BG88/1000)^$BN$83</f>
        <v>0.46086483715979149</v>
      </c>
      <c r="BK88" s="5">
        <f>$BP$83*($BG88/1000)^$BQ$83</f>
        <v>0.62630799731999864</v>
      </c>
      <c r="BM88" s="17">
        <f>-BH88</f>
        <v>-0.33986762810880661</v>
      </c>
      <c r="BN88" s="4">
        <v>0</v>
      </c>
      <c r="BO88" s="13">
        <f t="shared" ref="BO88:BO95" si="42">BI88-BH88</f>
        <v>0.21924720042084095</v>
      </c>
      <c r="BP88" s="458">
        <v>0</v>
      </c>
      <c r="BQ88" s="5">
        <f t="shared" ref="BQ88:BR95" si="43">BJ88</f>
        <v>0.46086483715979149</v>
      </c>
      <c r="BR88" s="13">
        <f t="shared" si="43"/>
        <v>0.62630799731999864</v>
      </c>
      <c r="BS88" s="17">
        <f>INDEX(BM88:BO88,1,MATCH($BJ$99,$BM$87:$BO$87,0))</f>
        <v>-0.33986762810880661</v>
      </c>
      <c r="BT88" s="17">
        <f>INDEX(BP88:BR88,1,MATCH($BJ$100,$BP$87:$BR$87,0))</f>
        <v>0</v>
      </c>
      <c r="BU88" s="1347">
        <f>BS88+BT88</f>
        <v>-0.33986762810880661</v>
      </c>
    </row>
    <row r="89" spans="3:73" x14ac:dyDescent="0.15">
      <c r="F89" s="5"/>
      <c r="W89" s="14"/>
      <c r="X89" s="974">
        <v>68.604450793153305</v>
      </c>
      <c r="Y89" s="15">
        <v>143.2885911431818</v>
      </c>
      <c r="BG89">
        <v>100</v>
      </c>
      <c r="BH89" s="5">
        <f t="shared" ref="BH89:BH95" si="44">$BG$83*($BG89/1000)^$BH$83</f>
        <v>1.1027829885067084</v>
      </c>
      <c r="BI89" s="5">
        <f t="shared" ref="BI89:BI95" si="45">$BJ$83*($BG89/1000)^$BK$83</f>
        <v>1.7835464370385046</v>
      </c>
      <c r="BJ89" s="5">
        <f t="shared" ref="BJ89:BJ95" si="46">$BM$83*($BG89/1000)^$BN$83</f>
        <v>1.5161293126530746</v>
      </c>
      <c r="BK89" s="5">
        <f t="shared" ref="BK89:BK95" si="47">$BP$83*($BG89/1000)^$BQ$83</f>
        <v>2.048361441708078</v>
      </c>
      <c r="BM89" s="17">
        <f t="shared" ref="BM89:BM95" si="48">-BH89</f>
        <v>-1.1027829885067084</v>
      </c>
      <c r="BN89" s="4">
        <v>0</v>
      </c>
      <c r="BO89" s="13">
        <f t="shared" si="42"/>
        <v>0.68076344853179616</v>
      </c>
      <c r="BP89" s="458">
        <v>0</v>
      </c>
      <c r="BQ89" s="5">
        <f t="shared" si="43"/>
        <v>1.5161293126530746</v>
      </c>
      <c r="BR89" s="13">
        <f t="shared" si="43"/>
        <v>2.048361441708078</v>
      </c>
      <c r="BS89" s="17">
        <f t="shared" ref="BS89:BS95" si="49">INDEX(BM89:BO89,1,MATCH($BJ$99,$BM$87:$BO$87,0))</f>
        <v>-1.1027829885067084</v>
      </c>
      <c r="BT89" s="17">
        <f t="shared" ref="BT89:BT95" si="50">INDEX(BP89:BR89,1,MATCH($BJ$100,$BP$87:$BR$87,0))</f>
        <v>0</v>
      </c>
      <c r="BU89" s="1347">
        <f t="shared" ref="BU89:BU95" si="51">BS89+BT89</f>
        <v>-1.1027829885067084</v>
      </c>
    </row>
    <row r="90" spans="3:73" x14ac:dyDescent="0.15">
      <c r="C90" t="s">
        <v>2105</v>
      </c>
      <c r="F90" s="5"/>
      <c r="H90" t="b">
        <f>IF(AND(W9&lt;=10.01,J3&lt;=(AC34+1),J3&gt;=W11),TRUE,FALSE)</f>
        <v>1</v>
      </c>
      <c r="X90" s="5"/>
      <c r="Y90" s="5"/>
      <c r="BG90">
        <v>150</v>
      </c>
      <c r="BH90" s="5">
        <f t="shared" si="44"/>
        <v>2.1953882717493856</v>
      </c>
      <c r="BI90" s="5">
        <f t="shared" si="45"/>
        <v>3.5154329985555046</v>
      </c>
      <c r="BJ90" s="5">
        <f t="shared" si="46"/>
        <v>3.042685140249684</v>
      </c>
      <c r="BK90" s="5">
        <f t="shared" si="47"/>
        <v>4.0967474839365581</v>
      </c>
      <c r="BM90" s="17">
        <f t="shared" si="48"/>
        <v>-2.1953882717493856</v>
      </c>
      <c r="BN90" s="4">
        <v>0</v>
      </c>
      <c r="BO90" s="13">
        <f t="shared" si="42"/>
        <v>1.3200447268061191</v>
      </c>
      <c r="BP90" s="458">
        <v>0</v>
      </c>
      <c r="BQ90" s="5">
        <f t="shared" si="43"/>
        <v>3.042685140249684</v>
      </c>
      <c r="BR90" s="13">
        <f t="shared" si="43"/>
        <v>4.0967474839365581</v>
      </c>
      <c r="BS90" s="17">
        <f t="shared" si="49"/>
        <v>-2.1953882717493856</v>
      </c>
      <c r="BT90" s="17">
        <f t="shared" si="50"/>
        <v>0</v>
      </c>
      <c r="BU90" s="1347">
        <f t="shared" si="51"/>
        <v>-2.1953882717493856</v>
      </c>
    </row>
    <row r="91" spans="3:73" x14ac:dyDescent="0.15">
      <c r="F91" s="5"/>
      <c r="W91" s="74"/>
      <c r="X91" s="344" t="s">
        <v>13</v>
      </c>
      <c r="Y91" s="277" t="s">
        <v>49</v>
      </c>
      <c r="BG91">
        <v>200</v>
      </c>
      <c r="BH91" s="5">
        <f t="shared" si="44"/>
        <v>3.5782469972410822</v>
      </c>
      <c r="BI91" s="5">
        <f t="shared" si="45"/>
        <v>5.6894178633004495</v>
      </c>
      <c r="BJ91" s="5">
        <f t="shared" si="46"/>
        <v>4.9876838225540183</v>
      </c>
      <c r="BK91" s="5">
        <f t="shared" si="47"/>
        <v>6.699235222654595</v>
      </c>
      <c r="BM91" s="17">
        <f t="shared" si="48"/>
        <v>-3.5782469972410822</v>
      </c>
      <c r="BN91" s="4">
        <v>0</v>
      </c>
      <c r="BO91" s="13">
        <f t="shared" si="42"/>
        <v>2.1111708660593673</v>
      </c>
      <c r="BP91" s="458">
        <v>0</v>
      </c>
      <c r="BQ91" s="5">
        <f t="shared" si="43"/>
        <v>4.9876838225540183</v>
      </c>
      <c r="BR91" s="13">
        <f t="shared" si="43"/>
        <v>6.699235222654595</v>
      </c>
      <c r="BS91" s="17">
        <f t="shared" si="49"/>
        <v>-3.5782469972410822</v>
      </c>
      <c r="BT91" s="17">
        <f t="shared" si="50"/>
        <v>0</v>
      </c>
      <c r="BU91" s="1347">
        <f t="shared" si="51"/>
        <v>-3.5782469972410822</v>
      </c>
    </row>
    <row r="92" spans="3:73" x14ac:dyDescent="0.15">
      <c r="F92" s="5"/>
      <c r="W92" s="12" t="s">
        <v>409</v>
      </c>
      <c r="X92" s="42">
        <v>53.292289119833931</v>
      </c>
      <c r="Y92" s="13">
        <v>55.971420297200829</v>
      </c>
      <c r="BG92">
        <v>300</v>
      </c>
      <c r="BH92" s="5">
        <f t="shared" si="44"/>
        <v>7.1234699601260143</v>
      </c>
      <c r="BI92" s="5">
        <f t="shared" si="45"/>
        <v>11.214043483178321</v>
      </c>
      <c r="BJ92" s="5">
        <f t="shared" si="46"/>
        <v>10.009668254874946</v>
      </c>
      <c r="BK92" s="5">
        <f t="shared" si="47"/>
        <v>13.398550902141373</v>
      </c>
      <c r="BM92" s="17">
        <f t="shared" si="48"/>
        <v>-7.1234699601260143</v>
      </c>
      <c r="BN92" s="4">
        <v>0</v>
      </c>
      <c r="BO92" s="13">
        <f t="shared" si="42"/>
        <v>4.0905735230523064</v>
      </c>
      <c r="BP92" s="458">
        <v>0</v>
      </c>
      <c r="BQ92" s="5">
        <f t="shared" si="43"/>
        <v>10.009668254874946</v>
      </c>
      <c r="BR92" s="13">
        <f t="shared" si="43"/>
        <v>13.398550902141373</v>
      </c>
      <c r="BS92" s="17">
        <f t="shared" si="49"/>
        <v>-7.1234699601260143</v>
      </c>
      <c r="BT92" s="17">
        <f t="shared" si="50"/>
        <v>0</v>
      </c>
      <c r="BU92" s="1347">
        <f t="shared" si="51"/>
        <v>-7.1234699601260143</v>
      </c>
    </row>
    <row r="93" spans="3:73" x14ac:dyDescent="0.15">
      <c r="F93" s="5"/>
      <c r="W93" s="12"/>
      <c r="X93" s="42">
        <v>104.21651001085566</v>
      </c>
      <c r="Y93" s="13">
        <v>63.723843132930966</v>
      </c>
      <c r="BG93">
        <v>400</v>
      </c>
      <c r="BH93" s="5">
        <f t="shared" si="44"/>
        <v>11.610490646580137</v>
      </c>
      <c r="BI93" s="5">
        <f t="shared" si="45"/>
        <v>18.148939074998388</v>
      </c>
      <c r="BJ93" s="5">
        <f t="shared" si="46"/>
        <v>16.408224355371658</v>
      </c>
      <c r="BK93" s="5">
        <f t="shared" si="47"/>
        <v>21.910074879671551</v>
      </c>
      <c r="BM93" s="17">
        <f t="shared" si="48"/>
        <v>-11.610490646580137</v>
      </c>
      <c r="BN93" s="4">
        <v>0</v>
      </c>
      <c r="BO93" s="13">
        <f t="shared" si="42"/>
        <v>6.5384484284182509</v>
      </c>
      <c r="BP93" s="458">
        <v>0</v>
      </c>
      <c r="BQ93" s="5">
        <f t="shared" si="43"/>
        <v>16.408224355371658</v>
      </c>
      <c r="BR93" s="13">
        <f t="shared" si="43"/>
        <v>21.910074879671551</v>
      </c>
      <c r="BS93" s="17">
        <f t="shared" si="49"/>
        <v>-11.610490646580137</v>
      </c>
      <c r="BT93" s="17">
        <f t="shared" si="50"/>
        <v>0</v>
      </c>
      <c r="BU93" s="1347">
        <f t="shared" si="51"/>
        <v>-11.610490646580137</v>
      </c>
    </row>
    <row r="94" spans="3:73" x14ac:dyDescent="0.15">
      <c r="C94" s="2" t="s">
        <v>2114</v>
      </c>
      <c r="F94" s="5"/>
      <c r="W94" s="12"/>
      <c r="X94" s="42">
        <v>167.5410329672066</v>
      </c>
      <c r="Y94" s="13">
        <v>71.321981885103696</v>
      </c>
      <c r="BG94">
        <v>500</v>
      </c>
      <c r="BH94" s="5">
        <f t="shared" si="44"/>
        <v>16.959531830783696</v>
      </c>
      <c r="BI94" s="5">
        <f t="shared" si="45"/>
        <v>26.36533393849389</v>
      </c>
      <c r="BJ94" s="5">
        <f t="shared" si="46"/>
        <v>24.074139843645685</v>
      </c>
      <c r="BK94" s="5">
        <f t="shared" si="47"/>
        <v>32.085887653595307</v>
      </c>
      <c r="BM94" s="17">
        <f t="shared" si="48"/>
        <v>-16.959531830783696</v>
      </c>
      <c r="BN94" s="4">
        <v>0</v>
      </c>
      <c r="BO94" s="13">
        <f t="shared" si="42"/>
        <v>9.4058021077101941</v>
      </c>
      <c r="BP94" s="458">
        <v>0</v>
      </c>
      <c r="BQ94" s="5">
        <f t="shared" si="43"/>
        <v>24.074139843645685</v>
      </c>
      <c r="BR94" s="13">
        <f t="shared" si="43"/>
        <v>32.085887653595307</v>
      </c>
      <c r="BS94" s="17">
        <f t="shared" si="49"/>
        <v>-16.959531830783696</v>
      </c>
      <c r="BT94" s="17">
        <f t="shared" si="50"/>
        <v>0</v>
      </c>
      <c r="BU94" s="1347">
        <f t="shared" si="51"/>
        <v>-16.959531830783696</v>
      </c>
    </row>
    <row r="95" spans="3:73" x14ac:dyDescent="0.15">
      <c r="F95" s="5"/>
      <c r="W95" s="14"/>
      <c r="X95" s="974">
        <v>216.84638045748369</v>
      </c>
      <c r="Y95" s="15">
        <v>75.281589498576281</v>
      </c>
      <c r="BG95">
        <v>600</v>
      </c>
      <c r="BH95" s="5">
        <f t="shared" si="44"/>
        <v>23.113826800387677</v>
      </c>
      <c r="BI95" s="5">
        <f t="shared" si="45"/>
        <v>35.772199696107698</v>
      </c>
      <c r="BJ95" s="5">
        <f t="shared" si="46"/>
        <v>32.929289083269843</v>
      </c>
      <c r="BK95" s="5">
        <f t="shared" si="47"/>
        <v>43.820412896127991</v>
      </c>
      <c r="BM95" s="18">
        <f t="shared" si="48"/>
        <v>-23.113826800387677</v>
      </c>
      <c r="BN95" s="50">
        <v>0</v>
      </c>
      <c r="BO95" s="15">
        <f t="shared" si="42"/>
        <v>12.658372895720021</v>
      </c>
      <c r="BP95" s="47">
        <v>0</v>
      </c>
      <c r="BQ95" s="209">
        <f t="shared" si="43"/>
        <v>32.929289083269843</v>
      </c>
      <c r="BR95" s="15">
        <f t="shared" si="43"/>
        <v>43.820412896127991</v>
      </c>
      <c r="BS95" s="18">
        <f t="shared" si="49"/>
        <v>-23.113826800387677</v>
      </c>
      <c r="BT95" s="18">
        <f t="shared" si="50"/>
        <v>0</v>
      </c>
      <c r="BU95" s="1348">
        <f t="shared" si="51"/>
        <v>-23.113826800387677</v>
      </c>
    </row>
    <row r="96" spans="3:73" x14ac:dyDescent="0.15">
      <c r="C96" s="2" t="s">
        <v>26</v>
      </c>
      <c r="F96" s="5"/>
      <c r="X96" s="5"/>
      <c r="Y96" s="5"/>
    </row>
    <row r="97" spans="2:6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  <c r="X97" s="5"/>
      <c r="Y97" s="5"/>
    </row>
    <row r="98" spans="2:63" x14ac:dyDescent="0.15">
      <c r="C98" s="67">
        <v>10</v>
      </c>
      <c r="D98" s="993">
        <v>12</v>
      </c>
      <c r="E98" s="993">
        <v>6</v>
      </c>
      <c r="F98" s="993">
        <v>4</v>
      </c>
      <c r="G98" s="993">
        <v>-3</v>
      </c>
      <c r="H98" s="993">
        <v>-8</v>
      </c>
      <c r="I98" s="993">
        <v>-12</v>
      </c>
      <c r="J98" s="993">
        <v>-16</v>
      </c>
      <c r="K98" s="993">
        <v>-22</v>
      </c>
      <c r="M98" s="5" cm="1">
        <f t="array" ref="M98">10*LOG10(SUM(10^((D98:K98+$AF$46:$AM$46)/10)))</f>
        <v>2.3839056127498287E-3</v>
      </c>
      <c r="X98" s="5"/>
      <c r="Y98" s="5"/>
      <c r="BG98" t="s">
        <v>2465</v>
      </c>
    </row>
    <row r="99" spans="2:63" x14ac:dyDescent="0.15">
      <c r="C99" s="67">
        <v>8</v>
      </c>
      <c r="D99" s="993">
        <v>10</v>
      </c>
      <c r="E99" s="993">
        <v>5</v>
      </c>
      <c r="F99" s="993">
        <v>4</v>
      </c>
      <c r="G99" s="993">
        <v>-1</v>
      </c>
      <c r="H99" s="993">
        <v>-10</v>
      </c>
      <c r="I99" s="993">
        <v>-14</v>
      </c>
      <c r="J99" s="993">
        <v>-19</v>
      </c>
      <c r="K99" s="993">
        <v>-24</v>
      </c>
      <c r="M99" s="5" cm="1">
        <f t="array" ref="M99">10*LOG10(SUM(10^((D99:K99+$AF$46:$AM$46)/10)))</f>
        <v>-1.7693079713103398E-4</v>
      </c>
      <c r="BG99" t="s">
        <v>2467</v>
      </c>
      <c r="BH99">
        <f>'C5 Lämmitys'!N8</f>
        <v>2</v>
      </c>
      <c r="BJ99" t="str">
        <f>IF(BH99=3,"LÄM-1",IF(BH99=4,"LÄM-2","Ei patteria"))</f>
        <v>Ei patteria</v>
      </c>
    </row>
    <row r="100" spans="2:63" x14ac:dyDescent="0.15">
      <c r="C100" s="67">
        <v>6</v>
      </c>
      <c r="D100" s="993">
        <v>11</v>
      </c>
      <c r="E100" s="993">
        <v>9</v>
      </c>
      <c r="F100" s="993">
        <v>3</v>
      </c>
      <c r="G100" s="993">
        <v>-1</v>
      </c>
      <c r="H100" s="993">
        <v>-9</v>
      </c>
      <c r="I100" s="993">
        <v>-14</v>
      </c>
      <c r="J100" s="993">
        <v>-20</v>
      </c>
      <c r="K100" s="993">
        <v>-23</v>
      </c>
      <c r="M100" s="5" cm="1">
        <f t="array" ref="M100">10*LOG10(SUM(10^((D100:K100+$AF$46:$AM$46)/10)))</f>
        <v>0.3167067333659252</v>
      </c>
      <c r="BG100" t="s">
        <v>2468</v>
      </c>
      <c r="BH100">
        <f>'C5 Jäähdytys'!N8</f>
        <v>1</v>
      </c>
      <c r="BJ100" t="str">
        <f>IF(BH100=2,"JÄ-1",IF(BH100=3,"JÄ-2",IF(BH100=4,"JÄ-1","Ei patteria")))</f>
        <v>Ei patteria</v>
      </c>
      <c r="BK100" t="b">
        <f>IF(BH100=4,"Suorahöyrystyspatteri valiituna,käytetään JÄ-1 painehäviötä")</f>
        <v>0</v>
      </c>
    </row>
    <row r="101" spans="2:63" x14ac:dyDescent="0.15">
      <c r="C101" s="996">
        <v>5</v>
      </c>
      <c r="D101" s="995">
        <f>AVERAGE(D100,D102)</f>
        <v>11</v>
      </c>
      <c r="E101" s="995">
        <f t="shared" ref="E101:K101" si="52">AVERAGE(E100,E102)</f>
        <v>11</v>
      </c>
      <c r="F101" s="995">
        <f t="shared" si="52"/>
        <v>2</v>
      </c>
      <c r="G101" s="995">
        <f t="shared" si="52"/>
        <v>-2.5</v>
      </c>
      <c r="H101" s="995">
        <f t="shared" si="52"/>
        <v>-10</v>
      </c>
      <c r="I101" s="995">
        <f t="shared" si="52"/>
        <v>-17</v>
      </c>
      <c r="J101" s="995">
        <f t="shared" si="52"/>
        <v>-21.5</v>
      </c>
      <c r="K101" s="995">
        <f t="shared" si="52"/>
        <v>-23.5</v>
      </c>
      <c r="M101" s="5" cm="1">
        <f t="array" ref="M101">10*LOG10(SUM(10^((D101:K101+$AF$46:$AM$46)/10)))</f>
        <v>-0.15094245340075138</v>
      </c>
    </row>
    <row r="102" spans="2:63" x14ac:dyDescent="0.15">
      <c r="C102" s="67">
        <v>4</v>
      </c>
      <c r="D102" s="993">
        <v>11</v>
      </c>
      <c r="E102" s="993">
        <v>13</v>
      </c>
      <c r="F102" s="993">
        <v>1</v>
      </c>
      <c r="G102" s="993">
        <v>-4</v>
      </c>
      <c r="H102" s="993">
        <v>-11</v>
      </c>
      <c r="I102" s="993">
        <v>-20</v>
      </c>
      <c r="J102" s="993">
        <v>-23</v>
      </c>
      <c r="K102" s="993">
        <v>-24</v>
      </c>
      <c r="M102" s="5" cm="1">
        <f t="array" ref="M102">10*LOG10(SUM(10^((D102:K102+$AF$46:$AM$46)/10)))</f>
        <v>-5.9822700748835056E-2</v>
      </c>
    </row>
    <row r="103" spans="2:63" x14ac:dyDescent="0.15">
      <c r="BG103" s="2" t="s">
        <v>2461</v>
      </c>
    </row>
    <row r="104" spans="2:63" x14ac:dyDescent="0.15">
      <c r="B104" t="s">
        <v>1150</v>
      </c>
      <c r="C104" s="994">
        <f>W9</f>
        <v>7.7263330467075084</v>
      </c>
      <c r="BH104" t="s">
        <v>2474</v>
      </c>
    </row>
    <row r="105" spans="2:63" x14ac:dyDescent="0.15">
      <c r="B105" t="s">
        <v>2115</v>
      </c>
      <c r="C105" s="992" cm="1">
        <f t="array" ref="C105">INDEX(C98:C102, MATCH(MIN(ABS($C$98:$C$102-$C$104)), ABS($C$98:$C$102-$C$104), 0))</f>
        <v>8</v>
      </c>
      <c r="D105" s="992" cm="1">
        <f t="array" ref="D105">INDEX(D98:D102, MATCH(MIN(ABS($C$98:$C$102-$C$104)), ABS($C$98:$C$102-$C$104), 0))</f>
        <v>10</v>
      </c>
      <c r="E105" s="992" cm="1">
        <f t="array" ref="E105">INDEX(E98:E102, MATCH(MIN(ABS($C$98:$C$102-$C$104)), ABS($C$98:$C$102-$C$104), 0))</f>
        <v>5</v>
      </c>
      <c r="F105" s="992" cm="1">
        <f t="array" ref="F105">INDEX(F98:F102, MATCH(MIN(ABS($C$98:$C$102-$C$104)), ABS($C$98:$C$102-$C$104), 0))</f>
        <v>4</v>
      </c>
      <c r="G105" s="992" cm="1">
        <f t="array" ref="G105">INDEX(G98:G102, MATCH(MIN(ABS($C$98:$C$102-$C$104)), ABS($C$98:$C$102-$C$104), 0))</f>
        <v>-1</v>
      </c>
      <c r="H105" s="992" cm="1">
        <f t="array" ref="H105">INDEX(H98:H102, MATCH(MIN(ABS($C$98:$C$102-$C$104)), ABS($C$98:$C$102-$C$104), 0))</f>
        <v>-10</v>
      </c>
      <c r="I105" s="992" cm="1">
        <f t="array" ref="I105">INDEX(I98:I102, MATCH(MIN(ABS($C$98:$C$102-$C$104)), ABS($C$98:$C$102-$C$104), 0))</f>
        <v>-14</v>
      </c>
      <c r="J105" s="992" cm="1">
        <f t="array" ref="J105">INDEX(J98:J102, MATCH(MIN(ABS($C$98:$C$102-$C$104)), ABS($C$98:$C$102-$C$104), 0))</f>
        <v>-19</v>
      </c>
      <c r="K105" s="992" cm="1">
        <f t="array" ref="K105">INDEX(K98:K102, MATCH(MIN(ABS($C$98:$C$102-$C$104)), ABS($C$98:$C$102-$C$104), 0))</f>
        <v>-24</v>
      </c>
      <c r="BG105" s="2" t="s">
        <v>2476</v>
      </c>
      <c r="BH105" s="1350">
        <f t="array" ref="BH105:BJ105">LINEST(BU88:BU95,BG88:BG95^{1,2})</f>
        <v>-4.7271163723694699E-5</v>
      </c>
      <c r="BI105" s="937">
        <v>-1.1012929728047214E-2</v>
      </c>
      <c r="BJ105" s="1349">
        <v>0.43808391658495349</v>
      </c>
    </row>
    <row r="107" spans="2:63" x14ac:dyDescent="0.15">
      <c r="C107" s="2" t="s">
        <v>29</v>
      </c>
      <c r="F107" s="5"/>
    </row>
    <row r="108" spans="2:63" x14ac:dyDescent="0.15">
      <c r="C108" s="630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  <c r="BG108" s="2" t="s">
        <v>2475</v>
      </c>
    </row>
    <row r="109" spans="2:63" x14ac:dyDescent="0.15">
      <c r="C109" s="975">
        <v>10</v>
      </c>
      <c r="D109" s="993">
        <v>0</v>
      </c>
      <c r="E109" s="993">
        <v>-5</v>
      </c>
      <c r="F109" s="993">
        <v>2</v>
      </c>
      <c r="G109" s="993">
        <v>-5</v>
      </c>
      <c r="H109" s="993">
        <v>-7</v>
      </c>
      <c r="I109" s="993">
        <v>-7</v>
      </c>
      <c r="J109" s="993">
        <v>-13</v>
      </c>
      <c r="K109" s="993">
        <v>-13</v>
      </c>
      <c r="M109" s="5" cm="1">
        <f t="array" ref="M109">10*LOG10(SUM(10^((D109:K109+$AF$46:$AM$46)/10)))</f>
        <v>-0.24638570841819124</v>
      </c>
      <c r="BG109" s="2" t="s">
        <v>102</v>
      </c>
      <c r="BH109" s="1351">
        <f>BH71-BH$105</f>
        <v>-1.7827017451941536E-3</v>
      </c>
      <c r="BI109" s="1351">
        <f t="shared" ref="BI109:BJ109" si="53">BI71-BI$105</f>
        <v>-0.72537191294995595</v>
      </c>
      <c r="BJ109" s="1352">
        <f t="shared" si="53"/>
        <v>1262.6488301242487</v>
      </c>
    </row>
    <row r="110" spans="2:63" x14ac:dyDescent="0.15">
      <c r="C110" s="67">
        <v>8</v>
      </c>
      <c r="D110" s="993">
        <v>0</v>
      </c>
      <c r="E110" s="993">
        <v>-4</v>
      </c>
      <c r="F110" s="993">
        <v>4</v>
      </c>
      <c r="G110" s="993">
        <v>-4</v>
      </c>
      <c r="H110" s="993">
        <v>-7</v>
      </c>
      <c r="I110" s="993">
        <v>-8</v>
      </c>
      <c r="J110" s="993">
        <v>-14</v>
      </c>
      <c r="K110" s="993">
        <v>-14</v>
      </c>
      <c r="M110" s="5" cm="1">
        <f t="array" ref="M110">10*LOG10(SUM(10^((D110:K110+$AF$46:$AM$46)/10)))</f>
        <v>0.16586976664670883</v>
      </c>
      <c r="BG110" s="2" t="s">
        <v>404</v>
      </c>
      <c r="BH110" s="1351">
        <f t="shared" ref="BH110:BJ112" si="54">BH72-BH$105</f>
        <v>-1.7362668362548646E-3</v>
      </c>
      <c r="BI110" s="1351">
        <f t="shared" si="54"/>
        <v>-0.35710857762427684</v>
      </c>
      <c r="BJ110" s="1352">
        <f t="shared" si="54"/>
        <v>817.93481216188411</v>
      </c>
    </row>
    <row r="111" spans="2:63" x14ac:dyDescent="0.15">
      <c r="C111" s="67">
        <v>6</v>
      </c>
      <c r="D111" s="993">
        <v>2</v>
      </c>
      <c r="E111" s="993">
        <v>2</v>
      </c>
      <c r="F111" s="993">
        <v>4</v>
      </c>
      <c r="G111" s="993">
        <v>-6</v>
      </c>
      <c r="H111" s="993">
        <v>-6</v>
      </c>
      <c r="I111" s="993">
        <v>-8</v>
      </c>
      <c r="J111" s="993">
        <v>-15</v>
      </c>
      <c r="K111" s="993">
        <v>-14</v>
      </c>
      <c r="M111" s="5" cm="1">
        <f t="array" ref="M111">10*LOG10(SUM(10^((D111:K111+$AF$46:$AM$46)/10)))</f>
        <v>0.17242764890498599</v>
      </c>
      <c r="BG111" s="2" t="s">
        <v>405</v>
      </c>
      <c r="BH111" s="1351">
        <f t="shared" si="54"/>
        <v>-1.7936284336822238E-3</v>
      </c>
      <c r="BI111" s="1351">
        <f t="shared" si="54"/>
        <v>-0.26648010771432618</v>
      </c>
      <c r="BJ111" s="1352">
        <f t="shared" si="54"/>
        <v>435.99566937245618</v>
      </c>
    </row>
    <row r="112" spans="2:63" x14ac:dyDescent="0.15">
      <c r="C112" s="996">
        <v>5</v>
      </c>
      <c r="D112" s="995">
        <f>AVERAGE(D111,D113)</f>
        <v>5</v>
      </c>
      <c r="E112" s="995">
        <f t="shared" ref="E112:K112" si="55">AVERAGE(E111,E113)</f>
        <v>5</v>
      </c>
      <c r="F112" s="995">
        <f t="shared" si="55"/>
        <v>2.5</v>
      </c>
      <c r="G112" s="995">
        <f t="shared" si="55"/>
        <v>-5.5</v>
      </c>
      <c r="H112" s="995">
        <f t="shared" si="55"/>
        <v>-5.5</v>
      </c>
      <c r="I112" s="995">
        <f t="shared" si="55"/>
        <v>-8.5</v>
      </c>
      <c r="J112" s="995">
        <f t="shared" si="55"/>
        <v>-16</v>
      </c>
      <c r="K112" s="995">
        <f t="shared" si="55"/>
        <v>-19</v>
      </c>
      <c r="M112" s="5" cm="1">
        <f t="array" ref="M112">10*LOG10(SUM(10^((D112:K112+$AF$46:$AM$46)/10)))</f>
        <v>-0.10986554696745297</v>
      </c>
      <c r="BG112" s="2" t="s">
        <v>406</v>
      </c>
      <c r="BH112" s="1351">
        <f t="shared" si="54"/>
        <v>-1.3766293765868252E-3</v>
      </c>
      <c r="BI112" s="1351">
        <f t="shared" si="54"/>
        <v>-0.38862228789241399</v>
      </c>
      <c r="BJ112" s="1352">
        <f t="shared" si="54"/>
        <v>201.73486406255401</v>
      </c>
    </row>
    <row r="113" spans="2:13" x14ac:dyDescent="0.15">
      <c r="C113" s="67">
        <v>4</v>
      </c>
      <c r="D113" s="993">
        <v>8</v>
      </c>
      <c r="E113" s="993">
        <v>8</v>
      </c>
      <c r="F113" s="993">
        <v>1</v>
      </c>
      <c r="G113" s="993">
        <v>-5</v>
      </c>
      <c r="H113" s="993">
        <v>-5</v>
      </c>
      <c r="I113" s="993">
        <v>-9</v>
      </c>
      <c r="J113" s="993">
        <v>-17</v>
      </c>
      <c r="K113" s="993">
        <v>-24</v>
      </c>
      <c r="M113" s="5" cm="1">
        <f t="array" ref="M113">10*LOG10(SUM(10^((D113:K113+$AF$46:$AM$46)/10)))</f>
        <v>2.4032810307105319E-2</v>
      </c>
    </row>
    <row r="115" spans="2:13" x14ac:dyDescent="0.15">
      <c r="B115" t="s">
        <v>1150</v>
      </c>
      <c r="C115" s="994">
        <f>W9</f>
        <v>7.7263330467075084</v>
      </c>
    </row>
    <row r="116" spans="2:13" x14ac:dyDescent="0.15">
      <c r="B116" t="s">
        <v>2115</v>
      </c>
      <c r="C116" s="992" cm="1">
        <f t="array" ref="C116">INDEX(C109:C113, MATCH(MIN(ABS($C$109:$C$113-$C$115)), ABS($C$109:$C$113-$C$115), 0))</f>
        <v>8</v>
      </c>
      <c r="D116" s="992" cm="1">
        <f t="array" ref="D116">INDEX(D109:D113, MATCH(MIN(ABS($C$109:$C$113-$C$115)), ABS($C$109:$C$113-$C$115), 0))</f>
        <v>0</v>
      </c>
      <c r="E116" s="992" cm="1">
        <f t="array" ref="E116">INDEX(E109:E113, MATCH(MIN(ABS($C$109:$C$113-$C$115)), ABS($C$109:$C$113-$C$115), 0))</f>
        <v>-4</v>
      </c>
      <c r="F116" s="992" cm="1">
        <f t="array" ref="F116">INDEX(F109:F113, MATCH(MIN(ABS($C$109:$C$113-$C$115)), ABS($C$109:$C$113-$C$115), 0))</f>
        <v>4</v>
      </c>
      <c r="G116" s="992" cm="1">
        <f t="array" ref="G116">INDEX(G109:G113, MATCH(MIN(ABS($C$109:$C$113-$C$115)), ABS($C$109:$C$113-$C$115), 0))</f>
        <v>-4</v>
      </c>
      <c r="H116" s="992" cm="1">
        <f t="array" ref="H116">INDEX(H109:H113, MATCH(MIN(ABS($C$109:$C$113-$C$115)), ABS($C$109:$C$113-$C$115), 0))</f>
        <v>-7</v>
      </c>
      <c r="I116" s="992" cm="1">
        <f t="array" ref="I116">INDEX(I109:I113, MATCH(MIN(ABS($C$109:$C$113-$C$115)), ABS($C$109:$C$113-$C$115), 0))</f>
        <v>-8</v>
      </c>
      <c r="J116" s="992" cm="1">
        <f t="array" ref="J116">INDEX(J109:J113, MATCH(MIN(ABS($C$109:$C$113-$C$115)), ABS($C$109:$C$113-$C$115), 0))</f>
        <v>-14</v>
      </c>
      <c r="K116" s="992" cm="1">
        <f t="array" ref="K116">INDEX(K109:K113, MATCH(MIN(ABS($C$109:$C$113-$C$115)), ABS($C$109:$C$113-$C$115), 0))</f>
        <v>-14</v>
      </c>
    </row>
  </sheetData>
  <phoneticPr fontId="92" type="noConversion"/>
  <conditionalFormatting sqref="C109">
    <cfRule type="expression" priority="1">
      <formula>C109=INDEX(C109:C113, MATCH(MIN(ABS($C$109:$C$113-$C$115)), ABS($C$109:$C$113-$C$115), 0))</formula>
    </cfRule>
  </conditionalFormatting>
  <conditionalFormatting sqref="H82:H86 H88 H90">
    <cfRule type="cellIs" dxfId="70" priority="4" operator="equal">
      <formula>FALSE</formula>
    </cfRule>
    <cfRule type="cellIs" dxfId="69" priority="5" operator="equal">
      <formula>TRUE</formula>
    </cfRule>
  </conditionalFormatting>
  <conditionalFormatting sqref="W10">
    <cfRule type="cellIs" dxfId="68" priority="2" operator="equal">
      <formula>FALSE</formula>
    </cfRule>
    <cfRule type="cellIs" dxfId="67" priority="3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88F5D-32E0-41C3-A8C7-0A95AB7453DE}">
  <dimension ref="B2:BQ116"/>
  <sheetViews>
    <sheetView topLeftCell="AA1" zoomScaleNormal="100" workbookViewId="0">
      <selection activeCell="AS6" sqref="AS6"/>
    </sheetView>
  </sheetViews>
  <sheetFormatPr baseColWidth="10" defaultColWidth="8.83203125" defaultRowHeight="13" x14ac:dyDescent="0.15"/>
  <cols>
    <col min="4" max="4" width="10.5" customWidth="1"/>
    <col min="5" max="5" width="10.6640625" bestFit="1" customWidth="1"/>
    <col min="7" max="7" width="10.5" customWidth="1"/>
    <col min="8" max="8" width="8.6640625" customWidth="1"/>
    <col min="9" max="11" width="9" bestFit="1" customWidth="1"/>
    <col min="16" max="16" width="10.83203125" customWidth="1"/>
    <col min="17" max="17" width="13.33203125" bestFit="1" customWidth="1"/>
    <col min="18" max="18" width="12.6640625" bestFit="1" customWidth="1"/>
    <col min="19" max="19" width="9.1640625" bestFit="1" customWidth="1"/>
    <col min="20" max="20" width="9" bestFit="1" customWidth="1"/>
    <col min="22" max="22" width="18.5" customWidth="1"/>
    <col min="25" max="25" width="10" customWidth="1"/>
  </cols>
  <sheetData>
    <row r="2" spans="3:69" x14ac:dyDescent="0.15">
      <c r="C2" s="2" t="s">
        <v>59</v>
      </c>
      <c r="J2" t="s">
        <v>15</v>
      </c>
      <c r="P2" s="2" t="s">
        <v>2044</v>
      </c>
      <c r="BG2" s="2" t="s">
        <v>2169</v>
      </c>
    </row>
    <row r="3" spans="3:69" x14ac:dyDescent="0.15">
      <c r="J3" s="852">
        <f>'C-series'!G33</f>
        <v>500</v>
      </c>
      <c r="K3" t="s">
        <v>13</v>
      </c>
      <c r="L3" s="122">
        <f>'C-series'!G44</f>
        <v>149</v>
      </c>
      <c r="M3" t="s">
        <v>14</v>
      </c>
      <c r="P3" s="2" t="s">
        <v>34</v>
      </c>
      <c r="AA3" s="2" t="s">
        <v>53</v>
      </c>
      <c r="AQ3" s="2" t="s">
        <v>2143</v>
      </c>
    </row>
    <row r="4" spans="3:69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52">
        <f t="array" ref="P5:Q5">LINEST(AF34:AF37,LN(AC34:AC37))</f>
        <v>18.996437302011987</v>
      </c>
      <c r="Q5" s="52">
        <v>-63.113693077747222</v>
      </c>
      <c r="R5" t="s">
        <v>8</v>
      </c>
      <c r="T5" s="4"/>
      <c r="U5" s="39" t="s">
        <v>43</v>
      </c>
      <c r="V5" t="s">
        <v>8</v>
      </c>
      <c r="W5" s="9">
        <f>$P$5*LN($J$3)+$Q$5</f>
        <v>54.941720020505876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Q5" s="2" t="s">
        <v>2139</v>
      </c>
      <c r="BG5" t="s">
        <v>2171</v>
      </c>
      <c r="BQ5" t="str">
        <f>BJ7</f>
        <v>ePM 65% F7</v>
      </c>
    </row>
    <row r="6" spans="3:69" x14ac:dyDescent="0.15">
      <c r="C6" s="2" t="s">
        <v>3</v>
      </c>
      <c r="D6" s="1"/>
      <c r="E6" s="1"/>
      <c r="H6" s="1"/>
      <c r="P6" s="52">
        <f t="array" ref="P6:Q6">LINEST(AG34:AG37,LN(AC34:AC37))</f>
        <v>22.606788531091702</v>
      </c>
      <c r="Q6" s="52">
        <v>-67.104098205449958</v>
      </c>
      <c r="R6" t="s">
        <v>57</v>
      </c>
      <c r="T6" s="4"/>
      <c r="U6" s="39" t="s">
        <v>43</v>
      </c>
      <c r="V6" t="s">
        <v>57</v>
      </c>
      <c r="W6" s="9">
        <f>$P$6*LN($J$3)+$Q$6</f>
        <v>73.38823287919044</v>
      </c>
      <c r="X6" t="s">
        <v>31</v>
      </c>
      <c r="AA6" s="55">
        <v>25</v>
      </c>
      <c r="AB6" s="56">
        <f t="shared" ref="AB6:AB12" si="0">(-$D$9-SQRT($D$9^2-(4*$C$9*($E$9-AA6))))/(2*$C$9)</f>
        <v>704.41515202349137</v>
      </c>
      <c r="AC6" s="55">
        <v>20</v>
      </c>
      <c r="AD6" s="57">
        <f t="shared" ref="AD6:AD12" si="1">(-$D$14-SQRT($D$14^2-(4*$C$14*($E$14-AC6))))/(2*$C$14)</f>
        <v>635.13108472623696</v>
      </c>
      <c r="AE6" s="55">
        <v>10</v>
      </c>
      <c r="AF6" s="57">
        <f t="shared" ref="AF6:AF11" si="2">(-$D$19-SQRT($D$19^2-(4*$C$19*($E$19-AE6))))/(2*$C$19)</f>
        <v>461.46618744473108</v>
      </c>
      <c r="AG6" s="56">
        <v>10</v>
      </c>
      <c r="AH6" s="57">
        <f>(-$D$24-SQRT($D$24^2-(4*$C$24*($E$24-AG6))))/(2*$C$24)</f>
        <v>281.0750747137705</v>
      </c>
      <c r="AQ6" t="s">
        <v>2136</v>
      </c>
      <c r="AR6" t="s">
        <v>2140</v>
      </c>
      <c r="AS6" s="2">
        <v>5.8254866197285675E-3</v>
      </c>
      <c r="AT6" s="2">
        <v>1.4330461584284022</v>
      </c>
      <c r="AU6" s="2"/>
      <c r="BQ6" t="str">
        <f>BM7</f>
        <v>ePM10 50% M5</v>
      </c>
    </row>
    <row r="7" spans="3:69" x14ac:dyDescent="0.15">
      <c r="C7" t="s">
        <v>11</v>
      </c>
      <c r="D7" s="1"/>
      <c r="E7" s="1"/>
      <c r="H7" s="1"/>
      <c r="P7" s="2" t="s">
        <v>2045</v>
      </c>
      <c r="T7" s="4"/>
      <c r="U7" s="5"/>
      <c r="AA7" s="55">
        <v>100</v>
      </c>
      <c r="AB7" s="56">
        <f t="shared" si="0"/>
        <v>672.63936045835271</v>
      </c>
      <c r="AC7" s="55">
        <v>50</v>
      </c>
      <c r="AD7" s="57">
        <f t="shared" si="1"/>
        <v>621.13721586741849</v>
      </c>
      <c r="AE7" s="55">
        <v>50</v>
      </c>
      <c r="AF7" s="57">
        <f t="shared" si="2"/>
        <v>436.22652389115092</v>
      </c>
      <c r="AG7" s="56">
        <v>20</v>
      </c>
      <c r="AH7" s="57">
        <f>(-$D$24-SQRT($D$24^2-(4*$C$24*($E$24-AG7))))/(2*$C$24)</f>
        <v>271.66904546375156</v>
      </c>
      <c r="AQ7" t="s">
        <v>2137</v>
      </c>
      <c r="AR7" t="s">
        <v>2141</v>
      </c>
      <c r="AS7" s="2">
        <v>3.0952870539800134E-4</v>
      </c>
      <c r="AT7" s="2">
        <v>0.24577882900128553</v>
      </c>
      <c r="AU7" s="2">
        <v>-5.8216285630685718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629.33063615244953</v>
      </c>
      <c r="AC8" s="55">
        <v>100</v>
      </c>
      <c r="AD8" s="57">
        <f t="shared" si="1"/>
        <v>597.24546096540359</v>
      </c>
      <c r="AE8" s="55">
        <v>90</v>
      </c>
      <c r="AF8" s="57">
        <f t="shared" si="2"/>
        <v>409.75018913868513</v>
      </c>
      <c r="AG8" s="56">
        <v>40</v>
      </c>
      <c r="AH8" s="57">
        <f>(-$D$24-SQRT($D$24^2-(4*$C$24*($E$24-AG8))))/(2*$C$24)</f>
        <v>252.08070997899338</v>
      </c>
      <c r="AQ8" t="s">
        <v>2138</v>
      </c>
      <c r="AR8" t="s">
        <v>2140</v>
      </c>
      <c r="AS8" s="2">
        <v>4.4457167216743412E-4</v>
      </c>
      <c r="AT8" s="2">
        <v>2</v>
      </c>
      <c r="AU8" s="2"/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8">
        <f>BH71</f>
        <v>-6.8301423740325744E-4</v>
      </c>
      <c r="D9" s="8">
        <f t="shared" ref="D9:E9" si="3">BI71</f>
        <v>-1.4197395479369237</v>
      </c>
      <c r="E9" s="8">
        <f t="shared" si="3"/>
        <v>1363.9981965746949</v>
      </c>
      <c r="H9" s="2"/>
      <c r="P9" t="s">
        <v>415</v>
      </c>
      <c r="Q9" s="52">
        <f t="array" ref="Q9:R9">LINEST(AC35:AC37,U35:U37)</f>
        <v>75.421553833994679</v>
      </c>
      <c r="R9" s="52">
        <v>-47.955914925019613</v>
      </c>
      <c r="T9" s="111">
        <f>(J3-R9)/Q9</f>
        <v>7.2652429851960978</v>
      </c>
      <c r="U9" s="39" t="s">
        <v>42</v>
      </c>
      <c r="V9" t="s">
        <v>58</v>
      </c>
      <c r="W9" s="125">
        <f>IF($J$3&gt;$AJ$35,AVERAGE(T10,T10,T10,T10,T11),AVERAGE(T9))</f>
        <v>7.2652429851960978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584.86750063882482</v>
      </c>
      <c r="AC9" s="55">
        <v>150</v>
      </c>
      <c r="AD9" s="57">
        <f t="shared" si="1"/>
        <v>572.58309106524268</v>
      </c>
      <c r="AE9" s="55">
        <v>130</v>
      </c>
      <c r="AF9" s="57">
        <f t="shared" si="2"/>
        <v>381.83535666879976</v>
      </c>
      <c r="AG9" s="56">
        <v>60</v>
      </c>
      <c r="AH9" s="57">
        <f>(-$D$24-SQRT($D$24^2-(4*$C$24*($E$24-AG9))))/(2*$C$24)</f>
        <v>231.29830588165899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16.162425860609726</v>
      </c>
      <c r="R10" s="52">
        <v>455.7466728487525</v>
      </c>
      <c r="T10" s="111">
        <f>(J3-R10)/Q10</f>
        <v>2.7380374414647464</v>
      </c>
      <c r="W10" s="2" t="b">
        <f>H88</f>
        <v>1</v>
      </c>
      <c r="AA10" s="55">
        <v>400</v>
      </c>
      <c r="AB10" s="56">
        <f t="shared" si="0"/>
        <v>539.1524029239863</v>
      </c>
      <c r="AC10" s="55">
        <v>170</v>
      </c>
      <c r="AD10" s="57">
        <f t="shared" si="1"/>
        <v>562.48496374942363</v>
      </c>
      <c r="AE10" s="55">
        <v>170</v>
      </c>
      <c r="AF10" s="57">
        <f t="shared" si="2"/>
        <v>352.21848586327883</v>
      </c>
      <c r="AG10" s="56">
        <v>160</v>
      </c>
      <c r="AH10" s="57">
        <f>(-$D$24-SQRT($D$24^2-(4*$C$24*($E$24-AG10))))/(2*$C$24)</f>
        <v>95.104674324430036</v>
      </c>
      <c r="AQ10" t="s">
        <v>2136</v>
      </c>
      <c r="AR10" s="110">
        <f>AS6*$J$3^AT6</f>
        <v>42.961635442258981</v>
      </c>
      <c r="AS10" t="s">
        <v>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2.0755748007083381E-5</v>
      </c>
      <c r="R11" s="7">
        <v>-2.4236865285491927E-3</v>
      </c>
      <c r="S11" s="7">
        <v>3.347646155899338</v>
      </c>
      <c r="T11" s="111">
        <f>Q11*J3^2+R11*J3+S11</f>
        <v>7.3247398933955861</v>
      </c>
      <c r="V11" t="s">
        <v>348</v>
      </c>
      <c r="W11" s="294">
        <v>100</v>
      </c>
      <c r="X11" t="s">
        <v>13</v>
      </c>
      <c r="AA11" s="55">
        <v>500</v>
      </c>
      <c r="AB11" s="56">
        <f t="shared" si="0"/>
        <v>492.07322645236565</v>
      </c>
      <c r="AC11" s="55">
        <v>190</v>
      </c>
      <c r="AD11" s="57">
        <f t="shared" si="1"/>
        <v>552.24522324859129</v>
      </c>
      <c r="AE11" s="55">
        <v>330</v>
      </c>
      <c r="AF11" s="57">
        <f t="shared" si="2"/>
        <v>206.76262174494295</v>
      </c>
      <c r="AG11" s="56"/>
      <c r="AH11" s="57"/>
      <c r="AQ11" t="s">
        <v>2137</v>
      </c>
      <c r="AR11" s="110">
        <f>AS7*$J$3^2+AT7*$J$3+AU7</f>
        <v>194.44996228707456</v>
      </c>
      <c r="AS11" t="s">
        <v>14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530</v>
      </c>
      <c r="AB12" s="59">
        <f t="shared" si="0"/>
        <v>477.66458782780904</v>
      </c>
      <c r="AC12" s="58">
        <v>510</v>
      </c>
      <c r="AD12" s="60">
        <f t="shared" si="1"/>
        <v>362.1499176804237</v>
      </c>
      <c r="AE12" s="58"/>
      <c r="AF12" s="60"/>
      <c r="AG12" s="59"/>
      <c r="AH12" s="60"/>
      <c r="AQ12" t="s">
        <v>2138</v>
      </c>
      <c r="AR12" s="110">
        <f>AS8*$J$3^AT8</f>
        <v>111.14291804185854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58</v>
      </c>
      <c r="W13" s="295">
        <f>P20</f>
        <v>401.74482016316426</v>
      </c>
      <c r="X13" t="s">
        <v>49</v>
      </c>
      <c r="Y13" s="129" t="s">
        <v>414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8">
        <f>BH72</f>
        <v>-1.3467856279693324E-3</v>
      </c>
      <c r="D14" s="8">
        <f t="shared" ref="D14:E14" si="4">BI72</f>
        <v>-0.45187190188011217</v>
      </c>
      <c r="E14" s="8">
        <f t="shared" si="4"/>
        <v>850.27975882063606</v>
      </c>
      <c r="H14" s="2"/>
      <c r="O14" t="s">
        <v>412</v>
      </c>
      <c r="P14" s="51">
        <f t="array" ref="P14:R14">LINEST(AE34:AE37,AC34:AC37^{1,2})</f>
        <v>3.4707847766090559E-3</v>
      </c>
      <c r="Q14" s="51">
        <v>-1.2760183799139295</v>
      </c>
      <c r="R14" s="51">
        <v>178.87418119696679</v>
      </c>
      <c r="V14" t="s">
        <v>2108</v>
      </c>
      <c r="W14" s="296">
        <f>IF(W13&gt;Y14,Y14,W13)</f>
        <v>401.74482016316426</v>
      </c>
      <c r="X14" t="s">
        <v>49</v>
      </c>
      <c r="Y14" s="129">
        <v>725</v>
      </c>
      <c r="Z14" t="s">
        <v>49</v>
      </c>
      <c r="AQ14" t="s">
        <v>2142</v>
      </c>
      <c r="AR14" s="3">
        <f>L3+AR10+AR11+AR12</f>
        <v>497.55451577119203</v>
      </c>
      <c r="AS14" t="s">
        <v>14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3.1291153218640141E-6</v>
      </c>
      <c r="Q15" s="7">
        <v>-5.9120971516658609E-4</v>
      </c>
      <c r="R15" s="7">
        <v>0.38885510697142212</v>
      </c>
      <c r="S15" s="7">
        <v>-34.036084993003897</v>
      </c>
      <c r="BJ15" s="5">
        <v>483.29235357810359</v>
      </c>
      <c r="BK15" s="5">
        <v>69.11699999999999</v>
      </c>
      <c r="BM15" s="5"/>
      <c r="BN15" s="5"/>
    </row>
    <row r="16" spans="3:69" x14ac:dyDescent="0.15">
      <c r="C16" s="2" t="s">
        <v>411</v>
      </c>
      <c r="D16" s="1"/>
      <c r="E16" s="1"/>
      <c r="H16" s="1"/>
      <c r="BJ16" s="5">
        <v>528.55687778939728</v>
      </c>
      <c r="BK16" s="5">
        <v>77.183000000000007</v>
      </c>
      <c r="BM16" s="4"/>
      <c r="BN16" s="4"/>
    </row>
    <row r="17" spans="3:67" x14ac:dyDescent="0.15">
      <c r="C17" t="s">
        <v>11</v>
      </c>
      <c r="D17" s="1"/>
      <c r="E17" s="1"/>
      <c r="H17" s="1"/>
      <c r="O17" t="s">
        <v>412</v>
      </c>
      <c r="P17" s="3">
        <f>$P$14*J3^2+$Q$14*J3+$R$14</f>
        <v>408.561185392266</v>
      </c>
      <c r="Q17" t="s">
        <v>49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403.72845493406243</v>
      </c>
      <c r="Q18" t="s">
        <v>49</v>
      </c>
      <c r="BG18" t="s">
        <v>2177</v>
      </c>
    </row>
    <row r="19" spans="3:67" x14ac:dyDescent="0.15">
      <c r="C19" s="8">
        <f>BH73</f>
        <v>-1.4313567830471533E-3</v>
      </c>
      <c r="D19" s="8">
        <f t="shared" ref="D19:E19" si="5">BI73</f>
        <v>-0.29988862772525232</v>
      </c>
      <c r="E19" s="8">
        <f t="shared" si="5"/>
        <v>453.197380339603</v>
      </c>
      <c r="O19" t="s">
        <v>419</v>
      </c>
      <c r="P19" s="3">
        <f>AVERAGE(P17:P18)</f>
        <v>406.14482016316424</v>
      </c>
      <c r="Q19" t="s">
        <v>49</v>
      </c>
      <c r="AB19" s="6"/>
      <c r="AC19" s="6"/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3">
        <f>P19-'Laskenta tulopuoli C5'!W17</f>
        <v>401.74482016316426</v>
      </c>
      <c r="Q20" t="s">
        <v>2110</v>
      </c>
      <c r="AB20" s="6"/>
      <c r="AC20" s="6"/>
      <c r="BG20" s="1071">
        <f>EXP(BI20)</f>
        <v>5.077577934597171E-2</v>
      </c>
      <c r="BH20" s="1072">
        <f t="array" ref="BH20:BI20">LINEST(LN(BH9:BH13),LN(BG9:BG13))</f>
        <v>1.2376148039531605</v>
      </c>
      <c r="BI20">
        <v>-2.9803358226237009</v>
      </c>
      <c r="BJ20" s="1071">
        <f>EXP(BL20)</f>
        <v>8.5932881129601388E-2</v>
      </c>
      <c r="BK20" s="1072">
        <f t="array" ref="BK20:BL20">LINEST(LN(BK9:BK17),LN(BJ9:BJ17))</f>
        <v>1.0825496613839145</v>
      </c>
      <c r="BL20">
        <v>-2.4541887394212081</v>
      </c>
      <c r="BM20" s="1071">
        <f>EXP(BO20)</f>
        <v>9.2006285223235479E-3</v>
      </c>
      <c r="BN20" s="1072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AB21" s="6"/>
      <c r="AC21" s="6"/>
    </row>
    <row r="22" spans="3:67" x14ac:dyDescent="0.15">
      <c r="C22" t="s">
        <v>11</v>
      </c>
      <c r="D22" s="1"/>
      <c r="E22" s="1"/>
      <c r="H22" s="1"/>
      <c r="AB22" s="6"/>
      <c r="AC22" s="6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BG23" s="110">
        <f>J3</f>
        <v>500</v>
      </c>
      <c r="BH23" t="s">
        <v>13</v>
      </c>
    </row>
    <row r="24" spans="3:67" x14ac:dyDescent="0.15">
      <c r="C24" s="8">
        <f>BH74</f>
        <v>-1.4531125513772114E-3</v>
      </c>
      <c r="D24" s="8">
        <f t="shared" ref="D24:E24" si="6">BI74</f>
        <v>-0.25994845527652749</v>
      </c>
      <c r="E24" s="8">
        <f t="shared" si="6"/>
        <v>197.86556955691194</v>
      </c>
      <c r="H24" s="1"/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5.9599999999999996E-4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koodit'!$F$12)</f>
        <v>ePM 85% F8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75.421553833994679</v>
      </c>
      <c r="AX33" s="52">
        <f>R9</f>
        <v>-47.955914925019613</v>
      </c>
      <c r="AZ33" s="111">
        <f>(AO36-AX33)/AW33</f>
        <v>7.5967132178967631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-6.8301423740325744E-4</v>
      </c>
      <c r="W34" s="99">
        <f>D9</f>
        <v>-1.4197395479369237</v>
      </c>
      <c r="X34" s="100">
        <f>E9</f>
        <v>1363.9981965746949</v>
      </c>
      <c r="Y34" s="36">
        <f>C9-U29</f>
        <v>-1.2790142374032574E-3</v>
      </c>
      <c r="Z34" s="28">
        <f>(-W34+SQRT(W34^2-(4*Y34*X34)))/(2*Y34)</f>
        <v>-1727.3973146008079</v>
      </c>
      <c r="AA34" s="29">
        <f>(-W34-SQRT(W34^2-(4*Y34*X34)))/(2*Y34)</f>
        <v>617.37093145484971</v>
      </c>
      <c r="AB34" s="36">
        <f>AB6</f>
        <v>704.41515202349137</v>
      </c>
      <c r="AC34" s="53">
        <f>IF(Z34&lt;0,AA34,IF(Z34&gt;AB34,AA34,Z34))</f>
        <v>617.37093145484971</v>
      </c>
      <c r="AD34" s="53">
        <f>V34*AC34^2+W34*AC34+X34</f>
        <v>227.16353273523532</v>
      </c>
      <c r="AE34" s="53">
        <f>X51*AC34^2+Y51*AC34+Z51</f>
        <v>717.00300962803965</v>
      </c>
      <c r="AF34" s="53">
        <f>AVERAGE(K60,K60,K62)</f>
        <v>58.921427225462942</v>
      </c>
      <c r="AG34" s="53">
        <f>AVERAGE(U60,U60,U62)</f>
        <v>77.83042019826182</v>
      </c>
      <c r="AI34">
        <v>10</v>
      </c>
      <c r="AJ34" s="3">
        <f>AC34</f>
        <v>617.37093145484971</v>
      </c>
      <c r="AL34">
        <f>AN52*AC34^2+AO52*AC34+AP52</f>
        <v>0</v>
      </c>
      <c r="AM34" t="s">
        <v>14</v>
      </c>
      <c r="AO34" s="618">
        <f>AC34/$J$3-1</f>
        <v>0.23474186290969934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7">Q10</f>
        <v>16.162425860609726</v>
      </c>
      <c r="AX34" s="52">
        <f t="shared" si="7"/>
        <v>455.7466728487525</v>
      </c>
      <c r="AZ34" s="111">
        <f>(AO36-AX34)/AW34</f>
        <v>4.2848349467160327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2180</v>
      </c>
    </row>
    <row r="35" spans="21:67" x14ac:dyDescent="0.15">
      <c r="U35" s="35">
        <v>8</v>
      </c>
      <c r="V35" s="98">
        <f>C14</f>
        <v>-1.3467856279693324E-3</v>
      </c>
      <c r="W35" s="99">
        <f>D14</f>
        <v>-0.45187190188011217</v>
      </c>
      <c r="X35" s="100">
        <f>E14</f>
        <v>850.27975882063606</v>
      </c>
      <c r="Y35" s="36">
        <f>C14-U29</f>
        <v>-1.9427856279693324E-3</v>
      </c>
      <c r="Z35" s="28">
        <f t="shared" ref="Z35:Z37" si="8">(-W35+SQRT(W35^2-(4*Y35*X35)))/(2*Y35)</f>
        <v>-787.99760092606391</v>
      </c>
      <c r="AA35" s="29">
        <f t="shared" ref="AA35:AA37" si="9">(-W35-SQRT(W35^2-(4*Y35*X35)))/(2*Y35)</f>
        <v>555.40791353352108</v>
      </c>
      <c r="AB35" s="36">
        <f>AD6</f>
        <v>635.13108472623696</v>
      </c>
      <c r="AC35" s="53">
        <f t="shared" ref="AC35:AC37" si="10">IF(Z35&lt;0,AA35,IF(Z35&gt;AB35,AA35,Z35))</f>
        <v>555.40791353352108</v>
      </c>
      <c r="AD35" s="53">
        <f>V35*AC35^2+W35*AC35+X35</f>
        <v>183.85285844773284</v>
      </c>
      <c r="AE35" s="53">
        <f t="shared" ref="AE35:AE37" si="11">X52*AC35^2+Y52*AC35+Z52</f>
        <v>535.6767113227038</v>
      </c>
      <c r="AF35" s="53">
        <f>AVERAGE(K65,K65,K67)</f>
        <v>56.805776139352474</v>
      </c>
      <c r="AG35" s="53">
        <f>AVERAGE(U65,U65,U67)</f>
        <v>75.607677195622259</v>
      </c>
      <c r="AI35">
        <v>8.5</v>
      </c>
      <c r="AJ35" s="3">
        <f>Q9*AI35+R9</f>
        <v>593.12729266393512</v>
      </c>
      <c r="AL35">
        <f t="shared" ref="AL35:AL37" si="12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7"/>
        <v>2.0755748007083381E-5</v>
      </c>
      <c r="AX35" s="52">
        <f t="shared" si="7"/>
        <v>-2.4236865285491927E-3</v>
      </c>
      <c r="AY35" s="52">
        <f t="shared" si="7"/>
        <v>3.347646155899338</v>
      </c>
      <c r="AZ35" s="111">
        <f>AW35*AO36^2+AX35*AO36+AY35</f>
        <v>7.7960137728633683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BJ35-BH35</f>
        <v>-5.057058167252519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-1.4313567830471533E-3</v>
      </c>
      <c r="W36" s="99">
        <f>D19</f>
        <v>-0.29988862772525232</v>
      </c>
      <c r="X36" s="100">
        <f>E19</f>
        <v>453.197380339603</v>
      </c>
      <c r="Y36" s="36">
        <f>C19-U29</f>
        <v>-2.0273567830471533E-3</v>
      </c>
      <c r="Z36" s="28">
        <f t="shared" si="8"/>
        <v>-552.51160511691705</v>
      </c>
      <c r="AA36" s="29">
        <f t="shared" si="9"/>
        <v>404.59061250578213</v>
      </c>
      <c r="AB36" s="36">
        <f>AF6</f>
        <v>461.46618744473108</v>
      </c>
      <c r="AC36" s="53">
        <f t="shared" si="10"/>
        <v>404.59061250578213</v>
      </c>
      <c r="AD36" s="53">
        <f>V36*AC36^2+W36*AC36+X36</f>
        <v>97.56136398177108</v>
      </c>
      <c r="AE36" s="53">
        <f t="shared" si="11"/>
        <v>233.75161641824178</v>
      </c>
      <c r="AF36" s="53">
        <f>AVERAGE(K70,K70,K72)</f>
        <v>51.191191689196408</v>
      </c>
      <c r="AG36" s="53">
        <f>AVERAGE(U70,U70,U72)</f>
        <v>69.48304794930074</v>
      </c>
      <c r="AI36">
        <v>8</v>
      </c>
      <c r="AJ36" s="3">
        <f>AC35</f>
        <v>555.40791353352108</v>
      </c>
      <c r="AL36">
        <f t="shared" si="12"/>
        <v>0</v>
      </c>
      <c r="AM36" t="s">
        <v>14</v>
      </c>
      <c r="AO36" s="611">
        <f>TuloksetC!$CS$16</f>
        <v>525</v>
      </c>
      <c r="AP36" t="s">
        <v>13</v>
      </c>
      <c r="AR36" s="619">
        <f>IF($AO$36&gt;$AJ$35,AVERAGE(AZ34,AZ34,AZ34,AZ34,AZ35),AVERAGE(AZ33))</f>
        <v>7.5967132178967631</v>
      </c>
      <c r="AS36" t="s">
        <v>25</v>
      </c>
      <c r="BG36" s="4">
        <v>100</v>
      </c>
      <c r="BH36" s="5">
        <f t="shared" ref="BH36:BH42" si="13">$BG$20*BG36^$BH$20</f>
        <v>15.166529211639332</v>
      </c>
      <c r="BI36" s="5">
        <f t="shared" ref="BI36:BI42" si="14">$BJ$20*BG36^$BK$20</f>
        <v>12.567783644775107</v>
      </c>
      <c r="BJ36" s="5">
        <f t="shared" ref="BJ36:BJ42" si="15">$BM$20*BG36^$BN$20</f>
        <v>3.3377974383929478</v>
      </c>
      <c r="BL36" s="5">
        <f t="shared" ref="BL36:BL42" si="16">BJ36-BH36</f>
        <v>-11.828731773246385</v>
      </c>
      <c r="BM36" s="5">
        <f t="shared" ref="BM36:BM42" si="17">BJ36-BI36</f>
        <v>-9.2299862063821578</v>
      </c>
    </row>
    <row r="37" spans="21:67" x14ac:dyDescent="0.15">
      <c r="U37" s="38">
        <v>4</v>
      </c>
      <c r="V37" s="101">
        <f>C24</f>
        <v>-1.4531125513772114E-3</v>
      </c>
      <c r="W37" s="102">
        <f>D24</f>
        <v>-0.25994845527652749</v>
      </c>
      <c r="X37" s="103">
        <f>E24</f>
        <v>197.86556955691194</v>
      </c>
      <c r="Y37" s="37">
        <f>C24-U29</f>
        <v>-2.0491125513772113E-3</v>
      </c>
      <c r="Z37" s="30">
        <f t="shared" si="8"/>
        <v>-380.58074022615898</v>
      </c>
      <c r="AA37" s="31">
        <f t="shared" si="9"/>
        <v>253.72169819754239</v>
      </c>
      <c r="AB37" s="37">
        <f>AH6</f>
        <v>281.0750747137705</v>
      </c>
      <c r="AC37" s="53">
        <f t="shared" si="10"/>
        <v>253.72169819754239</v>
      </c>
      <c r="AD37" s="53">
        <f>V37*AC37^2+W37*AC37+X37</f>
        <v>38.367321281201924</v>
      </c>
      <c r="AE37" s="53">
        <f t="shared" si="11"/>
        <v>77.674593582349658</v>
      </c>
      <c r="AF37" s="53">
        <f>AVERAGE(K75,K75,K77)</f>
        <v>41.941759779311163</v>
      </c>
      <c r="AG37" s="53">
        <f>AVERAGE(U75,U75,U77)</f>
        <v>57.652192824355836</v>
      </c>
      <c r="AI37">
        <v>6</v>
      </c>
      <c r="AJ37" s="3">
        <f t="shared" ref="AJ37:AJ38" si="18">AC36</f>
        <v>404.59061250578213</v>
      </c>
      <c r="AL37">
        <f t="shared" si="12"/>
        <v>0</v>
      </c>
      <c r="AM37" t="s">
        <v>14</v>
      </c>
      <c r="AO37" s="611">
        <f>TuloksetC!$CS$17</f>
        <v>164.27249999999998</v>
      </c>
      <c r="AP37" t="s">
        <v>14</v>
      </c>
      <c r="BG37" s="4">
        <v>150</v>
      </c>
      <c r="BH37" s="5">
        <f t="shared" si="13"/>
        <v>25.050670523054098</v>
      </c>
      <c r="BI37" s="5">
        <f t="shared" si="14"/>
        <v>19.493338689080041</v>
      </c>
      <c r="BJ37" s="5">
        <f t="shared" si="15"/>
        <v>5.6082234704753633</v>
      </c>
      <c r="BL37" s="5">
        <f t="shared" si="16"/>
        <v>-19.442447052578736</v>
      </c>
      <c r="BM37" s="5">
        <f t="shared" si="17"/>
        <v>-13.885115218604678</v>
      </c>
    </row>
    <row r="38" spans="21:67" x14ac:dyDescent="0.15">
      <c r="AI38">
        <v>4</v>
      </c>
      <c r="AJ38" s="3">
        <f t="shared" si="18"/>
        <v>253.72169819754239</v>
      </c>
      <c r="BG38" s="4">
        <v>200</v>
      </c>
      <c r="BH38" s="5">
        <f t="shared" si="13"/>
        <v>35.763942254962934</v>
      </c>
      <c r="BI38" s="5">
        <f t="shared" si="14"/>
        <v>26.615744299285648</v>
      </c>
      <c r="BJ38" s="5">
        <f t="shared" si="15"/>
        <v>8.1044688891354717</v>
      </c>
      <c r="BL38" s="5">
        <f t="shared" si="16"/>
        <v>-27.659473365827463</v>
      </c>
      <c r="BM38" s="5">
        <f t="shared" si="17"/>
        <v>-18.511275410150176</v>
      </c>
    </row>
    <row r="39" spans="21:67" x14ac:dyDescent="0.15">
      <c r="BG39" s="4">
        <v>300</v>
      </c>
      <c r="BH39" s="5">
        <f t="shared" si="13"/>
        <v>59.071572772698502</v>
      </c>
      <c r="BI39" s="5">
        <f t="shared" si="14"/>
        <v>41.282515099917731</v>
      </c>
      <c r="BJ39" s="5">
        <f t="shared" si="15"/>
        <v>13.617265121298265</v>
      </c>
      <c r="BL39" s="5">
        <f t="shared" si="16"/>
        <v>-45.454307651400235</v>
      </c>
      <c r="BM39" s="5">
        <f t="shared" si="17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3"/>
        <v>84.334362052639577</v>
      </c>
      <c r="BI40" s="5">
        <f t="shared" si="14"/>
        <v>56.366171206286182</v>
      </c>
      <c r="BJ40" s="5">
        <f t="shared" si="15"/>
        <v>19.678370897962274</v>
      </c>
      <c r="BL40" s="5">
        <f t="shared" si="16"/>
        <v>-64.655991154677309</v>
      </c>
      <c r="BM40" s="5">
        <f t="shared" si="17"/>
        <v>-36.687800308323908</v>
      </c>
    </row>
    <row r="41" spans="21:67" x14ac:dyDescent="0.15">
      <c r="BG41" s="4">
        <v>500</v>
      </c>
      <c r="BH41" s="5">
        <f t="shared" si="13"/>
        <v>111.15828324448869</v>
      </c>
      <c r="BI41" s="5">
        <f t="shared" si="14"/>
        <v>71.76760232761535</v>
      </c>
      <c r="BJ41" s="5">
        <f t="shared" si="15"/>
        <v>26.182832953926539</v>
      </c>
      <c r="BL41" s="5">
        <f t="shared" si="16"/>
        <v>-84.975450290562151</v>
      </c>
      <c r="BM41" s="5">
        <f t="shared" si="17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3"/>
        <v>139.29570095255036</v>
      </c>
      <c r="BI42" s="5">
        <f t="shared" si="14"/>
        <v>87.427099080242925</v>
      </c>
      <c r="BJ42" s="5">
        <f t="shared" si="15"/>
        <v>33.063930201770098</v>
      </c>
      <c r="BL42" s="5">
        <f t="shared" si="16"/>
        <v>-106.23177075078027</v>
      </c>
      <c r="BM42" s="5">
        <f t="shared" si="17"/>
        <v>-54.363168878472827</v>
      </c>
    </row>
    <row r="43" spans="21:67" x14ac:dyDescent="0.15">
      <c r="U43" s="10" t="s">
        <v>55</v>
      </c>
      <c r="V43" s="21"/>
      <c r="W43" s="995">
        <f>D105</f>
        <v>7</v>
      </c>
      <c r="X43" s="995">
        <f t="shared" ref="X43:AD43" si="19">E105</f>
        <v>2</v>
      </c>
      <c r="Y43" s="995">
        <f t="shared" si="19"/>
        <v>5</v>
      </c>
      <c r="Z43" s="995">
        <f t="shared" si="19"/>
        <v>-2</v>
      </c>
      <c r="AA43" s="995">
        <f t="shared" si="19"/>
        <v>-8</v>
      </c>
      <c r="AB43" s="995">
        <f t="shared" si="19"/>
        <v>-12</v>
      </c>
      <c r="AC43" s="995">
        <f t="shared" si="19"/>
        <v>-16</v>
      </c>
      <c r="AD43" s="995">
        <f t="shared" si="19"/>
        <v>-24</v>
      </c>
      <c r="AE43" s="39" t="s">
        <v>42</v>
      </c>
      <c r="AF43" s="53">
        <f>$W$5+W43</f>
        <v>61.941720020505876</v>
      </c>
      <c r="AG43" s="53">
        <f t="shared" ref="AG43:AM43" si="20">$W$5+X43</f>
        <v>56.941720020505876</v>
      </c>
      <c r="AH43" s="53">
        <f t="shared" si="20"/>
        <v>59.941720020505876</v>
      </c>
      <c r="AI43" s="53">
        <f t="shared" si="20"/>
        <v>52.941720020505876</v>
      </c>
      <c r="AJ43" s="53">
        <f t="shared" si="20"/>
        <v>46.941720020505876</v>
      </c>
      <c r="AK43" s="53">
        <f t="shared" si="20"/>
        <v>42.941720020505876</v>
      </c>
      <c r="AL43" s="53">
        <f t="shared" si="20"/>
        <v>38.941720020505876</v>
      </c>
      <c r="AM43" s="53">
        <f t="shared" si="20"/>
        <v>30.941720020505876</v>
      </c>
      <c r="AN43" s="5">
        <f t="array" ref="AN43">10*LOG10(SUM(10^(AF43:AM43/10)))</f>
        <v>65.211416102077266</v>
      </c>
      <c r="AO43" s="5">
        <f t="array" ref="AO43">10*LOG10(SUM(10^((AF43:AM43+AF46:AM46)/10)))</f>
        <v>55.21854617191547</v>
      </c>
      <c r="AP43" t="str">
        <f>IF(ABS(W5-AO43)&lt;0.5,"OK","Tarkista laskenta!")</f>
        <v>OK</v>
      </c>
    </row>
    <row r="44" spans="21:67" x14ac:dyDescent="0.15">
      <c r="U44" s="14" t="s">
        <v>56</v>
      </c>
      <c r="V44" s="26"/>
      <c r="W44" s="995">
        <f t="shared" ref="W44:AD44" si="21">D116</f>
        <v>-2</v>
      </c>
      <c r="X44" s="995">
        <f t="shared" si="21"/>
        <v>-4</v>
      </c>
      <c r="Y44" s="995">
        <f t="shared" si="21"/>
        <v>4</v>
      </c>
      <c r="Z44" s="995">
        <f t="shared" si="21"/>
        <v>-5</v>
      </c>
      <c r="AA44" s="995">
        <f t="shared" si="21"/>
        <v>-7</v>
      </c>
      <c r="AB44" s="995">
        <f t="shared" si="21"/>
        <v>-8</v>
      </c>
      <c r="AC44" s="995">
        <f t="shared" si="21"/>
        <v>-15</v>
      </c>
      <c r="AD44" s="995">
        <f t="shared" si="21"/>
        <v>-15</v>
      </c>
      <c r="AE44" s="39" t="s">
        <v>43</v>
      </c>
      <c r="AF44" s="53">
        <f>$W$6+W44</f>
        <v>71.38823287919044</v>
      </c>
      <c r="AG44" s="53">
        <f t="shared" ref="AG44:AM44" si="22">$W$6+X44</f>
        <v>69.38823287919044</v>
      </c>
      <c r="AH44" s="53">
        <f t="shared" si="22"/>
        <v>77.38823287919044</v>
      </c>
      <c r="AI44" s="53">
        <f t="shared" si="22"/>
        <v>68.38823287919044</v>
      </c>
      <c r="AJ44" s="53">
        <f t="shared" si="22"/>
        <v>66.38823287919044</v>
      </c>
      <c r="AK44" s="53">
        <f t="shared" si="22"/>
        <v>65.38823287919044</v>
      </c>
      <c r="AL44" s="53">
        <f t="shared" si="22"/>
        <v>58.38823287919044</v>
      </c>
      <c r="AM44" s="53">
        <f t="shared" si="22"/>
        <v>58.38823287919044</v>
      </c>
      <c r="AN44" s="5">
        <f t="array" ref="AN44">10*LOG10(SUM(10^(AF44:AM44/10)))</f>
        <v>79.701087152007744</v>
      </c>
      <c r="AO44" s="5">
        <f t="array" ref="AO44">10*LOG10(SUM(10^((AF44:AM44+AF46:AM46)/10)))</f>
        <v>73.310199277948499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-7.3373703655586777E-5</v>
      </c>
      <c r="BN44">
        <v>-0.1376926682172436</v>
      </c>
      <c r="BO44">
        <v>2.4990399514136037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2188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62" x14ac:dyDescent="0.15">
      <c r="W49" t="s">
        <v>50</v>
      </c>
      <c r="BG49" t="s">
        <v>102</v>
      </c>
      <c r="BH49" s="8">
        <v>-6.8301423740325744E-4</v>
      </c>
      <c r="BI49" s="8">
        <v>-1.4197395479369237</v>
      </c>
      <c r="BJ49" s="8">
        <v>1363.9981965746949</v>
      </c>
    </row>
    <row r="50" spans="3:62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-1.3467856279693324E-3</v>
      </c>
      <c r="BI50" s="8">
        <v>-0.45187190188011217</v>
      </c>
      <c r="BJ50" s="8">
        <v>850.27975882063606</v>
      </c>
    </row>
    <row r="51" spans="3:62" x14ac:dyDescent="0.15">
      <c r="W51" t="s">
        <v>3</v>
      </c>
      <c r="X51" s="54">
        <f t="array" ref="X51:Z51">LINEST(Y59:Y66,X59:X66^{1,2})</f>
        <v>1.3576954476687605E-4</v>
      </c>
      <c r="Y51" s="54">
        <v>-0.16703230555825804</v>
      </c>
      <c r="Z51" s="54">
        <v>768.37576307094434</v>
      </c>
      <c r="BG51" t="s">
        <v>405</v>
      </c>
      <c r="BH51" s="8">
        <v>-1.4313567830471533E-3</v>
      </c>
      <c r="BI51" s="8">
        <v>-0.29988862772525232</v>
      </c>
      <c r="BJ51" s="8">
        <v>453.197380339603</v>
      </c>
    </row>
    <row r="52" spans="3:62" x14ac:dyDescent="0.15">
      <c r="W52" t="s">
        <v>404</v>
      </c>
      <c r="X52" s="54">
        <f t="array" ref="X52:Z52">LINEST(Y72:Y79,X72:X79^{1,2})</f>
        <v>-8.983464580922956E-4</v>
      </c>
      <c r="Y52" s="54">
        <v>0.9868554064256706</v>
      </c>
      <c r="Z52" s="54">
        <v>264.68948323602552</v>
      </c>
      <c r="BG52" t="s">
        <v>406</v>
      </c>
      <c r="BH52" s="8">
        <v>-1.4531125513772114E-3</v>
      </c>
      <c r="BI52" s="8">
        <v>-0.25994845527652749</v>
      </c>
      <c r="BJ52" s="8">
        <v>197.86556955691194</v>
      </c>
    </row>
    <row r="53" spans="3:62" x14ac:dyDescent="0.15">
      <c r="W53" t="s">
        <v>405</v>
      </c>
      <c r="X53" s="54">
        <f t="array" ref="X53:Z53">LINEST(Y82:Y87,X82:X87^{1,2})</f>
        <v>-6.3128247019436417E-4</v>
      </c>
      <c r="Y53" s="54">
        <v>0.53637858162368712</v>
      </c>
      <c r="Z53" s="54">
        <v>120.0747548091382</v>
      </c>
    </row>
    <row r="54" spans="3:62" x14ac:dyDescent="0.15">
      <c r="W54" t="s">
        <v>406</v>
      </c>
      <c r="X54" s="54">
        <f t="array" ref="X54:Z54">LINEST(Y90:Y93,X90:X93^{1,2})</f>
        <v>-3.1327165477624684E-4</v>
      </c>
      <c r="Y54" s="54">
        <v>0.19941979774704047</v>
      </c>
      <c r="Z54" s="54">
        <v>47.244232681166203</v>
      </c>
      <c r="BG54" s="2" t="s">
        <v>2189</v>
      </c>
    </row>
    <row r="55" spans="3:62" x14ac:dyDescent="0.15">
      <c r="BH55" s="4" t="s">
        <v>4</v>
      </c>
      <c r="BI55" s="4" t="s">
        <v>5</v>
      </c>
      <c r="BJ55" s="4" t="s">
        <v>6</v>
      </c>
    </row>
    <row r="56" spans="3:62" x14ac:dyDescent="0.15">
      <c r="C56" s="2" t="s">
        <v>45</v>
      </c>
      <c r="BG56" t="s">
        <v>102</v>
      </c>
      <c r="BH56" s="7">
        <f>BH49+BM$44</f>
        <v>-7.5638794105884421E-4</v>
      </c>
      <c r="BI56" s="7">
        <f t="shared" ref="BI56:BJ59" si="23">BI49+BN$44</f>
        <v>-1.5574322161541674</v>
      </c>
      <c r="BJ56" s="7">
        <f t="shared" si="23"/>
        <v>1366.4972365261085</v>
      </c>
    </row>
    <row r="57" spans="3:6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BG57" t="s">
        <v>404</v>
      </c>
      <c r="BH57" s="7">
        <f t="shared" ref="BH57:BH59" si="24">BH50+BM$44</f>
        <v>-1.4201593316249192E-3</v>
      </c>
      <c r="BI57" s="7">
        <f t="shared" si="23"/>
        <v>-0.58956457009735574</v>
      </c>
      <c r="BJ57" s="7">
        <f t="shared" si="23"/>
        <v>852.77879877204964</v>
      </c>
    </row>
    <row r="58" spans="3:62" x14ac:dyDescent="0.15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74"/>
      <c r="X58" s="345" t="s">
        <v>13</v>
      </c>
      <c r="Y58" s="277" t="s">
        <v>49</v>
      </c>
      <c r="BG58" t="s">
        <v>405</v>
      </c>
      <c r="BH58" s="7">
        <f t="shared" si="24"/>
        <v>-1.5047304867027401E-3</v>
      </c>
      <c r="BI58" s="7">
        <f t="shared" si="23"/>
        <v>-0.43758129594249595</v>
      </c>
      <c r="BJ58" s="7">
        <f t="shared" si="23"/>
        <v>455.69642029101658</v>
      </c>
    </row>
    <row r="59" spans="3:62" x14ac:dyDescent="0.15">
      <c r="C59" s="10" t="s">
        <v>3</v>
      </c>
      <c r="D59" s="67">
        <v>659.74777394030639</v>
      </c>
      <c r="E59" s="68">
        <v>59.504945869055348</v>
      </c>
      <c r="F59" s="69">
        <v>714.9979913235934</v>
      </c>
      <c r="H59" t="s">
        <v>4</v>
      </c>
      <c r="I59" t="s">
        <v>5</v>
      </c>
      <c r="K59" s="27" t="s">
        <v>424</v>
      </c>
      <c r="M59" s="10" t="s">
        <v>3</v>
      </c>
      <c r="N59" s="67">
        <v>678.37536862073512</v>
      </c>
      <c r="O59" s="68">
        <v>78.872081958332544</v>
      </c>
      <c r="P59" s="69">
        <v>728.20087693457322</v>
      </c>
      <c r="R59" t="s">
        <v>4</v>
      </c>
      <c r="S59" t="s">
        <v>5</v>
      </c>
      <c r="T59" s="24" t="s">
        <v>6</v>
      </c>
      <c r="U59" s="297" t="s">
        <v>425</v>
      </c>
      <c r="W59" s="12" t="s">
        <v>3</v>
      </c>
      <c r="X59" s="975">
        <v>674.36299626286564</v>
      </c>
      <c r="Y59" s="976">
        <v>716.49618113958047</v>
      </c>
      <c r="BG59" t="s">
        <v>406</v>
      </c>
      <c r="BH59" s="7">
        <f t="shared" si="24"/>
        <v>-1.5264862550327981E-3</v>
      </c>
      <c r="BI59" s="7">
        <f t="shared" si="23"/>
        <v>-0.39764112349377112</v>
      </c>
      <c r="BJ59" s="7">
        <f t="shared" si="23"/>
        <v>200.36460950832554</v>
      </c>
    </row>
    <row r="60" spans="3:62" x14ac:dyDescent="0.15">
      <c r="C60" s="12"/>
      <c r="D60" s="67">
        <v>568.52649588001736</v>
      </c>
      <c r="E60" s="68">
        <v>58.803978275778192</v>
      </c>
      <c r="F60" s="69">
        <v>715.46394032391845</v>
      </c>
      <c r="G60" s="129" t="s">
        <v>412</v>
      </c>
      <c r="H60" s="989">
        <f t="array" ref="H60:J60">LINEST(E59:E62,D59:D62^{1,2})</f>
        <v>1.3067985360976799E-4</v>
      </c>
      <c r="I60">
        <v>-0.15376163336495541</v>
      </c>
      <c r="J60">
        <v>104.04763149227861</v>
      </c>
      <c r="K60" s="298">
        <f>$H$60*AC34^2+$I$60*AC34+$J$60</f>
        <v>58.927885463828133</v>
      </c>
      <c r="M60" s="12"/>
      <c r="N60" s="67">
        <v>567.72716207379733</v>
      </c>
      <c r="O60" s="68">
        <v>77.457986603824793</v>
      </c>
      <c r="P60" s="69">
        <v>727.0864992547273</v>
      </c>
      <c r="Q60" s="129" t="s">
        <v>412</v>
      </c>
      <c r="R60">
        <f t="array" ref="R60:T60">LINEST(O59:O62,N59:N62^{1,2})</f>
        <v>9.9698170913017131E-5</v>
      </c>
      <c r="S60">
        <v>-0.10982000878117587</v>
      </c>
      <c r="T60" s="24">
        <v>107.53166387577123</v>
      </c>
      <c r="U60" s="84">
        <f>$R$60*AC34^2+$S$60*AC34+$T$60</f>
        <v>77.731628251825157</v>
      </c>
      <c r="W60" s="12"/>
      <c r="X60" s="67">
        <v>619.75622950943864</v>
      </c>
      <c r="Y60" s="69">
        <v>721.23941765082304</v>
      </c>
    </row>
    <row r="61" spans="3:62" x14ac:dyDescent="0.15">
      <c r="C61" s="12"/>
      <c r="D61" s="67">
        <v>489.96282161159729</v>
      </c>
      <c r="E61" s="68">
        <v>60.138959595926607</v>
      </c>
      <c r="F61" s="69">
        <v>729.97750494792933</v>
      </c>
      <c r="G61" s="129" t="s">
        <v>423</v>
      </c>
      <c r="H61" s="989">
        <f t="array" ref="H61:I61">LINEST(E59:E62,D59:D62)</f>
        <v>-1.9918095496007468E-2</v>
      </c>
      <c r="I61">
        <v>71.279774551909682</v>
      </c>
      <c r="K61" s="298">
        <f>H61*$AC$34+I61</f>
        <v>58.982921382732904</v>
      </c>
      <c r="M61" s="12"/>
      <c r="N61" s="67">
        <v>477.85861076194726</v>
      </c>
      <c r="O61" s="68">
        <v>77.682071539287904</v>
      </c>
      <c r="P61" s="69">
        <v>719.54893309002</v>
      </c>
      <c r="Q61" s="129" t="s">
        <v>420</v>
      </c>
      <c r="R61">
        <f t="array" ref="R61:S61">LINEST(O59:O62,N59:N62)</f>
        <v>-6.1803088434744325E-3</v>
      </c>
      <c r="S61">
        <v>81.946747362750301</v>
      </c>
      <c r="T61" s="24"/>
      <c r="U61" s="84">
        <f>R61*AC34+S61</f>
        <v>78.131204335375841</v>
      </c>
      <c r="W61" s="12"/>
      <c r="X61" s="67">
        <v>575.70979967708138</v>
      </c>
      <c r="Y61" s="69">
        <v>711.92594926186428</v>
      </c>
      <c r="BG61" s="2" t="s">
        <v>2190</v>
      </c>
    </row>
    <row r="62" spans="3:62" x14ac:dyDescent="0.15">
      <c r="C62" s="14"/>
      <c r="D62" s="67">
        <v>368.79959938967784</v>
      </c>
      <c r="E62" s="68">
        <v>65.101418355422581</v>
      </c>
      <c r="F62" s="69">
        <v>719.21745611223537</v>
      </c>
      <c r="G62" s="297" t="s">
        <v>462</v>
      </c>
      <c r="H62" s="990">
        <f t="array" ref="H62:I62">LINEST(E59:E62,LN(D59:D62))</f>
        <v>-10.382142610052213</v>
      </c>
      <c r="I62" s="2">
        <v>125.6186569240179</v>
      </c>
      <c r="K62" s="298">
        <f>H62*LN($AC$34)+I62</f>
        <v>58.908510748732567</v>
      </c>
      <c r="M62" s="14"/>
      <c r="N62" s="67">
        <v>361.89300280682511</v>
      </c>
      <c r="O62" s="68">
        <v>80.883626535567686</v>
      </c>
      <c r="P62" s="69">
        <v>716.01628812260503</v>
      </c>
      <c r="Q62" s="297" t="s">
        <v>462</v>
      </c>
      <c r="R62" s="2">
        <f t="array" ref="R62:S62">LINEST(O59:O62,LN(N59:N62))</f>
        <v>-3.5694831265016616</v>
      </c>
      <c r="S62" s="2">
        <v>100.96361093866454</v>
      </c>
      <c r="T62" s="24"/>
      <c r="U62" s="84">
        <f>R62*LN(AC34)+S62</f>
        <v>78.028004091135145</v>
      </c>
      <c r="W62" s="12"/>
      <c r="X62" s="67">
        <v>531.9102128639488</v>
      </c>
      <c r="Y62" s="69">
        <v>721.69185282983938</v>
      </c>
      <c r="BH62" s="4" t="s">
        <v>4</v>
      </c>
      <c r="BI62" s="4" t="s">
        <v>5</v>
      </c>
      <c r="BJ62" s="4" t="s">
        <v>6</v>
      </c>
    </row>
    <row r="63" spans="3:62" x14ac:dyDescent="0.15">
      <c r="C63" s="12"/>
      <c r="D63" s="17"/>
      <c r="E63" s="42"/>
      <c r="F63" s="13"/>
      <c r="H63" s="989"/>
      <c r="K63" s="298"/>
      <c r="M63" s="12"/>
      <c r="N63" s="17"/>
      <c r="O63" s="42"/>
      <c r="P63" s="13"/>
      <c r="T63" s="24"/>
      <c r="U63" s="3"/>
      <c r="W63" s="12"/>
      <c r="X63" s="67">
        <v>485.87360304356628</v>
      </c>
      <c r="Y63" s="69">
        <v>712.82728802907093</v>
      </c>
      <c r="BG63" t="s">
        <v>102</v>
      </c>
      <c r="BH63" s="7">
        <f>BH49+BM$45</f>
        <v>-6.8301423740325744E-4</v>
      </c>
      <c r="BI63" s="7">
        <f t="shared" ref="BI63:BJ66" si="25">BI49+BN$45</f>
        <v>-1.5103548540018359</v>
      </c>
      <c r="BJ63" s="7">
        <f t="shared" si="25"/>
        <v>1363.7392055881885</v>
      </c>
    </row>
    <row r="64" spans="3:62" x14ac:dyDescent="0.15">
      <c r="C64" s="10" t="s">
        <v>408</v>
      </c>
      <c r="D64" s="67">
        <v>593.18755608109893</v>
      </c>
      <c r="E64" s="68">
        <v>56.951001475564766</v>
      </c>
      <c r="F64" s="69">
        <v>530.99565789971041</v>
      </c>
      <c r="H64" s="989" t="s">
        <v>4</v>
      </c>
      <c r="I64" t="s">
        <v>5</v>
      </c>
      <c r="K64" s="298"/>
      <c r="M64" s="10" t="s">
        <v>408</v>
      </c>
      <c r="N64" s="67">
        <v>609.3294572190905</v>
      </c>
      <c r="O64" s="68">
        <v>76.622311352178684</v>
      </c>
      <c r="P64" s="69">
        <v>537.58094112440608</v>
      </c>
      <c r="R64" t="s">
        <v>4</v>
      </c>
      <c r="S64" t="s">
        <v>5</v>
      </c>
      <c r="T64" s="24" t="s">
        <v>6</v>
      </c>
      <c r="U64" s="3"/>
      <c r="W64" s="12"/>
      <c r="X64" s="67">
        <v>448.27724667478429</v>
      </c>
      <c r="Y64" s="69">
        <v>727.13082927200526</v>
      </c>
      <c r="BG64" t="s">
        <v>404</v>
      </c>
      <c r="BH64" s="7">
        <f t="shared" ref="BH64:BH66" si="26">BH50+BM$45</f>
        <v>-1.3467856279693324E-3</v>
      </c>
      <c r="BI64" s="7">
        <f t="shared" si="25"/>
        <v>-0.54248720794502436</v>
      </c>
      <c r="BJ64" s="7">
        <f t="shared" si="25"/>
        <v>850.02076783412951</v>
      </c>
    </row>
    <row r="65" spans="3:62" x14ac:dyDescent="0.15">
      <c r="C65" s="12"/>
      <c r="D65" s="67">
        <v>512.47903369866151</v>
      </c>
      <c r="E65" s="68">
        <v>56.551844589514474</v>
      </c>
      <c r="F65" s="69">
        <v>533.06732027775024</v>
      </c>
      <c r="G65" s="129" t="s">
        <v>412</v>
      </c>
      <c r="H65" s="989">
        <f t="array" ref="H65:J65">LINEST(E64:E67,D64:D67^{1,2})</f>
        <v>7.9810305444266298E-5</v>
      </c>
      <c r="I65">
        <v>-9.4230096929968421E-2</v>
      </c>
      <c r="J65">
        <v>84.54012877202716</v>
      </c>
      <c r="K65" s="298">
        <f>$H$65*AC35^2+$I$65*AC35+$J$65</f>
        <v>56.823706689586942</v>
      </c>
      <c r="M65" s="12"/>
      <c r="N65" s="67">
        <v>511.4537803117347</v>
      </c>
      <c r="O65" s="68">
        <v>75.29988739232023</v>
      </c>
      <c r="P65" s="69">
        <v>534.16549436082425</v>
      </c>
      <c r="Q65" s="129" t="s">
        <v>412</v>
      </c>
      <c r="R65">
        <f t="array" ref="R65:T65">LINEST(O64:O67,N64:N67^{1,2})</f>
        <v>1.217607091197383E-4</v>
      </c>
      <c r="S65">
        <v>-0.12027443859668251</v>
      </c>
      <c r="T65" s="24">
        <v>104.76575753111038</v>
      </c>
      <c r="U65" s="84">
        <f>$R$65*AC35^2+$S$65*AC35+$T$65</f>
        <v>75.524876529125493</v>
      </c>
      <c r="W65" s="12"/>
      <c r="X65" s="67">
        <v>382.24188801319252</v>
      </c>
      <c r="Y65" s="69">
        <v>722.57752963845462</v>
      </c>
      <c r="BG65" t="s">
        <v>405</v>
      </c>
      <c r="BH65" s="7">
        <f t="shared" si="26"/>
        <v>-1.4313567830471533E-3</v>
      </c>
      <c r="BI65" s="7">
        <f t="shared" si="25"/>
        <v>-0.39050393379016451</v>
      </c>
      <c r="BJ65" s="7">
        <f t="shared" si="25"/>
        <v>452.93838935309651</v>
      </c>
    </row>
    <row r="66" spans="3:62" x14ac:dyDescent="0.15">
      <c r="C66" s="12"/>
      <c r="D66" s="67">
        <v>440.15284535326958</v>
      </c>
      <c r="E66" s="68">
        <v>59.059301371869097</v>
      </c>
      <c r="F66" s="69">
        <v>515.9377606458313</v>
      </c>
      <c r="G66" s="129" t="s">
        <v>423</v>
      </c>
      <c r="H66" s="989">
        <f t="array" ref="H66:I66">LINEST(E64:E67,D64:D67)</f>
        <v>-2.3208949087620653E-2</v>
      </c>
      <c r="I66">
        <v>69.661522537697351</v>
      </c>
      <c r="K66" s="298">
        <f>H66*$AC$35+I66</f>
        <v>56.771088549636247</v>
      </c>
      <c r="M66" s="12"/>
      <c r="N66" s="67">
        <v>420.17908106004865</v>
      </c>
      <c r="O66" s="68">
        <v>75.537881211747461</v>
      </c>
      <c r="P66" s="69">
        <v>512.06896915088339</v>
      </c>
      <c r="Q66" s="129" t="s">
        <v>420</v>
      </c>
      <c r="R66">
        <f t="array" ref="R66:S66">LINEST(O64:O67,N64:N67)</f>
        <v>-8.4325528025679629E-3</v>
      </c>
      <c r="S66">
        <v>80.570413595287746</v>
      </c>
      <c r="T66" s="24"/>
      <c r="U66" s="84">
        <f>R66*AC35+S66</f>
        <v>75.886907037452232</v>
      </c>
      <c r="W66" s="12"/>
      <c r="X66" s="67">
        <v>332.98888663241814</v>
      </c>
      <c r="Y66" s="69">
        <v>727.98009833787376</v>
      </c>
      <c r="BG66" t="s">
        <v>406</v>
      </c>
      <c r="BH66" s="7">
        <f t="shared" si="26"/>
        <v>-1.4531125513772114E-3</v>
      </c>
      <c r="BI66" s="7">
        <f t="shared" si="25"/>
        <v>-0.35056376134143968</v>
      </c>
      <c r="BJ66" s="7">
        <f t="shared" si="25"/>
        <v>197.60657857040542</v>
      </c>
    </row>
    <row r="67" spans="3:62" x14ac:dyDescent="0.15">
      <c r="C67" s="14"/>
      <c r="D67" s="67">
        <v>304.88365385737308</v>
      </c>
      <c r="E67" s="68">
        <v>63.131068945160543</v>
      </c>
      <c r="F67" s="69">
        <v>487.82198047280366</v>
      </c>
      <c r="G67" s="297" t="s">
        <v>462</v>
      </c>
      <c r="H67" s="990">
        <f t="array" ref="H67:I67">LINEST(E64:E67,LN(D64:D67))</f>
        <v>-10.169625031450364</v>
      </c>
      <c r="I67" s="2">
        <v>121.03892306022308</v>
      </c>
      <c r="K67" s="298">
        <f>H67*LN($AC$35)+I67</f>
        <v>56.769915038883539</v>
      </c>
      <c r="M67" s="14"/>
      <c r="N67" s="67">
        <v>310.62720108835543</v>
      </c>
      <c r="O67" s="68">
        <v>79.20794803152809</v>
      </c>
      <c r="P67" s="69">
        <v>489.96511328559245</v>
      </c>
      <c r="Q67" s="297" t="s">
        <v>462</v>
      </c>
      <c r="R67" s="2">
        <f t="array" ref="R67:S67">LINEST(O64:O67,LN(N64:N67))</f>
        <v>-4.2061745103163508</v>
      </c>
      <c r="S67" s="2">
        <v>102.35505145600189</v>
      </c>
      <c r="T67" s="24"/>
      <c r="U67" s="84">
        <f>R67*LN($AC$35)+S67</f>
        <v>75.773278528615776</v>
      </c>
      <c r="W67" s="12"/>
      <c r="X67" s="67">
        <v>290.35150148577384</v>
      </c>
      <c r="Y67" s="69">
        <v>721.57159322242205</v>
      </c>
    </row>
    <row r="68" spans="3:62" x14ac:dyDescent="0.15">
      <c r="C68" s="12"/>
      <c r="D68" s="17"/>
      <c r="E68" s="42"/>
      <c r="F68" s="24"/>
      <c r="H68" s="989"/>
      <c r="K68" s="298"/>
      <c r="M68" s="12"/>
      <c r="N68" s="17"/>
      <c r="O68" s="42"/>
      <c r="P68" s="13"/>
      <c r="T68" s="24"/>
      <c r="U68" s="3"/>
      <c r="W68" s="12"/>
      <c r="X68" s="67">
        <v>253.09258262991236</v>
      </c>
      <c r="Y68" s="69">
        <v>719.45378862223436</v>
      </c>
      <c r="BG68" t="s">
        <v>21</v>
      </c>
      <c r="BH68" s="504">
        <f>'C koodit'!$F$12</f>
        <v>1</v>
      </c>
    </row>
    <row r="69" spans="3:62" x14ac:dyDescent="0.15">
      <c r="C69" s="10" t="s">
        <v>409</v>
      </c>
      <c r="D69" s="67">
        <v>430.30872909001937</v>
      </c>
      <c r="E69" s="68">
        <v>51.397697447343972</v>
      </c>
      <c r="F69" s="69">
        <v>245.9717421571394</v>
      </c>
      <c r="H69" s="989" t="s">
        <v>4</v>
      </c>
      <c r="I69" t="s">
        <v>5</v>
      </c>
      <c r="J69" t="s">
        <v>6</v>
      </c>
      <c r="K69" s="298"/>
      <c r="M69" s="10" t="s">
        <v>409</v>
      </c>
      <c r="N69" s="67">
        <v>454.51647897858771</v>
      </c>
      <c r="O69" s="68">
        <v>70.481695997192162</v>
      </c>
      <c r="P69" s="69">
        <v>249.21117655822391</v>
      </c>
      <c r="R69" t="s">
        <v>4</v>
      </c>
      <c r="S69" t="s">
        <v>5</v>
      </c>
      <c r="T69" s="24" t="s">
        <v>6</v>
      </c>
      <c r="U69" s="3"/>
      <c r="W69" s="14"/>
      <c r="X69" s="70">
        <v>136.29100234952259</v>
      </c>
      <c r="Y69" s="72">
        <v>658.16186854383761</v>
      </c>
    </row>
    <row r="70" spans="3:62" x14ac:dyDescent="0.15">
      <c r="C70" s="12"/>
      <c r="D70" s="67">
        <v>368.90614526736601</v>
      </c>
      <c r="E70" s="68">
        <v>51.037513345127785</v>
      </c>
      <c r="F70" s="69">
        <v>241.48698969830019</v>
      </c>
      <c r="G70" s="129" t="s">
        <v>412</v>
      </c>
      <c r="H70" s="989">
        <f t="array" ref="H70:J70">LINEST(E69:E72,D69:D72^{1,2})</f>
        <v>1.0353435824362362E-4</v>
      </c>
      <c r="I70">
        <v>-8.3148009775871001E-2</v>
      </c>
      <c r="J70">
        <v>67.911697546222555</v>
      </c>
      <c r="K70" s="298">
        <f>$H$70*AC36^2+$I$70*AC36+$J$70</f>
        <v>51.218701411536031</v>
      </c>
      <c r="M70" s="12"/>
      <c r="N70" s="67">
        <v>386.08513097658857</v>
      </c>
      <c r="O70" s="68">
        <v>69.141028251455381</v>
      </c>
      <c r="P70" s="69">
        <v>246.17636337072585</v>
      </c>
      <c r="Q70" s="129" t="s">
        <v>412</v>
      </c>
      <c r="R70">
        <f t="array" ref="R70:T70">LINEST(O69:O72,N69:N72^{1,2})</f>
        <v>1.1213980421797785E-4</v>
      </c>
      <c r="S70">
        <v>-7.4275203641083906E-2</v>
      </c>
      <c r="T70" s="24">
        <v>81.081654108255123</v>
      </c>
      <c r="U70" s="84">
        <f>$R$70*AC36^2+$S$70*AC36+$T$70</f>
        <v>69.387168161296302</v>
      </c>
      <c r="BG70" s="2" t="s">
        <v>2187</v>
      </c>
    </row>
    <row r="71" spans="3:62" x14ac:dyDescent="0.15">
      <c r="C71" s="12"/>
      <c r="D71" s="67">
        <v>317.3986650009623</v>
      </c>
      <c r="E71" s="68">
        <v>52.190283617600741</v>
      </c>
      <c r="F71" s="69">
        <v>242.19599129932251</v>
      </c>
      <c r="G71" s="129" t="s">
        <v>423</v>
      </c>
      <c r="H71" s="989">
        <f t="array" ref="H71:I71">LINEST(E69:E72,D69:D72)</f>
        <v>-1.6712296521906991E-2</v>
      </c>
      <c r="I71">
        <v>57.901239253827555</v>
      </c>
      <c r="K71" s="298">
        <f>H71*$AC$36+I71</f>
        <v>51.139600967650949</v>
      </c>
      <c r="M71" s="12"/>
      <c r="N71" s="67">
        <v>316.43665668347194</v>
      </c>
      <c r="O71" s="68">
        <v>68.789053648530512</v>
      </c>
      <c r="P71" s="69">
        <v>239.02820800775635</v>
      </c>
      <c r="Q71" s="129" t="s">
        <v>420</v>
      </c>
      <c r="R71">
        <f t="array" ref="R71:S71">LINEST(O69:O72,N69:N72)</f>
        <v>2.1834183741597122E-3</v>
      </c>
      <c r="S71">
        <v>68.833010295436878</v>
      </c>
      <c r="T71" s="24"/>
      <c r="U71" s="84">
        <f>R71*AC36+S71</f>
        <v>69.716400872794537</v>
      </c>
      <c r="W71" s="74"/>
      <c r="X71" s="345" t="s">
        <v>13</v>
      </c>
      <c r="Y71" s="277" t="s">
        <v>49</v>
      </c>
      <c r="BG71" t="s">
        <v>102</v>
      </c>
      <c r="BH71">
        <f>IF($BH$68=2,BH63,IF($BH$68=3,BH56,BH49))</f>
        <v>-6.8301423740325744E-4</v>
      </c>
      <c r="BI71">
        <f t="shared" ref="BI71:BJ71" si="27">IF($BH$68=2,BI63,IF($BH$68=3,BI56,BI49))</f>
        <v>-1.4197395479369237</v>
      </c>
      <c r="BJ71">
        <f t="shared" si="27"/>
        <v>1363.9981965746949</v>
      </c>
    </row>
    <row r="72" spans="3:62" x14ac:dyDescent="0.15">
      <c r="C72" s="14"/>
      <c r="D72" s="67">
        <v>217.42027214016494</v>
      </c>
      <c r="E72" s="68">
        <v>54.684693977224782</v>
      </c>
      <c r="F72" s="69">
        <v>211.85930815346146</v>
      </c>
      <c r="G72" s="297" t="s">
        <v>462</v>
      </c>
      <c r="H72" s="990">
        <f t="array" ref="H72:I72">LINEST(E69:E72,LN(D69:D72))</f>
        <v>-5.3277538938611491</v>
      </c>
      <c r="I72" s="2">
        <v>83.118016749702491</v>
      </c>
      <c r="K72" s="298">
        <f>H72*LN($AC$36)+I72</f>
        <v>51.136172244517169</v>
      </c>
      <c r="M72" s="14"/>
      <c r="N72" s="67">
        <v>229.46728062953824</v>
      </c>
      <c r="O72" s="68">
        <v>69.947584972349176</v>
      </c>
      <c r="P72" s="69">
        <v>223.27748903290498</v>
      </c>
      <c r="Q72" s="297" t="s">
        <v>462</v>
      </c>
      <c r="R72" s="2">
        <f t="array" ref="R72:S72">LINEST(O69:O72,LN(N69:N72))</f>
        <v>0.45722420700477084</v>
      </c>
      <c r="S72" s="2">
        <v>66.930147433318083</v>
      </c>
      <c r="T72" s="24"/>
      <c r="U72" s="84">
        <f>R72*LN($AC$36)+S72</f>
        <v>69.674807525309632</v>
      </c>
      <c r="W72" s="12" t="s">
        <v>404</v>
      </c>
      <c r="X72" s="975">
        <v>122.24905658867428</v>
      </c>
      <c r="Y72" s="976">
        <v>375.40970534107731</v>
      </c>
      <c r="BG72" t="s">
        <v>404</v>
      </c>
      <c r="BH72">
        <f t="shared" ref="BH72:BJ74" si="28">IF($BH$68=2,BH64,IF($BH$68=3,BH57,BH50))</f>
        <v>-1.3467856279693324E-3</v>
      </c>
      <c r="BI72">
        <f t="shared" si="28"/>
        <v>-0.45187190188011217</v>
      </c>
      <c r="BJ72">
        <f t="shared" si="28"/>
        <v>850.27975882063606</v>
      </c>
    </row>
    <row r="73" spans="3:62" x14ac:dyDescent="0.15">
      <c r="C73" s="12"/>
      <c r="D73" s="17"/>
      <c r="E73" s="42"/>
      <c r="F73" s="13"/>
      <c r="H73" s="989"/>
      <c r="K73" s="298"/>
      <c r="M73" s="12"/>
      <c r="N73" s="17"/>
      <c r="O73" s="42"/>
      <c r="P73" s="13"/>
      <c r="T73" s="24"/>
      <c r="W73" s="12"/>
      <c r="X73" s="67">
        <v>219.8837048137799</v>
      </c>
      <c r="Y73" s="69">
        <v>432.04163254398071</v>
      </c>
      <c r="BG73" t="s">
        <v>405</v>
      </c>
      <c r="BH73">
        <f t="shared" si="28"/>
        <v>-1.4313567830471533E-3</v>
      </c>
      <c r="BI73">
        <f t="shared" si="28"/>
        <v>-0.29988862772525232</v>
      </c>
      <c r="BJ73">
        <f t="shared" si="28"/>
        <v>453.197380339603</v>
      </c>
    </row>
    <row r="74" spans="3:62" x14ac:dyDescent="0.15">
      <c r="C74" s="10" t="s">
        <v>410</v>
      </c>
      <c r="D74" s="67">
        <v>266.43484969305598</v>
      </c>
      <c r="E74" s="68">
        <v>42.19961491072317</v>
      </c>
      <c r="F74" s="69">
        <v>79.714980873725565</v>
      </c>
      <c r="H74" s="989" t="s">
        <v>4</v>
      </c>
      <c r="I74" t="s">
        <v>5</v>
      </c>
      <c r="J74" t="s">
        <v>6</v>
      </c>
      <c r="K74" s="298"/>
      <c r="M74" s="10" t="s">
        <v>410</v>
      </c>
      <c r="N74" s="67">
        <v>275.51386387143219</v>
      </c>
      <c r="O74" s="68">
        <v>58.122879852100439</v>
      </c>
      <c r="P74" s="69">
        <v>78.128055571625993</v>
      </c>
      <c r="R74" t="s">
        <v>4</v>
      </c>
      <c r="S74" t="s">
        <v>5</v>
      </c>
      <c r="T74" s="24" t="s">
        <v>6</v>
      </c>
      <c r="W74" s="12"/>
      <c r="X74" s="67">
        <v>291.37655253171908</v>
      </c>
      <c r="Y74" s="69">
        <v>475.10664093817343</v>
      </c>
      <c r="BG74" t="s">
        <v>406</v>
      </c>
      <c r="BH74">
        <f t="shared" si="28"/>
        <v>-1.4531125513772114E-3</v>
      </c>
      <c r="BI74">
        <f t="shared" si="28"/>
        <v>-0.25994845527652749</v>
      </c>
      <c r="BJ74">
        <f t="shared" si="28"/>
        <v>197.86556955691194</v>
      </c>
    </row>
    <row r="75" spans="3:62" x14ac:dyDescent="0.15">
      <c r="C75" s="12"/>
      <c r="D75" s="67">
        <v>233.04270388510514</v>
      </c>
      <c r="E75" s="68">
        <v>41.878496746319378</v>
      </c>
      <c r="F75" s="69">
        <v>78.45573478612198</v>
      </c>
      <c r="G75" s="129" t="s">
        <v>412</v>
      </c>
      <c r="H75" s="989">
        <f t="array" ref="H75:J75">LINEST(E74:E77,D74:D77^{1,2})</f>
        <v>4.898795366673523E-4</v>
      </c>
      <c r="I75">
        <v>-0.2495715197682124</v>
      </c>
      <c r="J75">
        <v>73.798043530271315</v>
      </c>
      <c r="K75" s="298">
        <f>$H$75*AC37^2+$I$75*AC37+$J$75</f>
        <v>42.012181988782274</v>
      </c>
      <c r="M75" s="12"/>
      <c r="N75" s="67">
        <v>239.40233610308692</v>
      </c>
      <c r="O75" s="68">
        <v>57.40969440146219</v>
      </c>
      <c r="P75" s="69">
        <v>79.160797259008007</v>
      </c>
      <c r="Q75" s="129" t="s">
        <v>412</v>
      </c>
      <c r="R75">
        <f t="array" ref="R75:T75">LINEST(O74:O77,N74:N77^{1,2})</f>
        <v>2.834559551085825E-4</v>
      </c>
      <c r="S75">
        <v>-0.12799699420779909</v>
      </c>
      <c r="T75" s="24">
        <v>71.853294179459155</v>
      </c>
      <c r="U75" s="84">
        <f>$R$75*AC37^2+$S$75*AC37+$T$75</f>
        <v>57.625071556823237</v>
      </c>
      <c r="W75" s="12"/>
      <c r="X75" s="67">
        <v>373.61515858933637</v>
      </c>
      <c r="Y75" s="69">
        <v>511.29601912261444</v>
      </c>
    </row>
    <row r="76" spans="3:62" x14ac:dyDescent="0.15">
      <c r="C76" s="12"/>
      <c r="D76" s="67">
        <v>205.04785756402154</v>
      </c>
      <c r="E76" s="68">
        <v>43.508336621902302</v>
      </c>
      <c r="F76" s="69">
        <v>76.955715509758292</v>
      </c>
      <c r="G76" s="129" t="s">
        <v>423</v>
      </c>
      <c r="H76" s="989">
        <f t="array" ref="H76:I76">LINEST(E74:E77,D74:D77)</f>
        <v>-5.0995075463276071E-2</v>
      </c>
      <c r="I76">
        <v>54.715783584041468</v>
      </c>
      <c r="K76" s="298">
        <f>H76*$AC$37+I76</f>
        <v>41.777226437787235</v>
      </c>
      <c r="M76" s="12"/>
      <c r="N76" s="67">
        <v>197.91474592192031</v>
      </c>
      <c r="O76" s="68">
        <v>57.662941812501856</v>
      </c>
      <c r="P76" s="69">
        <v>76.324577845231786</v>
      </c>
      <c r="Q76" s="129" t="s">
        <v>420</v>
      </c>
      <c r="R76">
        <f t="array" ref="R76:S76">LINEST(O74:O77,N74:N77)</f>
        <v>-8.9654506403335586E-3</v>
      </c>
      <c r="S76">
        <v>60.022426980024711</v>
      </c>
      <c r="T76" s="24"/>
      <c r="U76" s="84">
        <f>R76*AC37+S76</f>
        <v>57.747697618453039</v>
      </c>
      <c r="W76" s="12"/>
      <c r="X76" s="67">
        <v>432.72526367431328</v>
      </c>
      <c r="Y76" s="69">
        <v>523.11688322085115</v>
      </c>
    </row>
    <row r="77" spans="3:62" x14ac:dyDescent="0.15">
      <c r="C77" s="14"/>
      <c r="D77" s="70">
        <v>143.42845546559386</v>
      </c>
      <c r="E77" s="71">
        <v>48.035214640180726</v>
      </c>
      <c r="F77" s="72">
        <v>69.905034846609595</v>
      </c>
      <c r="G77" s="853" t="s">
        <v>462</v>
      </c>
      <c r="H77" s="991">
        <f t="array" ref="H77:I77">LINEST(E74:E77,LN(D74:D77))</f>
        <v>-10.271858847006495</v>
      </c>
      <c r="I77" s="854">
        <v>98.668370536454432</v>
      </c>
      <c r="J77" s="25"/>
      <c r="K77" s="855">
        <f>H77*LN($AC$37)+I77</f>
        <v>41.800915360368954</v>
      </c>
      <c r="M77" s="14"/>
      <c r="N77" s="70">
        <v>146.0847854684252</v>
      </c>
      <c r="O77" s="71">
        <v>59.193625260276654</v>
      </c>
      <c r="P77" s="72">
        <v>71.783617893756229</v>
      </c>
      <c r="Q77" s="853" t="s">
        <v>462</v>
      </c>
      <c r="R77" s="854">
        <f t="array" ref="R77:S77">LINEST(O74:O77,LN(N74:N77))</f>
        <v>-2.0143143965104797</v>
      </c>
      <c r="S77" s="854">
        <v>68.858159245062851</v>
      </c>
      <c r="T77" s="26"/>
      <c r="U77" s="84">
        <f>R77*LN($AC$37)+S77</f>
        <v>57.70643535942105</v>
      </c>
      <c r="W77" s="12"/>
      <c r="X77" s="67">
        <v>492.23312696216925</v>
      </c>
      <c r="Y77" s="69">
        <v>534.23326105690774</v>
      </c>
    </row>
    <row r="78" spans="3:62" x14ac:dyDescent="0.15">
      <c r="W78" s="12"/>
      <c r="X78" s="67">
        <v>553.35682118021884</v>
      </c>
      <c r="Y78" s="69">
        <v>537.65762294250646</v>
      </c>
    </row>
    <row r="79" spans="3:62" x14ac:dyDescent="0.15">
      <c r="F79" s="5"/>
      <c r="W79" s="14"/>
      <c r="X79" s="70">
        <v>608.06270403317217</v>
      </c>
      <c r="Y79" s="72">
        <v>529.85369164769452</v>
      </c>
    </row>
    <row r="80" spans="3:62" x14ac:dyDescent="0.15">
      <c r="C80" s="2" t="s">
        <v>2100</v>
      </c>
      <c r="F80" s="5"/>
    </row>
    <row r="81" spans="3:25" x14ac:dyDescent="0.15">
      <c r="F81" s="5"/>
      <c r="W81" s="74"/>
      <c r="X81" s="345" t="s">
        <v>13</v>
      </c>
      <c r="Y81" s="277" t="s">
        <v>49</v>
      </c>
    </row>
    <row r="82" spans="3:25" x14ac:dyDescent="0.15">
      <c r="C82" t="s">
        <v>2101</v>
      </c>
      <c r="F82" s="5"/>
      <c r="H82" t="b">
        <f>IF(W9&gt;10.01,FALSE,TRUE)</f>
        <v>1</v>
      </c>
      <c r="W82" s="12" t="s">
        <v>411</v>
      </c>
      <c r="X82" s="975">
        <v>437.09502645593631</v>
      </c>
      <c r="Y82" s="976">
        <v>233.97933626846964</v>
      </c>
    </row>
    <row r="83" spans="3:25" x14ac:dyDescent="0.15">
      <c r="C83" t="s">
        <v>2102</v>
      </c>
      <c r="H83" t="b">
        <f>IF(W9&lt;2,FALSE,TRUE)</f>
        <v>1</v>
      </c>
      <c r="W83" s="12"/>
      <c r="X83" s="67">
        <v>394.28163711981273</v>
      </c>
      <c r="Y83" s="69">
        <v>233.34624325599171</v>
      </c>
    </row>
    <row r="84" spans="3:25" x14ac:dyDescent="0.15">
      <c r="C84" t="s">
        <v>2103</v>
      </c>
      <c r="H84" t="b">
        <f>IF(L3&gt;500,FALSE,TRUE)</f>
        <v>1</v>
      </c>
      <c r="W84" s="12"/>
      <c r="X84" s="67">
        <v>328.64795566701792</v>
      </c>
      <c r="Y84" s="69">
        <v>228.01839565857776</v>
      </c>
    </row>
    <row r="85" spans="3:25" x14ac:dyDescent="0.15">
      <c r="C85" t="s">
        <v>2106</v>
      </c>
      <c r="H85" t="b">
        <f>IF(J3&gt;(AC34+1),FALSE,TRUE)</f>
        <v>1</v>
      </c>
      <c r="W85" s="12"/>
      <c r="X85" s="67">
        <v>239.26687501329309</v>
      </c>
      <c r="Y85" s="69">
        <v>212.65556833899674</v>
      </c>
    </row>
    <row r="86" spans="3:25" x14ac:dyDescent="0.15">
      <c r="C86" t="s">
        <v>2104</v>
      </c>
      <c r="H86" t="b">
        <f>IF(J3&lt;W11,FALSE,TRUE)</f>
        <v>1</v>
      </c>
      <c r="W86" s="12"/>
      <c r="X86" s="67">
        <v>125.09677847359325</v>
      </c>
      <c r="Y86" s="69">
        <v>176.73553697391463</v>
      </c>
    </row>
    <row r="87" spans="3:25" x14ac:dyDescent="0.15">
      <c r="F87" s="5"/>
      <c r="W87" s="14"/>
      <c r="X87" s="70">
        <v>87.518883253945248</v>
      </c>
      <c r="Y87" s="72">
        <v>162.52122575298847</v>
      </c>
    </row>
    <row r="88" spans="3:25" x14ac:dyDescent="0.15">
      <c r="C88" s="2" t="s">
        <v>2107</v>
      </c>
      <c r="F88" s="5"/>
      <c r="H88" s="2" t="b">
        <f>IF(AND(H82,H83,H84,H85,H86),TRUE,FALSE)</f>
        <v>1</v>
      </c>
    </row>
    <row r="89" spans="3:25" x14ac:dyDescent="0.15">
      <c r="F89" s="5"/>
      <c r="W89" s="10"/>
      <c r="X89" s="16" t="s">
        <v>13</v>
      </c>
      <c r="Y89" s="11" t="s">
        <v>49</v>
      </c>
    </row>
    <row r="90" spans="3:25" x14ac:dyDescent="0.15">
      <c r="C90" t="s">
        <v>2105</v>
      </c>
      <c r="F90" s="5"/>
      <c r="H90" t="b">
        <f>IF(AND(W9&lt;=10.01,'C-series'!G33&gt;=W11),TRUE,FALSE)</f>
        <v>1</v>
      </c>
      <c r="W90" s="10" t="s">
        <v>406</v>
      </c>
      <c r="X90" s="68">
        <v>51.013168217665502</v>
      </c>
      <c r="Y90" s="69">
        <v>56.660474770685525</v>
      </c>
    </row>
    <row r="91" spans="3:25" x14ac:dyDescent="0.15">
      <c r="F91" s="5"/>
      <c r="W91" s="12"/>
      <c r="X91" s="68">
        <v>136.01442023400173</v>
      </c>
      <c r="Y91" s="69">
        <v>68.298652958386654</v>
      </c>
    </row>
    <row r="92" spans="3:25" x14ac:dyDescent="0.15">
      <c r="F92" s="5"/>
      <c r="W92" s="12"/>
      <c r="X92" s="68">
        <v>183.80496602763066</v>
      </c>
      <c r="Y92" s="69">
        <v>73.600868699606707</v>
      </c>
    </row>
    <row r="93" spans="3:25" x14ac:dyDescent="0.15">
      <c r="F93" s="5"/>
      <c r="W93" s="14"/>
      <c r="X93" s="71">
        <v>259.6592085033314</v>
      </c>
      <c r="Y93" s="72">
        <v>77.833394759423982</v>
      </c>
    </row>
    <row r="94" spans="3:25" x14ac:dyDescent="0.15">
      <c r="C94" s="2" t="s">
        <v>2114</v>
      </c>
      <c r="F94" s="5"/>
    </row>
    <row r="95" spans="3:25" x14ac:dyDescent="0.15">
      <c r="F95" s="5"/>
    </row>
    <row r="96" spans="3:25" x14ac:dyDescent="0.15">
      <c r="C96" s="2" t="s">
        <v>55</v>
      </c>
      <c r="F96" s="5"/>
    </row>
    <row r="97" spans="2:1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</row>
    <row r="98" spans="2:13" x14ac:dyDescent="0.15">
      <c r="C98" s="67">
        <v>10</v>
      </c>
      <c r="D98" s="993">
        <v>8</v>
      </c>
      <c r="E98" s="993">
        <v>2</v>
      </c>
      <c r="F98" s="993">
        <v>4</v>
      </c>
      <c r="G98" s="993">
        <v>-3</v>
      </c>
      <c r="H98" s="993">
        <v>-7</v>
      </c>
      <c r="I98" s="993">
        <v>-11</v>
      </c>
      <c r="J98" s="993">
        <v>-15</v>
      </c>
      <c r="K98" s="993">
        <v>-22</v>
      </c>
      <c r="M98" s="5" cm="1">
        <f t="array" ref="M98">10*LOG10(SUM(10^((D98:K98+$AF$46:$AM$46)/10)))</f>
        <v>-4.5368635736819179E-2</v>
      </c>
    </row>
    <row r="99" spans="2:13" x14ac:dyDescent="0.15">
      <c r="C99" s="67">
        <v>8</v>
      </c>
      <c r="D99" s="993">
        <v>7</v>
      </c>
      <c r="E99" s="993">
        <v>2</v>
      </c>
      <c r="F99" s="993">
        <v>5</v>
      </c>
      <c r="G99" s="993">
        <v>-2</v>
      </c>
      <c r="H99" s="993">
        <v>-8</v>
      </c>
      <c r="I99" s="993">
        <v>-12</v>
      </c>
      <c r="J99" s="993">
        <v>-16</v>
      </c>
      <c r="K99" s="993">
        <v>-24</v>
      </c>
      <c r="M99" s="5" cm="1">
        <f t="array" ref="M99">10*LOG10(SUM(10^((D99:K99+$AF$46:$AM$46)/10)))</f>
        <v>0.2768261514095875</v>
      </c>
    </row>
    <row r="100" spans="2:13" x14ac:dyDescent="0.15">
      <c r="C100" s="67">
        <v>6</v>
      </c>
      <c r="D100" s="993">
        <v>6</v>
      </c>
      <c r="E100" s="993">
        <v>6</v>
      </c>
      <c r="F100" s="993">
        <v>4</v>
      </c>
      <c r="G100" s="993">
        <v>-2</v>
      </c>
      <c r="H100" s="993">
        <v>-7</v>
      </c>
      <c r="I100" s="993">
        <v>-12</v>
      </c>
      <c r="J100" s="993">
        <v>-18</v>
      </c>
      <c r="K100" s="993">
        <v>-25</v>
      </c>
      <c r="M100" s="5" cm="1">
        <f t="array" ref="M100">10*LOG10(SUM(10^((D100:K100+$AF$46:$AM$46)/10)))</f>
        <v>0.25762703916997121</v>
      </c>
    </row>
    <row r="101" spans="2:13" x14ac:dyDescent="0.15">
      <c r="C101" s="996">
        <v>5</v>
      </c>
      <c r="D101" s="995">
        <f>AVERAGE(D100,D102)</f>
        <v>7</v>
      </c>
      <c r="E101" s="995">
        <f t="shared" ref="E101:K101" si="29">AVERAGE(E100,E102)</f>
        <v>8.5</v>
      </c>
      <c r="F101" s="995">
        <f t="shared" si="29"/>
        <v>3.5</v>
      </c>
      <c r="G101" s="995">
        <f t="shared" si="29"/>
        <v>-3</v>
      </c>
      <c r="H101" s="995">
        <f t="shared" si="29"/>
        <v>-7.5</v>
      </c>
      <c r="I101" s="995">
        <f t="shared" si="29"/>
        <v>-14</v>
      </c>
      <c r="J101" s="995">
        <f t="shared" si="29"/>
        <v>-20.5</v>
      </c>
      <c r="K101" s="995">
        <f t="shared" si="29"/>
        <v>-24</v>
      </c>
      <c r="M101" s="5" cm="1">
        <f t="array" ref="M101">10*LOG10(SUM(10^((D101:K101+$AF$46:$AM$46)/10)))</f>
        <v>-9.0688441765001654E-2</v>
      </c>
    </row>
    <row r="102" spans="2:13" x14ac:dyDescent="0.15">
      <c r="C102" s="67">
        <v>4</v>
      </c>
      <c r="D102" s="993">
        <v>8</v>
      </c>
      <c r="E102" s="993">
        <v>11</v>
      </c>
      <c r="F102" s="993">
        <v>3</v>
      </c>
      <c r="G102" s="993">
        <v>-4</v>
      </c>
      <c r="H102" s="993">
        <v>-8</v>
      </c>
      <c r="I102" s="993">
        <v>-16</v>
      </c>
      <c r="J102" s="993">
        <v>-23</v>
      </c>
      <c r="K102" s="993">
        <v>-23</v>
      </c>
      <c r="M102" s="5" cm="1">
        <f t="array" ref="M102">10*LOG10(SUM(10^((D102:K102+$AF$46:$AM$46)/10)))</f>
        <v>-3.516105125638732E-2</v>
      </c>
    </row>
    <row r="104" spans="2:13" x14ac:dyDescent="0.15">
      <c r="B104" t="s">
        <v>1150</v>
      </c>
      <c r="C104" s="994">
        <f>W9</f>
        <v>7.2652429851960978</v>
      </c>
    </row>
    <row r="105" spans="2:13" x14ac:dyDescent="0.15">
      <c r="B105" t="s">
        <v>2115</v>
      </c>
      <c r="C105" s="992" cm="1">
        <f t="array" ref="C105">INDEX(C98:C102, MATCH(MIN(ABS($C$98:$C$102-$C$104)), ABS($C$98:$C$102-$C$104), 0))</f>
        <v>8</v>
      </c>
      <c r="D105" s="992" cm="1">
        <f t="array" ref="D105">INDEX(D98:D102, MATCH(MIN(ABS($C$98:$C$102-$C$104)), ABS($C$98:$C$102-$C$104), 0))</f>
        <v>7</v>
      </c>
      <c r="E105" s="992" cm="1">
        <f t="array" ref="E105">INDEX(E98:E102, MATCH(MIN(ABS($C$98:$C$102-$C$104)), ABS($C$98:$C$102-$C$104), 0))</f>
        <v>2</v>
      </c>
      <c r="F105" s="992" cm="1">
        <f t="array" ref="F105">INDEX(F98:F102, MATCH(MIN(ABS($C$98:$C$102-$C$104)), ABS($C$98:$C$102-$C$104), 0))</f>
        <v>5</v>
      </c>
      <c r="G105" s="992" cm="1">
        <f t="array" ref="G105">INDEX(G98:G102, MATCH(MIN(ABS($C$98:$C$102-$C$104)), ABS($C$98:$C$102-$C$104), 0))</f>
        <v>-2</v>
      </c>
      <c r="H105" s="992" cm="1">
        <f t="array" ref="H105">INDEX(H98:H102, MATCH(MIN(ABS($C$98:$C$102-$C$104)), ABS($C$98:$C$102-$C$104), 0))</f>
        <v>-8</v>
      </c>
      <c r="I105" s="992" cm="1">
        <f t="array" ref="I105">INDEX(I98:I102, MATCH(MIN(ABS($C$98:$C$102-$C$104)), ABS($C$98:$C$102-$C$104), 0))</f>
        <v>-12</v>
      </c>
      <c r="J105" s="992" cm="1">
        <f t="array" ref="J105">INDEX(J98:J102, MATCH(MIN(ABS($C$98:$C$102-$C$104)), ABS($C$98:$C$102-$C$104), 0))</f>
        <v>-16</v>
      </c>
      <c r="K105" s="992" cm="1">
        <f t="array" ref="K105">INDEX(K98:K102, MATCH(MIN(ABS($C$98:$C$102-$C$104)), ABS($C$98:$C$102-$C$104), 0))</f>
        <v>-24</v>
      </c>
    </row>
    <row r="107" spans="2:13" x14ac:dyDescent="0.15">
      <c r="C107" s="2" t="s">
        <v>56</v>
      </c>
      <c r="F107" s="5"/>
    </row>
    <row r="108" spans="2:13" x14ac:dyDescent="0.15">
      <c r="C108" s="630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</row>
    <row r="109" spans="2:13" x14ac:dyDescent="0.15">
      <c r="C109" s="975">
        <v>10</v>
      </c>
      <c r="D109" s="993">
        <v>-1</v>
      </c>
      <c r="E109" s="993">
        <v>-5</v>
      </c>
      <c r="F109" s="993">
        <v>2</v>
      </c>
      <c r="G109" s="993">
        <v>-5</v>
      </c>
      <c r="H109" s="993">
        <v>-6</v>
      </c>
      <c r="I109" s="993">
        <v>-7</v>
      </c>
      <c r="J109" s="993">
        <v>-14</v>
      </c>
      <c r="K109" s="993">
        <v>-14</v>
      </c>
      <c r="M109" s="5" cm="1">
        <f t="array" ref="M109">10*LOG10(SUM(10^((D109:K109+$AF$46:$AM$46)/10)))</f>
        <v>-0.1097875263293538</v>
      </c>
    </row>
    <row r="110" spans="2:13" x14ac:dyDescent="0.15">
      <c r="C110" s="67">
        <v>8</v>
      </c>
      <c r="D110" s="993">
        <v>-2</v>
      </c>
      <c r="E110" s="993">
        <v>-4</v>
      </c>
      <c r="F110" s="993">
        <v>4</v>
      </c>
      <c r="G110" s="993">
        <v>-5</v>
      </c>
      <c r="H110" s="993">
        <v>-7</v>
      </c>
      <c r="I110" s="993">
        <v>-8</v>
      </c>
      <c r="J110" s="993">
        <v>-15</v>
      </c>
      <c r="K110" s="993">
        <v>-15</v>
      </c>
      <c r="M110" s="5" cm="1">
        <f t="array" ref="M110">10*LOG10(SUM(10^((D110:K110+$AF$46:$AM$46)/10)))</f>
        <v>-7.8033601241953562E-2</v>
      </c>
    </row>
    <row r="111" spans="2:13" x14ac:dyDescent="0.15">
      <c r="C111" s="67">
        <v>6</v>
      </c>
      <c r="D111" s="993">
        <v>0</v>
      </c>
      <c r="E111" s="993">
        <v>1</v>
      </c>
      <c r="F111" s="993">
        <v>4</v>
      </c>
      <c r="G111" s="993">
        <v>-5</v>
      </c>
      <c r="H111" s="993">
        <v>-6</v>
      </c>
      <c r="I111" s="993">
        <v>-8</v>
      </c>
      <c r="J111" s="993">
        <v>-16</v>
      </c>
      <c r="K111" s="993">
        <v>-15</v>
      </c>
      <c r="M111" s="5" cm="1">
        <f t="array" ref="M111">10*LOG10(SUM(10^((D111:K111+$AF$46:$AM$46)/10)))</f>
        <v>0.20229849119711274</v>
      </c>
    </row>
    <row r="112" spans="2:13" x14ac:dyDescent="0.15">
      <c r="C112" s="996">
        <v>5</v>
      </c>
      <c r="D112" s="995">
        <f>AVERAGE(D111,D113)</f>
        <v>3</v>
      </c>
      <c r="E112" s="995">
        <f t="shared" ref="E112" si="30">AVERAGE(E111,E113)</f>
        <v>3.5</v>
      </c>
      <c r="F112" s="995">
        <f t="shared" ref="F112" si="31">AVERAGE(F111,F113)</f>
        <v>2.5</v>
      </c>
      <c r="G112" s="995">
        <f t="shared" ref="G112" si="32">AVERAGE(G111,G113)</f>
        <v>-4.5</v>
      </c>
      <c r="H112" s="995">
        <f t="shared" ref="H112" si="33">AVERAGE(H111,H113)</f>
        <v>-5.5</v>
      </c>
      <c r="I112" s="995">
        <f t="shared" ref="I112" si="34">AVERAGE(I111,I113)</f>
        <v>-8</v>
      </c>
      <c r="J112" s="995">
        <f t="shared" ref="J112" si="35">AVERAGE(J111,J113)</f>
        <v>-16.5</v>
      </c>
      <c r="K112" s="995">
        <f t="shared" ref="K112" si="36">AVERAGE(K111,K113)</f>
        <v>-18.5</v>
      </c>
      <c r="M112" s="5" cm="1">
        <f t="array" ref="M112">10*LOG10(SUM(10^((D112:K112+$AF$46:$AM$46)/10)))</f>
        <v>2.1453891105877292E-2</v>
      </c>
    </row>
    <row r="113" spans="2:13" x14ac:dyDescent="0.15">
      <c r="C113" s="67">
        <v>4</v>
      </c>
      <c r="D113" s="993">
        <v>6</v>
      </c>
      <c r="E113" s="993">
        <v>6</v>
      </c>
      <c r="F113" s="993">
        <v>1</v>
      </c>
      <c r="G113" s="993">
        <v>-4</v>
      </c>
      <c r="H113" s="993">
        <v>-5</v>
      </c>
      <c r="I113" s="993">
        <v>-8</v>
      </c>
      <c r="J113" s="993">
        <v>-17</v>
      </c>
      <c r="K113" s="993">
        <v>-22</v>
      </c>
      <c r="M113" s="5" cm="1">
        <f t="array" ref="M113">10*LOG10(SUM(10^((D113:K113+$AF$46:$AM$46)/10)))</f>
        <v>0.11474792809292644</v>
      </c>
    </row>
    <row r="115" spans="2:13" x14ac:dyDescent="0.15">
      <c r="B115" t="s">
        <v>1150</v>
      </c>
      <c r="C115" s="994">
        <f>W9</f>
        <v>7.2652429851960978</v>
      </c>
    </row>
    <row r="116" spans="2:13" x14ac:dyDescent="0.15">
      <c r="B116" t="s">
        <v>2115</v>
      </c>
      <c r="C116" s="992" cm="1">
        <f t="array" ref="C116">INDEX(C109:C113, MATCH(MIN(ABS($C$109:$C$113-$C$115)), ABS($C$109:$C$113-$C$115), 0))</f>
        <v>8</v>
      </c>
      <c r="D116" s="992" cm="1">
        <f t="array" ref="D116">INDEX(D109:D113, MATCH(MIN(ABS($C$109:$C$113-$C$115)), ABS($C$109:$C$113-$C$115), 0))</f>
        <v>-2</v>
      </c>
      <c r="E116" s="992" cm="1">
        <f t="array" ref="E116">INDEX(E109:E113, MATCH(MIN(ABS($C$109:$C$113-$C$115)), ABS($C$109:$C$113-$C$115), 0))</f>
        <v>-4</v>
      </c>
      <c r="F116" s="992" cm="1">
        <f t="array" ref="F116">INDEX(F109:F113, MATCH(MIN(ABS($C$109:$C$113-$C$115)), ABS($C$109:$C$113-$C$115), 0))</f>
        <v>4</v>
      </c>
      <c r="G116" s="992" cm="1">
        <f t="array" ref="G116">INDEX(G109:G113, MATCH(MIN(ABS($C$109:$C$113-$C$115)), ABS($C$109:$C$113-$C$115), 0))</f>
        <v>-5</v>
      </c>
      <c r="H116" s="992" cm="1">
        <f t="array" ref="H116">INDEX(H109:H113, MATCH(MIN(ABS($C$109:$C$113-$C$115)), ABS($C$109:$C$113-$C$115), 0))</f>
        <v>-7</v>
      </c>
      <c r="I116" s="992" cm="1">
        <f t="array" ref="I116">INDEX(I109:I113, MATCH(MIN(ABS($C$109:$C$113-$C$115)), ABS($C$109:$C$113-$C$115), 0))</f>
        <v>-8</v>
      </c>
      <c r="J116" s="992" cm="1">
        <f t="array" ref="J116">INDEX(J109:J113, MATCH(MIN(ABS($C$109:$C$113-$C$115)), ABS($C$109:$C$113-$C$115), 0))</f>
        <v>-15</v>
      </c>
      <c r="K116" s="992" cm="1">
        <f t="array" ref="K116">INDEX(K109:K113, MATCH(MIN(ABS($C$109:$C$113-$C$115)), ABS($C$109:$C$113-$C$115), 0))</f>
        <v>-15</v>
      </c>
    </row>
  </sheetData>
  <conditionalFormatting sqref="C109">
    <cfRule type="expression" priority="38">
      <formula>C109=INDEX(C109:C113, MATCH(MIN(ABS($C$109:$C$113-$C$115)), ABS($C$109:$C$113-$C$115), 0))</formula>
    </cfRule>
  </conditionalFormatting>
  <conditionalFormatting sqref="H82:H86 H88 H90">
    <cfRule type="cellIs" dxfId="66" priority="5" operator="equal">
      <formula>FALSE</formula>
    </cfRule>
    <cfRule type="cellIs" dxfId="65" priority="6" operator="equal">
      <formula>TRUE</formula>
    </cfRule>
  </conditionalFormatting>
  <conditionalFormatting sqref="W10">
    <cfRule type="cellIs" dxfId="64" priority="3" operator="equal">
      <formula>FALSE</formula>
    </cfRule>
    <cfRule type="cellIs" dxfId="63" priority="4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4F06-9E7C-410A-8FE2-AF4747F8F61C}">
  <dimension ref="B2:AQ52"/>
  <sheetViews>
    <sheetView topLeftCell="A21" zoomScale="85" zoomScaleNormal="85" workbookViewId="0">
      <selection activeCell="I46" sqref="I46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5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5" t="s">
        <v>430</v>
      </c>
      <c r="AG3" s="1507" t="s">
        <v>431</v>
      </c>
    </row>
    <row r="4" spans="2:43" x14ac:dyDescent="0.15">
      <c r="B4" t="s">
        <v>7</v>
      </c>
      <c r="C4" s="314">
        <f>TuloksetC!E37</f>
        <v>7.7263330467075084</v>
      </c>
      <c r="D4" t="s">
        <v>25</v>
      </c>
      <c r="E4" s="313">
        <f>'C-series'!E44/'C-series'!E33^2</f>
        <v>5.9599999999999996E-4</v>
      </c>
      <c r="F4" s="313">
        <f>AVERAGE(E4:E5)</f>
        <v>5.9599999999999996E-4</v>
      </c>
      <c r="K4" s="1510" t="s">
        <v>432</v>
      </c>
      <c r="L4" s="1448" t="s">
        <v>433</v>
      </c>
      <c r="M4" s="1448" t="s">
        <v>434</v>
      </c>
      <c r="N4" s="1448" t="s">
        <v>435</v>
      </c>
      <c r="O4" s="1448" t="s">
        <v>436</v>
      </c>
      <c r="P4" s="1448" t="s">
        <v>437</v>
      </c>
      <c r="Q4" s="1504" t="s">
        <v>438</v>
      </c>
      <c r="R4" s="1504" t="s">
        <v>439</v>
      </c>
      <c r="S4" s="1504" t="s">
        <v>440</v>
      </c>
      <c r="T4" s="1504" t="s">
        <v>441</v>
      </c>
      <c r="U4" s="1504" t="s">
        <v>442</v>
      </c>
      <c r="V4" s="1504" t="s">
        <v>443</v>
      </c>
      <c r="W4" s="1506"/>
      <c r="X4" s="1503" t="s">
        <v>61</v>
      </c>
      <c r="Y4" s="1503" t="s">
        <v>62</v>
      </c>
      <c r="Z4" s="1503" t="s">
        <v>63</v>
      </c>
      <c r="AA4" s="1503" t="s">
        <v>64</v>
      </c>
      <c r="AB4" s="1503" t="s">
        <v>65</v>
      </c>
      <c r="AC4" s="1503" t="s">
        <v>66</v>
      </c>
      <c r="AD4" s="1503" t="s">
        <v>67</v>
      </c>
      <c r="AE4" s="1503" t="s">
        <v>68</v>
      </c>
      <c r="AF4" s="1506"/>
      <c r="AG4" s="1508"/>
    </row>
    <row r="5" spans="2:43" x14ac:dyDescent="0.15">
      <c r="B5" t="s">
        <v>8</v>
      </c>
      <c r="C5" s="314">
        <f>TuloksetC!H37</f>
        <v>7.2652429851960978</v>
      </c>
      <c r="D5" t="s">
        <v>25</v>
      </c>
      <c r="E5" s="313">
        <f>'C-series'!G44/'C-series'!G33^2</f>
        <v>5.9599999999999996E-4</v>
      </c>
      <c r="K5" s="1510"/>
      <c r="L5" s="1448"/>
      <c r="M5" s="1448"/>
      <c r="N5" s="1448"/>
      <c r="O5" s="1448"/>
      <c r="P5" s="1448"/>
      <c r="Q5" s="1504"/>
      <c r="R5" s="1504"/>
      <c r="S5" s="1504"/>
      <c r="T5" s="1504"/>
      <c r="U5" s="1504"/>
      <c r="V5" s="1504"/>
      <c r="W5" s="1506"/>
      <c r="X5" s="1503"/>
      <c r="Y5" s="1503"/>
      <c r="Z5" s="1503"/>
      <c r="AA5" s="1503"/>
      <c r="AB5" s="1503"/>
      <c r="AC5" s="1503"/>
      <c r="AD5" s="1503"/>
      <c r="AE5" s="1503"/>
      <c r="AF5" s="1503"/>
      <c r="AG5" s="1509"/>
    </row>
    <row r="6" spans="2:43" x14ac:dyDescent="0.15">
      <c r="K6" s="308">
        <v>100</v>
      </c>
      <c r="L6" s="916">
        <v>10.013000000000002</v>
      </c>
      <c r="M6" s="917">
        <v>593.49694891091644</v>
      </c>
      <c r="N6" s="917">
        <v>-60.779353081988738</v>
      </c>
      <c r="O6" s="917">
        <v>113.21584831795167</v>
      </c>
      <c r="P6" s="917">
        <v>173.99520139994041</v>
      </c>
      <c r="Q6" s="820">
        <v>10</v>
      </c>
      <c r="R6" s="918">
        <v>9.9969999999999999</v>
      </c>
      <c r="S6" s="919">
        <v>637.28372580002429</v>
      </c>
      <c r="T6" s="919">
        <v>-41.768957867521706</v>
      </c>
      <c r="U6" s="919">
        <v>138.74710520111142</v>
      </c>
      <c r="V6" s="919">
        <v>180.51606306863312</v>
      </c>
      <c r="W6" s="917">
        <v>1453.9596730911717</v>
      </c>
      <c r="X6" s="917">
        <v>63.277116227180905</v>
      </c>
      <c r="Y6" s="917">
        <v>57.800940533346193</v>
      </c>
      <c r="Z6" s="917">
        <v>52.145382551719521</v>
      </c>
      <c r="AA6" s="917">
        <v>44.269513365176827</v>
      </c>
      <c r="AB6" s="917">
        <v>42.589015506330135</v>
      </c>
      <c r="AC6" s="917">
        <v>42.201364142768767</v>
      </c>
      <c r="AD6" s="917">
        <v>34.849105445879069</v>
      </c>
      <c r="AE6" s="917">
        <v>33.047424707961468</v>
      </c>
      <c r="AF6" s="917">
        <v>64.712699654404076</v>
      </c>
      <c r="AG6" s="920">
        <v>49.959495723320273</v>
      </c>
      <c r="AI6" s="3">
        <f>X6-$AG6</f>
        <v>13.317620503860631</v>
      </c>
      <c r="AJ6" s="3">
        <f t="shared" ref="AJ6:AP11" si="0">Y6-$AG6</f>
        <v>7.8414448100259193</v>
      </c>
      <c r="AK6" s="3">
        <f t="shared" si="0"/>
        <v>2.1858868283992479</v>
      </c>
      <c r="AL6" s="3">
        <f t="shared" si="0"/>
        <v>-5.6899823581434461</v>
      </c>
      <c r="AM6" s="3">
        <f t="shared" si="0"/>
        <v>-7.3704802169901384</v>
      </c>
      <c r="AN6" s="3">
        <f t="shared" si="0"/>
        <v>-7.7581315805515061</v>
      </c>
      <c r="AO6" s="3">
        <f t="shared" si="0"/>
        <v>-15.110390277441205</v>
      </c>
      <c r="AP6" s="3">
        <f>AE6-$AG6</f>
        <v>-16.912071015358805</v>
      </c>
      <c r="AQ6" s="3"/>
    </row>
    <row r="7" spans="2:43" x14ac:dyDescent="0.15">
      <c r="B7" s="2" t="s">
        <v>88</v>
      </c>
      <c r="K7" s="308">
        <v>100</v>
      </c>
      <c r="L7" s="916">
        <v>9.9978999999999996</v>
      </c>
      <c r="M7" s="917">
        <v>530.73121249302289</v>
      </c>
      <c r="N7" s="917">
        <v>-134.99538471552299</v>
      </c>
      <c r="O7" s="917">
        <v>198.05356854622056</v>
      </c>
      <c r="P7" s="917">
        <v>333.04895326174358</v>
      </c>
      <c r="Q7" s="820">
        <v>10</v>
      </c>
      <c r="R7" s="918">
        <v>10.010000000000002</v>
      </c>
      <c r="S7" s="919">
        <v>566.42179528729196</v>
      </c>
      <c r="T7" s="919">
        <v>-146.57325814041792</v>
      </c>
      <c r="U7" s="919">
        <v>193.32922982456847</v>
      </c>
      <c r="V7" s="919">
        <v>339.90248796498639</v>
      </c>
      <c r="W7" s="917">
        <v>1440.1126279513003</v>
      </c>
      <c r="X7" s="917">
        <v>60.765315528379212</v>
      </c>
      <c r="Y7" s="917">
        <v>56.516530848866594</v>
      </c>
      <c r="Z7" s="917">
        <v>53.056254047520795</v>
      </c>
      <c r="AA7" s="917">
        <v>43.698397785708842</v>
      </c>
      <c r="AB7" s="917">
        <v>42.097800798444496</v>
      </c>
      <c r="AC7" s="917">
        <v>41.855949583599724</v>
      </c>
      <c r="AD7" s="917">
        <v>34.536177157792864</v>
      </c>
      <c r="AE7" s="917">
        <v>33.093393586209444</v>
      </c>
      <c r="AF7" s="917">
        <v>62.794551007073956</v>
      </c>
      <c r="AG7" s="920">
        <v>49.622154443664968</v>
      </c>
      <c r="AI7" s="3">
        <f t="shared" ref="AI7:AI11" si="1">X7-$AG7</f>
        <v>11.143161084714244</v>
      </c>
      <c r="AJ7" s="3">
        <f t="shared" si="0"/>
        <v>6.8943764052016263</v>
      </c>
      <c r="AK7" s="3">
        <f t="shared" si="0"/>
        <v>3.4340996038558274</v>
      </c>
      <c r="AL7" s="3">
        <f t="shared" si="0"/>
        <v>-5.923756657956126</v>
      </c>
      <c r="AM7" s="3">
        <f t="shared" si="0"/>
        <v>-7.5243536452204722</v>
      </c>
      <c r="AN7" s="3">
        <f t="shared" si="0"/>
        <v>-7.766204860065244</v>
      </c>
      <c r="AO7" s="3">
        <f t="shared" si="0"/>
        <v>-15.085977285872104</v>
      </c>
      <c r="AP7" s="3">
        <f t="shared" si="0"/>
        <v>-16.528760857455524</v>
      </c>
      <c r="AQ7" s="3"/>
    </row>
    <row r="8" spans="2:43" x14ac:dyDescent="0.15">
      <c r="B8" t="s">
        <v>90</v>
      </c>
      <c r="K8" s="308">
        <v>100</v>
      </c>
      <c r="L8" s="916">
        <v>9.9989999999999988</v>
      </c>
      <c r="M8" s="917">
        <v>444.93207725649069</v>
      </c>
      <c r="N8" s="917">
        <v>-215.6244943136391</v>
      </c>
      <c r="O8" s="917">
        <v>321.23077888728074</v>
      </c>
      <c r="P8" s="917">
        <v>536.85527320091978</v>
      </c>
      <c r="Q8" s="820">
        <v>10</v>
      </c>
      <c r="R8" s="918">
        <v>9.9989999999999988</v>
      </c>
      <c r="S8" s="919">
        <v>476.49781301424628</v>
      </c>
      <c r="T8" s="919">
        <v>-202.04526615257149</v>
      </c>
      <c r="U8" s="919">
        <v>325.06033722660879</v>
      </c>
      <c r="V8" s="919">
        <v>527.10560337918025</v>
      </c>
      <c r="W8" s="917">
        <v>1447.0854470746503</v>
      </c>
      <c r="X8" s="917">
        <v>65.657040295560918</v>
      </c>
      <c r="Y8" s="917">
        <v>58.791640002454635</v>
      </c>
      <c r="Z8" s="917">
        <v>57.392824134673958</v>
      </c>
      <c r="AA8" s="917">
        <v>44.974965662994038</v>
      </c>
      <c r="AB8" s="917">
        <v>42.080518990332195</v>
      </c>
      <c r="AC8" s="917">
        <v>41.786493746054802</v>
      </c>
      <c r="AD8" s="917">
        <v>34.415667321604957</v>
      </c>
      <c r="AE8" s="917">
        <v>33.238503725309542</v>
      </c>
      <c r="AF8" s="917">
        <v>67.034703389490446</v>
      </c>
      <c r="AG8" s="920">
        <v>51.572881755630256</v>
      </c>
      <c r="AI8" s="3">
        <f t="shared" si="1"/>
        <v>14.084158539930662</v>
      </c>
      <c r="AJ8" s="3">
        <f t="shared" si="0"/>
        <v>7.2187582468243789</v>
      </c>
      <c r="AK8" s="3">
        <f t="shared" si="0"/>
        <v>5.8199423790437024</v>
      </c>
      <c r="AL8" s="3">
        <f t="shared" si="0"/>
        <v>-6.5979160926362184</v>
      </c>
      <c r="AM8" s="3">
        <f t="shared" si="0"/>
        <v>-9.4923627652980613</v>
      </c>
      <c r="AN8" s="3">
        <f t="shared" si="0"/>
        <v>-9.7863880095754539</v>
      </c>
      <c r="AO8" s="3">
        <f t="shared" si="0"/>
        <v>-17.157214434025299</v>
      </c>
      <c r="AP8" s="3">
        <f t="shared" si="0"/>
        <v>-18.334378030320714</v>
      </c>
      <c r="AQ8" s="3"/>
    </row>
    <row r="9" spans="2:43" x14ac:dyDescent="0.15">
      <c r="B9" t="s">
        <v>89</v>
      </c>
      <c r="K9" s="308">
        <v>100</v>
      </c>
      <c r="L9" s="916">
        <v>10.010999999999997</v>
      </c>
      <c r="M9" s="917">
        <v>356.47992620715348</v>
      </c>
      <c r="N9" s="917">
        <v>-352.69289114144334</v>
      </c>
      <c r="O9" s="917">
        <v>368.55496861191909</v>
      </c>
      <c r="P9" s="917">
        <v>721.24785975336249</v>
      </c>
      <c r="Q9" s="820">
        <v>10</v>
      </c>
      <c r="R9" s="918">
        <v>10.013000000000002</v>
      </c>
      <c r="S9" s="919">
        <v>380.28161024390653</v>
      </c>
      <c r="T9" s="919">
        <v>-365.98887130100553</v>
      </c>
      <c r="U9" s="919">
        <v>358.94521439218528</v>
      </c>
      <c r="V9" s="919">
        <v>724.93408569319081</v>
      </c>
      <c r="W9" s="917">
        <v>1430.2611937791457</v>
      </c>
      <c r="X9" s="917">
        <v>68.606259468567558</v>
      </c>
      <c r="Y9" s="917">
        <v>63.322475138903513</v>
      </c>
      <c r="Z9" s="917">
        <v>62.334616923704303</v>
      </c>
      <c r="AA9" s="917">
        <v>49.019365226251253</v>
      </c>
      <c r="AB9" s="917">
        <v>43.650848990607535</v>
      </c>
      <c r="AC9" s="917">
        <v>42.990729954783347</v>
      </c>
      <c r="AD9" s="917">
        <v>35.977643671153871</v>
      </c>
      <c r="AE9" s="917">
        <v>34.582644949037523</v>
      </c>
      <c r="AF9" s="917">
        <v>70.509751787094274</v>
      </c>
      <c r="AG9" s="920">
        <v>55.375528164873884</v>
      </c>
      <c r="AI9" s="3">
        <f t="shared" si="1"/>
        <v>13.230731303693673</v>
      </c>
      <c r="AJ9" s="3">
        <f t="shared" si="0"/>
        <v>7.946946974029629</v>
      </c>
      <c r="AK9" s="3">
        <f t="shared" si="0"/>
        <v>6.9590887588304184</v>
      </c>
      <c r="AL9" s="3">
        <f t="shared" si="0"/>
        <v>-6.3561629386226315</v>
      </c>
      <c r="AM9" s="3">
        <f t="shared" si="0"/>
        <v>-11.724679174266349</v>
      </c>
      <c r="AN9" s="3">
        <f t="shared" si="0"/>
        <v>-12.384798210090537</v>
      </c>
      <c r="AO9" s="3">
        <f t="shared" si="0"/>
        <v>-19.397884493720014</v>
      </c>
      <c r="AP9" s="3">
        <f t="shared" si="0"/>
        <v>-20.792883215836362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916">
        <v>8</v>
      </c>
      <c r="M10" s="917">
        <v>525.43524498311842</v>
      </c>
      <c r="N10" s="917">
        <v>-46.079347585231645</v>
      </c>
      <c r="O10" s="917">
        <v>87.27863100141505</v>
      </c>
      <c r="P10" s="917">
        <v>133.35797858664671</v>
      </c>
      <c r="Q10" s="820">
        <v>8</v>
      </c>
      <c r="R10" s="918">
        <v>8.0129999999999999</v>
      </c>
      <c r="S10" s="919">
        <v>574.80863263645097</v>
      </c>
      <c r="T10" s="919">
        <v>-33.384634644602386</v>
      </c>
      <c r="U10" s="919">
        <v>113.34557168789215</v>
      </c>
      <c r="V10" s="919">
        <v>146.73020633249453</v>
      </c>
      <c r="W10" s="917">
        <v>1036.1239941791187</v>
      </c>
      <c r="X10" s="917">
        <v>60.159171910192995</v>
      </c>
      <c r="Y10" s="917">
        <v>55.845085529798631</v>
      </c>
      <c r="Z10" s="917">
        <v>53.056798156403879</v>
      </c>
      <c r="AA10" s="917">
        <v>40.815817337628921</v>
      </c>
      <c r="AB10" s="917">
        <v>40.48720998396238</v>
      </c>
      <c r="AC10" s="917">
        <v>39.449695370500912</v>
      </c>
      <c r="AD10" s="917">
        <v>31.550288971483823</v>
      </c>
      <c r="AE10" s="917">
        <v>30.420551477298478</v>
      </c>
      <c r="AF10" s="917">
        <v>62.19645945060595</v>
      </c>
      <c r="AG10" s="920">
        <v>48.124368787598968</v>
      </c>
      <c r="AI10" s="3">
        <f t="shared" si="1"/>
        <v>12.034803122594028</v>
      </c>
      <c r="AJ10" s="3">
        <f t="shared" si="0"/>
        <v>7.720716742199663</v>
      </c>
      <c r="AK10" s="3">
        <f t="shared" si="0"/>
        <v>4.932429368804911</v>
      </c>
      <c r="AL10" s="3">
        <f t="shared" si="0"/>
        <v>-7.3085514499700466</v>
      </c>
      <c r="AM10" s="3">
        <f t="shared" si="0"/>
        <v>-7.6371588036365878</v>
      </c>
      <c r="AN10" s="3">
        <f t="shared" si="0"/>
        <v>-8.6746734170980559</v>
      </c>
      <c r="AO10" s="3">
        <f t="shared" si="0"/>
        <v>-16.574079816115145</v>
      </c>
      <c r="AP10" s="3">
        <f t="shared" si="0"/>
        <v>-17.70381731030049</v>
      </c>
      <c r="AQ10" s="3"/>
    </row>
    <row r="11" spans="2:43" x14ac:dyDescent="0.15">
      <c r="B11" t="s">
        <v>141</v>
      </c>
      <c r="C11" s="107">
        <f>L42</f>
        <v>12.748275934030902</v>
      </c>
      <c r="D11" s="107">
        <f>M42</f>
        <v>23.001919920520109</v>
      </c>
      <c r="F11" t="s">
        <v>459</v>
      </c>
      <c r="K11" s="308">
        <v>80</v>
      </c>
      <c r="L11" s="916">
        <v>7.9989999999999997</v>
      </c>
      <c r="M11" s="917">
        <v>461.84475509427824</v>
      </c>
      <c r="N11" s="917">
        <v>-117.64895212551353</v>
      </c>
      <c r="O11" s="917">
        <v>149.28065326605832</v>
      </c>
      <c r="P11" s="917">
        <v>266.92960539157184</v>
      </c>
      <c r="Q11" s="820">
        <v>8</v>
      </c>
      <c r="R11" s="918">
        <v>8.0121000000000002</v>
      </c>
      <c r="S11" s="919">
        <v>510.35062304601644</v>
      </c>
      <c r="T11" s="919">
        <v>-119.37476828913897</v>
      </c>
      <c r="U11" s="919">
        <v>158.15794012310647</v>
      </c>
      <c r="V11" s="919">
        <v>277.53270841224543</v>
      </c>
      <c r="W11" s="917">
        <v>1046.5190733857305</v>
      </c>
      <c r="X11" s="917">
        <v>60.125620315914567</v>
      </c>
      <c r="Y11" s="917">
        <v>57.839524878019674</v>
      </c>
      <c r="Z11" s="917">
        <v>53.823782442353412</v>
      </c>
      <c r="AA11" s="917">
        <v>40.669492780358432</v>
      </c>
      <c r="AB11" s="917">
        <v>39.863930711965637</v>
      </c>
      <c r="AC11" s="917">
        <v>39.01442715017113</v>
      </c>
      <c r="AD11" s="917">
        <v>31.589642991145695</v>
      </c>
      <c r="AE11" s="917">
        <v>29.874254426408562</v>
      </c>
      <c r="AF11" s="917">
        <v>62.811147590752171</v>
      </c>
      <c r="AG11" s="920">
        <v>48.629008822714624</v>
      </c>
      <c r="AI11" s="3">
        <f t="shared" si="1"/>
        <v>11.496611493199943</v>
      </c>
      <c r="AJ11" s="3">
        <f t="shared" si="0"/>
        <v>9.2105160553050496</v>
      </c>
      <c r="AK11" s="3">
        <f t="shared" si="0"/>
        <v>5.1947736196387879</v>
      </c>
      <c r="AL11" s="3">
        <f t="shared" si="0"/>
        <v>-7.9595160423561921</v>
      </c>
      <c r="AM11" s="3">
        <f t="shared" si="0"/>
        <v>-8.7650781107489877</v>
      </c>
      <c r="AN11" s="3">
        <f t="shared" si="0"/>
        <v>-9.6145816725434941</v>
      </c>
      <c r="AO11" s="3">
        <f t="shared" si="0"/>
        <v>-17.039365831568929</v>
      </c>
      <c r="AP11" s="3">
        <f t="shared" si="0"/>
        <v>-18.754754396306062</v>
      </c>
      <c r="AQ11" s="3"/>
    </row>
    <row r="12" spans="2:43" x14ac:dyDescent="0.15">
      <c r="B12" t="s">
        <v>457</v>
      </c>
      <c r="C12" s="107">
        <f>U42</f>
        <v>992.61629964460951</v>
      </c>
      <c r="D12" s="107">
        <f>V42</f>
        <v>-2.6479929923922936</v>
      </c>
      <c r="E12" s="314">
        <f>C12*F4+D12</f>
        <v>-2.0563936778041061</v>
      </c>
      <c r="F12" s="314">
        <f>IF(E12&lt;-4,-4,IF(E12&gt;4,4,E12))</f>
        <v>-2.0563936778041061</v>
      </c>
      <c r="G12" t="s">
        <v>31</v>
      </c>
      <c r="K12" s="308">
        <v>80</v>
      </c>
      <c r="L12" s="916">
        <v>8.0071999999999992</v>
      </c>
      <c r="M12" s="917">
        <v>386.13445898404882</v>
      </c>
      <c r="N12" s="917">
        <v>-163.84243811317057</v>
      </c>
      <c r="O12" s="917">
        <v>242.10704768486863</v>
      </c>
      <c r="P12" s="917">
        <v>405.94948579803918</v>
      </c>
      <c r="Q12" s="820">
        <v>8</v>
      </c>
      <c r="R12" s="918">
        <v>7.9969999999999999</v>
      </c>
      <c r="S12" s="919">
        <v>417.63784483048431</v>
      </c>
      <c r="T12" s="919">
        <v>-160.30119521786233</v>
      </c>
      <c r="U12" s="919">
        <v>262.25222875586138</v>
      </c>
      <c r="V12" s="919">
        <v>422.55342397372374</v>
      </c>
      <c r="W12" s="917">
        <v>1000.8260545364604</v>
      </c>
      <c r="X12" s="917">
        <v>60.642298169288431</v>
      </c>
      <c r="Y12" s="917">
        <v>56.915533006974002</v>
      </c>
      <c r="Z12" s="917">
        <v>57.458385191885952</v>
      </c>
      <c r="AA12" s="917">
        <v>41.526692916329289</v>
      </c>
      <c r="AB12" s="917">
        <v>39.700435794336549</v>
      </c>
      <c r="AC12" s="917">
        <v>39.238422669710488</v>
      </c>
      <c r="AD12" s="917">
        <v>31.493852592655593</v>
      </c>
      <c r="AE12" s="917">
        <v>29.896266428890232</v>
      </c>
      <c r="AF12" s="917">
        <v>63.506796662525943</v>
      </c>
      <c r="AG12" s="920">
        <v>49.868043464847737</v>
      </c>
      <c r="AI12" s="3">
        <f t="shared" ref="AI12:AI21" si="2">X12-$AG12</f>
        <v>10.774254704440693</v>
      </c>
      <c r="AJ12" s="3">
        <f t="shared" ref="AJ12:AJ21" si="3">Y12-$AG12</f>
        <v>7.0474895421262644</v>
      </c>
      <c r="AK12" s="3">
        <f t="shared" ref="AK12:AK21" si="4">Z12-$AG12</f>
        <v>7.590341727038215</v>
      </c>
      <c r="AL12" s="3">
        <f t="shared" ref="AL12:AL21" si="5">AA12-$AG12</f>
        <v>-8.3413505485184487</v>
      </c>
      <c r="AM12" s="3">
        <f t="shared" ref="AM12:AM21" si="6">AB12-$AG12</f>
        <v>-10.167607670511188</v>
      </c>
      <c r="AN12" s="3">
        <f t="shared" ref="AN12:AN21" si="7">AC12-$AG12</f>
        <v>-10.629620795137249</v>
      </c>
      <c r="AO12" s="3">
        <f t="shared" ref="AO12:AO21" si="8">AD12-$AG12</f>
        <v>-18.374190872192145</v>
      </c>
      <c r="AP12" s="3">
        <f t="shared" ref="AP12:AP21" si="9">AE12-$AG12</f>
        <v>-19.971777035957505</v>
      </c>
      <c r="AQ12" s="3"/>
    </row>
    <row r="13" spans="2:43" x14ac:dyDescent="0.15">
      <c r="K13" s="308">
        <v>80</v>
      </c>
      <c r="L13" s="916">
        <v>8.0139999999999976</v>
      </c>
      <c r="M13" s="917">
        <v>281.3086470848794</v>
      </c>
      <c r="N13" s="917">
        <v>-314.14462850704427</v>
      </c>
      <c r="O13" s="917">
        <v>236.33414284476072</v>
      </c>
      <c r="P13" s="917">
        <v>550.47877135180499</v>
      </c>
      <c r="Q13" s="820">
        <v>8</v>
      </c>
      <c r="R13" s="918">
        <v>8.004999999999999</v>
      </c>
      <c r="S13" s="919">
        <v>317.57456531266109</v>
      </c>
      <c r="T13" s="919">
        <v>-284.68071857396677</v>
      </c>
      <c r="U13" s="919">
        <v>272.25739993171999</v>
      </c>
      <c r="V13" s="919">
        <v>556.93811850568682</v>
      </c>
      <c r="W13" s="917">
        <v>940.3740720129739</v>
      </c>
      <c r="X13" s="917">
        <v>63.684171535106614</v>
      </c>
      <c r="Y13" s="917">
        <v>62.816091986455014</v>
      </c>
      <c r="Z13" s="917">
        <v>62.025119232225578</v>
      </c>
      <c r="AA13" s="917">
        <v>46.728329097721257</v>
      </c>
      <c r="AB13" s="917">
        <v>41.378968011957738</v>
      </c>
      <c r="AC13" s="917">
        <v>39.865743904581315</v>
      </c>
      <c r="AD13" s="917">
        <v>33.071361729296697</v>
      </c>
      <c r="AE13" s="917">
        <v>30.850899662337611</v>
      </c>
      <c r="AF13" s="917">
        <v>67.720339216978232</v>
      </c>
      <c r="AG13" s="920">
        <v>54.011171297709097</v>
      </c>
      <c r="AI13" s="3">
        <f t="shared" si="2"/>
        <v>9.6730002373975168</v>
      </c>
      <c r="AJ13" s="3">
        <f t="shared" si="3"/>
        <v>8.8049206887459164</v>
      </c>
      <c r="AK13" s="3">
        <f t="shared" si="4"/>
        <v>8.0139479345164801</v>
      </c>
      <c r="AL13" s="3">
        <f t="shared" si="5"/>
        <v>-7.2828421999878401</v>
      </c>
      <c r="AM13" s="3">
        <f t="shared" si="6"/>
        <v>-12.632203285751359</v>
      </c>
      <c r="AN13" s="3">
        <f t="shared" si="7"/>
        <v>-14.145427393127783</v>
      </c>
      <c r="AO13" s="3">
        <f t="shared" si="8"/>
        <v>-20.9398095684124</v>
      </c>
      <c r="AP13" s="3">
        <f t="shared" si="9"/>
        <v>-23.160271635371487</v>
      </c>
      <c r="AQ13" s="3"/>
    </row>
    <row r="14" spans="2:43" x14ac:dyDescent="0.15">
      <c r="F14" t="s">
        <v>458</v>
      </c>
      <c r="H14" t="s">
        <v>460</v>
      </c>
      <c r="K14" s="308">
        <v>60</v>
      </c>
      <c r="L14" s="916">
        <v>5.9979999999999993</v>
      </c>
      <c r="M14" s="917">
        <v>375.79070229313464</v>
      </c>
      <c r="N14" s="917">
        <v>-26.411210756881985</v>
      </c>
      <c r="O14" s="917">
        <v>44.993306210362888</v>
      </c>
      <c r="P14" s="917">
        <v>71.404516967244874</v>
      </c>
      <c r="Q14" s="820">
        <v>6</v>
      </c>
      <c r="R14" s="918">
        <v>6.0020000000000007</v>
      </c>
      <c r="S14" s="919">
        <v>418.24254020982403</v>
      </c>
      <c r="T14" s="919">
        <v>-17.512914066370648</v>
      </c>
      <c r="U14" s="919">
        <v>60.719070876888999</v>
      </c>
      <c r="V14" s="919">
        <v>78.231984943259647</v>
      </c>
      <c r="W14" s="917">
        <v>459.09696788944336</v>
      </c>
      <c r="X14" s="917">
        <v>51.961934440150628</v>
      </c>
      <c r="Y14" s="917">
        <v>53.497191037540055</v>
      </c>
      <c r="Z14" s="917">
        <v>48.577281394245098</v>
      </c>
      <c r="AA14" s="917">
        <v>34.973233603761557</v>
      </c>
      <c r="AB14" s="917">
        <v>34.161215718908998</v>
      </c>
      <c r="AC14" s="917">
        <v>32.181117927841299</v>
      </c>
      <c r="AD14" s="917">
        <v>22.360237434024739</v>
      </c>
      <c r="AE14" s="917">
        <v>22.80434044444911</v>
      </c>
      <c r="AF14" s="917">
        <v>56.6338453765796</v>
      </c>
      <c r="AG14" s="920">
        <v>43.043444610882446</v>
      </c>
      <c r="AI14" s="3">
        <f t="shared" si="2"/>
        <v>8.9184898292681822</v>
      </c>
      <c r="AJ14" s="3">
        <f t="shared" si="3"/>
        <v>10.453746426657609</v>
      </c>
      <c r="AK14" s="3">
        <f t="shared" si="4"/>
        <v>5.5338367833626521</v>
      </c>
      <c r="AL14" s="3">
        <f t="shared" si="5"/>
        <v>-8.0702110071208892</v>
      </c>
      <c r="AM14" s="3">
        <f t="shared" si="6"/>
        <v>-8.8822288919734476</v>
      </c>
      <c r="AN14" s="3">
        <f t="shared" si="7"/>
        <v>-10.862326683041147</v>
      </c>
      <c r="AO14" s="3">
        <f t="shared" si="8"/>
        <v>-20.683207176857707</v>
      </c>
      <c r="AP14" s="3">
        <f t="shared" si="9"/>
        <v>-20.239104166433336</v>
      </c>
      <c r="AQ14" s="3"/>
    </row>
    <row r="15" spans="2:43" x14ac:dyDescent="0.15">
      <c r="B15" t="s">
        <v>91</v>
      </c>
      <c r="C15" s="314">
        <f>MAX(C4,C5)</f>
        <v>7.7263330467075084</v>
      </c>
      <c r="D15" t="s">
        <v>25</v>
      </c>
      <c r="E15" s="82" t="s">
        <v>42</v>
      </c>
      <c r="F15" s="5">
        <f>C11*LN(C15)+D11</f>
        <v>49.067483060841418</v>
      </c>
      <c r="G15" t="s">
        <v>31</v>
      </c>
      <c r="H15" s="3">
        <f>F15+F12</f>
        <v>47.011089383037316</v>
      </c>
      <c r="I15" t="s">
        <v>31</v>
      </c>
      <c r="K15" s="308">
        <v>60</v>
      </c>
      <c r="L15" s="916">
        <v>6.0060000000000002</v>
      </c>
      <c r="M15" s="917">
        <v>328.81633178499868</v>
      </c>
      <c r="N15" s="917">
        <v>-68.703836344084664</v>
      </c>
      <c r="O15" s="917">
        <v>77.760243828814325</v>
      </c>
      <c r="P15" s="917">
        <v>146.464080172899</v>
      </c>
      <c r="Q15" s="820">
        <v>6</v>
      </c>
      <c r="R15" s="918">
        <v>5.9949999999999992</v>
      </c>
      <c r="S15" s="919">
        <v>368.04642080342194</v>
      </c>
      <c r="T15" s="919">
        <v>-66.894236802547624</v>
      </c>
      <c r="U15" s="919">
        <v>87.527612741331154</v>
      </c>
      <c r="V15" s="919">
        <v>154.42184954387878</v>
      </c>
      <c r="W15" s="917">
        <v>460.98924677860111</v>
      </c>
      <c r="X15" s="917">
        <v>55.482166340012746</v>
      </c>
      <c r="Y15" s="917">
        <v>54.264718289367401</v>
      </c>
      <c r="Z15" s="917">
        <v>50.180730007031542</v>
      </c>
      <c r="AA15" s="917">
        <v>36.402573421058214</v>
      </c>
      <c r="AB15" s="917">
        <v>34.548107508043088</v>
      </c>
      <c r="AC15" s="917">
        <v>32.463333715088908</v>
      </c>
      <c r="AD15" s="917">
        <v>24.329333111277958</v>
      </c>
      <c r="AE15" s="917">
        <v>23.012583163158112</v>
      </c>
      <c r="AF15" s="917">
        <v>58.657175639324784</v>
      </c>
      <c r="AG15" s="920">
        <v>44.274271017518608</v>
      </c>
      <c r="AI15" s="3">
        <f t="shared" si="2"/>
        <v>11.207895322494139</v>
      </c>
      <c r="AJ15" s="3">
        <f t="shared" si="3"/>
        <v>9.9904472718487938</v>
      </c>
      <c r="AK15" s="3">
        <f t="shared" si="4"/>
        <v>5.9064589895129345</v>
      </c>
      <c r="AL15" s="3">
        <f t="shared" si="5"/>
        <v>-7.8716975964603932</v>
      </c>
      <c r="AM15" s="3">
        <f t="shared" si="6"/>
        <v>-9.7261635094755192</v>
      </c>
      <c r="AN15" s="3">
        <f t="shared" si="7"/>
        <v>-11.8109373024297</v>
      </c>
      <c r="AO15" s="3">
        <f t="shared" si="8"/>
        <v>-19.94493790624065</v>
      </c>
      <c r="AP15" s="3">
        <f t="shared" si="9"/>
        <v>-21.261687854360495</v>
      </c>
    </row>
    <row r="16" spans="2:43" x14ac:dyDescent="0.15">
      <c r="B16" t="s">
        <v>92</v>
      </c>
      <c r="C16" s="79">
        <f>(2*MAX(C4,C5)+MIN(C4,C5))/3</f>
        <v>7.5726363595370385</v>
      </c>
      <c r="D16" t="s">
        <v>25</v>
      </c>
      <c r="E16" s="82" t="s">
        <v>42</v>
      </c>
      <c r="F16" s="5">
        <f>C11*LN(C16)+D11</f>
        <v>48.811330682540515</v>
      </c>
      <c r="G16" t="s">
        <v>31</v>
      </c>
      <c r="H16" s="3">
        <f>F16+F12</f>
        <v>46.754937004736405</v>
      </c>
      <c r="I16" t="s">
        <v>31</v>
      </c>
      <c r="K16" s="308">
        <v>60</v>
      </c>
      <c r="L16" s="916">
        <v>5.9969999999999999</v>
      </c>
      <c r="M16" s="917">
        <v>285.80142111698365</v>
      </c>
      <c r="N16" s="917">
        <v>-89.426645293740052</v>
      </c>
      <c r="O16" s="917">
        <v>134.83447860647453</v>
      </c>
      <c r="P16" s="917">
        <v>224.26112390021459</v>
      </c>
      <c r="Q16" s="820">
        <v>6</v>
      </c>
      <c r="R16" s="918">
        <v>5.9939999999999998</v>
      </c>
      <c r="S16" s="919">
        <v>293.82638246065272</v>
      </c>
      <c r="T16" s="919">
        <v>-90.581415833642964</v>
      </c>
      <c r="U16" s="919">
        <v>147.82173366557504</v>
      </c>
      <c r="V16" s="919">
        <v>238.40314949921799</v>
      </c>
      <c r="W16" s="917">
        <v>455.52342682604638</v>
      </c>
      <c r="X16" s="917">
        <v>53.59182331732967</v>
      </c>
      <c r="Y16" s="917">
        <v>58.992286098690542</v>
      </c>
      <c r="Z16" s="917">
        <v>50.789552807367244</v>
      </c>
      <c r="AA16" s="917">
        <v>37.688437157762579</v>
      </c>
      <c r="AB16" s="917">
        <v>35.732484649915634</v>
      </c>
      <c r="AC16" s="917">
        <v>34.876781213384433</v>
      </c>
      <c r="AD16" s="917">
        <v>26.245739988241603</v>
      </c>
      <c r="AE16" s="917">
        <v>22.582854964958724</v>
      </c>
      <c r="AF16" s="917">
        <v>60.625084397487555</v>
      </c>
      <c r="AG16" s="920">
        <v>47.201799492571297</v>
      </c>
      <c r="AI16" s="3">
        <f t="shared" si="2"/>
        <v>6.3900238247583729</v>
      </c>
      <c r="AJ16" s="3">
        <f t="shared" si="3"/>
        <v>11.790486606119245</v>
      </c>
      <c r="AK16" s="3">
        <f t="shared" si="4"/>
        <v>3.5877533147959468</v>
      </c>
      <c r="AL16" s="3">
        <f t="shared" si="5"/>
        <v>-9.5133623348087184</v>
      </c>
      <c r="AM16" s="3">
        <f t="shared" si="6"/>
        <v>-11.469314842655663</v>
      </c>
      <c r="AN16" s="3">
        <f t="shared" si="7"/>
        <v>-12.325018279186864</v>
      </c>
      <c r="AO16" s="3">
        <f t="shared" si="8"/>
        <v>-20.956059504329694</v>
      </c>
      <c r="AP16" s="3">
        <f t="shared" si="9"/>
        <v>-24.618944527612573</v>
      </c>
    </row>
    <row r="17" spans="2:42" x14ac:dyDescent="0.15">
      <c r="K17" s="308">
        <v>60</v>
      </c>
      <c r="L17" s="916">
        <v>6.0099999999999989</v>
      </c>
      <c r="M17" s="917">
        <v>205.57319062839949</v>
      </c>
      <c r="N17" s="917">
        <v>-173.28087793854883</v>
      </c>
      <c r="O17" s="917">
        <v>129.83106424910829</v>
      </c>
      <c r="P17" s="917">
        <v>303.11194218765712</v>
      </c>
      <c r="Q17" s="820">
        <v>6</v>
      </c>
      <c r="R17" s="918">
        <v>6.0069999999999988</v>
      </c>
      <c r="S17" s="919">
        <v>216.36344241439886</v>
      </c>
      <c r="T17" s="919">
        <v>-159.91053040243636</v>
      </c>
      <c r="U17" s="919">
        <v>151.93282734462059</v>
      </c>
      <c r="V17" s="919">
        <v>311.84335774705698</v>
      </c>
      <c r="W17" s="917">
        <v>418.06164836795739</v>
      </c>
      <c r="X17" s="917">
        <v>62.820225999935474</v>
      </c>
      <c r="Y17" s="917">
        <v>64.337212614764994</v>
      </c>
      <c r="Z17" s="917">
        <v>52.643525349768225</v>
      </c>
      <c r="AA17" s="917">
        <v>38.119616547469548</v>
      </c>
      <c r="AB17" s="917">
        <v>35.16966549353937</v>
      </c>
      <c r="AC17" s="917">
        <v>33.459667131684547</v>
      </c>
      <c r="AD17" s="917">
        <v>23.365726360618297</v>
      </c>
      <c r="AE17" s="917">
        <v>22.565984695860518</v>
      </c>
      <c r="AF17" s="917">
        <v>66.83519328888903</v>
      </c>
      <c r="AG17" s="920">
        <v>51.067704078772323</v>
      </c>
      <c r="AI17" s="3">
        <f t="shared" si="2"/>
        <v>11.752521921163151</v>
      </c>
      <c r="AJ17" s="3">
        <f t="shared" si="3"/>
        <v>13.269508535992671</v>
      </c>
      <c r="AK17" s="3">
        <f t="shared" si="4"/>
        <v>1.5758212709959025</v>
      </c>
      <c r="AL17" s="3">
        <f t="shared" si="5"/>
        <v>-12.948087531302775</v>
      </c>
      <c r="AM17" s="3">
        <f t="shared" si="6"/>
        <v>-15.898038585232953</v>
      </c>
      <c r="AN17" s="3">
        <f t="shared" si="7"/>
        <v>-17.608036947087776</v>
      </c>
      <c r="AO17" s="3">
        <f t="shared" si="8"/>
        <v>-27.701977718154026</v>
      </c>
      <c r="AP17" s="3">
        <f t="shared" si="9"/>
        <v>-28.501719382911805</v>
      </c>
    </row>
    <row r="18" spans="2:42" ht="14" x14ac:dyDescent="0.15">
      <c r="B18" s="83" t="s">
        <v>82</v>
      </c>
      <c r="K18" s="308">
        <v>40</v>
      </c>
      <c r="L18" s="916">
        <v>4</v>
      </c>
      <c r="M18" s="917">
        <v>234.01158637119727</v>
      </c>
      <c r="N18" s="917">
        <v>-9.7087839260522522</v>
      </c>
      <c r="O18" s="917">
        <v>17.277008569990599</v>
      </c>
      <c r="P18" s="917">
        <v>26.985792496042851</v>
      </c>
      <c r="Q18" s="820">
        <v>4</v>
      </c>
      <c r="R18" s="918">
        <v>3.9968999999999992</v>
      </c>
      <c r="S18" s="919">
        <v>260.90730972432408</v>
      </c>
      <c r="T18" s="919">
        <v>-6.2146230189411265</v>
      </c>
      <c r="U18" s="919">
        <v>23.93948605215332</v>
      </c>
      <c r="V18" s="919">
        <v>30.154109071094446</v>
      </c>
      <c r="W18" s="917">
        <v>154.16366863794534</v>
      </c>
      <c r="X18" s="917">
        <v>54.042515535109132</v>
      </c>
      <c r="Y18" s="917">
        <v>51.110010689252974</v>
      </c>
      <c r="Z18" s="917">
        <v>46.056097406813564</v>
      </c>
      <c r="AA18" s="917">
        <v>30.209077006991624</v>
      </c>
      <c r="AB18" s="917">
        <v>26.044746582954602</v>
      </c>
      <c r="AC18" s="917">
        <v>21.504818845031302</v>
      </c>
      <c r="AD18" s="917">
        <v>12.16749926778129</v>
      </c>
      <c r="AE18" s="917">
        <v>15.416168250182796</v>
      </c>
      <c r="AF18" s="917">
        <v>56.281379992990956</v>
      </c>
      <c r="AG18" s="920">
        <v>39.056417756173836</v>
      </c>
      <c r="AI18" s="3">
        <f t="shared" si="2"/>
        <v>14.986097778935296</v>
      </c>
      <c r="AJ18" s="3">
        <f t="shared" si="3"/>
        <v>12.053592933079138</v>
      </c>
      <c r="AK18" s="3">
        <f t="shared" si="4"/>
        <v>6.9996796506397274</v>
      </c>
      <c r="AL18" s="3">
        <f t="shared" si="5"/>
        <v>-8.8473407491822122</v>
      </c>
      <c r="AM18" s="3">
        <f t="shared" si="6"/>
        <v>-13.011671173219234</v>
      </c>
      <c r="AN18" s="3">
        <f t="shared" si="7"/>
        <v>-17.551598911142534</v>
      </c>
      <c r="AO18" s="3">
        <f t="shared" si="8"/>
        <v>-26.888918488392548</v>
      </c>
      <c r="AP18" s="3">
        <f t="shared" si="9"/>
        <v>-23.64024950599104</v>
      </c>
    </row>
    <row r="19" spans="2:42" x14ac:dyDescent="0.15">
      <c r="K19" s="308">
        <v>40</v>
      </c>
      <c r="L19" s="916">
        <v>3.9969999999999999</v>
      </c>
      <c r="M19" s="917">
        <v>203.32809288726162</v>
      </c>
      <c r="N19" s="917">
        <v>-22.313181714095901</v>
      </c>
      <c r="O19" s="917">
        <v>34.016330564467097</v>
      </c>
      <c r="P19" s="917">
        <v>56.329512278563001</v>
      </c>
      <c r="Q19" s="820">
        <v>4</v>
      </c>
      <c r="R19" s="918">
        <v>4</v>
      </c>
      <c r="S19" s="919">
        <v>235.27574618956487</v>
      </c>
      <c r="T19" s="919">
        <v>-24.076563789159721</v>
      </c>
      <c r="U19" s="919">
        <v>35.023150179291491</v>
      </c>
      <c r="V19" s="919">
        <v>59.099713968451212</v>
      </c>
      <c r="W19" s="917">
        <v>151.20113415225975</v>
      </c>
      <c r="X19" s="917">
        <v>48.785372822149881</v>
      </c>
      <c r="Y19" s="917">
        <v>52.987413757740683</v>
      </c>
      <c r="Z19" s="917">
        <v>43.983346829924429</v>
      </c>
      <c r="AA19" s="917">
        <v>27.956633653545349</v>
      </c>
      <c r="AB19" s="917">
        <v>23.780505254870871</v>
      </c>
      <c r="AC19" s="917">
        <v>22.387695069156184</v>
      </c>
      <c r="AD19" s="917">
        <v>13.229563000311046</v>
      </c>
      <c r="AE19" s="917">
        <v>14.372018316299579</v>
      </c>
      <c r="AF19" s="917">
        <v>54.780748383353419</v>
      </c>
      <c r="AG19" s="920">
        <v>38.730135277951547</v>
      </c>
      <c r="AI19" s="3">
        <f t="shared" si="2"/>
        <v>10.055237544198334</v>
      </c>
      <c r="AJ19" s="3">
        <f t="shared" si="3"/>
        <v>14.257278479789136</v>
      </c>
      <c r="AK19" s="3">
        <f t="shared" si="4"/>
        <v>5.2532115519728819</v>
      </c>
      <c r="AL19" s="3">
        <f t="shared" si="5"/>
        <v>-10.773501624406197</v>
      </c>
      <c r="AM19" s="3">
        <f t="shared" si="6"/>
        <v>-14.949630023080676</v>
      </c>
      <c r="AN19" s="3">
        <f t="shared" si="7"/>
        <v>-16.342440208795363</v>
      </c>
      <c r="AO19" s="3">
        <f t="shared" si="8"/>
        <v>-25.500572277640501</v>
      </c>
      <c r="AP19" s="3">
        <f t="shared" si="9"/>
        <v>-24.358116961651966</v>
      </c>
    </row>
    <row r="20" spans="2:42" x14ac:dyDescent="0.15">
      <c r="B20" s="2" t="s">
        <v>84</v>
      </c>
      <c r="K20" s="308">
        <v>40</v>
      </c>
      <c r="L20" s="916">
        <v>3.9940000000000007</v>
      </c>
      <c r="M20" s="917">
        <v>177.06742536101933</v>
      </c>
      <c r="N20" s="917">
        <v>-33.099102123206848</v>
      </c>
      <c r="O20" s="917">
        <v>52.434724025420174</v>
      </c>
      <c r="P20" s="917">
        <v>85.533826148627014</v>
      </c>
      <c r="Q20" s="820">
        <v>4</v>
      </c>
      <c r="R20" s="918">
        <v>3.9990000000000001</v>
      </c>
      <c r="S20" s="919">
        <v>189.6745718362084</v>
      </c>
      <c r="T20" s="919">
        <v>-35.537198976912791</v>
      </c>
      <c r="U20" s="919">
        <v>61.423139116667748</v>
      </c>
      <c r="V20" s="919">
        <v>96.960338093580532</v>
      </c>
      <c r="W20" s="917">
        <v>148.42987881489174</v>
      </c>
      <c r="X20" s="917">
        <v>52.774994848584413</v>
      </c>
      <c r="Y20" s="917">
        <v>55.01192149341076</v>
      </c>
      <c r="Z20" s="917">
        <v>44.573938667752316</v>
      </c>
      <c r="AA20" s="917">
        <v>31.64749343377585</v>
      </c>
      <c r="AB20" s="917">
        <v>28.560389048770304</v>
      </c>
      <c r="AC20" s="917">
        <v>26.265910087213019</v>
      </c>
      <c r="AD20" s="917">
        <v>10.990837429612064</v>
      </c>
      <c r="AE20" s="917">
        <v>11.446174044753652</v>
      </c>
      <c r="AF20" s="917">
        <v>57.306578267475501</v>
      </c>
      <c r="AG20" s="920">
        <v>40.22421910685906</v>
      </c>
      <c r="AI20" s="3">
        <f t="shared" si="2"/>
        <v>12.550775741725353</v>
      </c>
      <c r="AJ20" s="3">
        <f t="shared" si="3"/>
        <v>14.7877023865517</v>
      </c>
      <c r="AK20" s="3">
        <f t="shared" si="4"/>
        <v>4.3497195608932557</v>
      </c>
      <c r="AL20" s="3">
        <f t="shared" si="5"/>
        <v>-8.5767256730832102</v>
      </c>
      <c r="AM20" s="3">
        <f t="shared" si="6"/>
        <v>-11.663830058088756</v>
      </c>
      <c r="AN20" s="3">
        <f t="shared" si="7"/>
        <v>-13.958309019646041</v>
      </c>
      <c r="AO20" s="3">
        <f t="shared" si="8"/>
        <v>-29.233381677246996</v>
      </c>
      <c r="AP20" s="3">
        <f t="shared" si="9"/>
        <v>-28.778045062105406</v>
      </c>
    </row>
    <row r="21" spans="2:42" ht="14" thickBot="1" x14ac:dyDescent="0.2">
      <c r="B21" t="s">
        <v>85</v>
      </c>
      <c r="C21" t="s">
        <v>28</v>
      </c>
      <c r="D21" s="3">
        <f>'C-series'!N59</f>
        <v>53.010413371069873</v>
      </c>
      <c r="E21" t="s">
        <v>31</v>
      </c>
      <c r="K21" s="310">
        <v>40</v>
      </c>
      <c r="L21" s="921">
        <v>3.9969999999999999</v>
      </c>
      <c r="M21" s="922">
        <v>126.1926203516354</v>
      </c>
      <c r="N21" s="922">
        <v>-72.957548087864154</v>
      </c>
      <c r="O21" s="922">
        <v>50.971939031501364</v>
      </c>
      <c r="P21" s="922">
        <v>123.92948711936552</v>
      </c>
      <c r="Q21" s="923">
        <v>4</v>
      </c>
      <c r="R21" s="924">
        <v>4</v>
      </c>
      <c r="S21" s="925">
        <v>143.38673795561746</v>
      </c>
      <c r="T21" s="925">
        <v>-65.01362167626516</v>
      </c>
      <c r="U21" s="925">
        <v>63.202088359061804</v>
      </c>
      <c r="V21" s="925">
        <v>128.21571003532696</v>
      </c>
      <c r="W21" s="922">
        <v>137.73681000591606</v>
      </c>
      <c r="X21" s="922">
        <v>54.043625503487647</v>
      </c>
      <c r="Y21" s="922">
        <v>59.112778586879521</v>
      </c>
      <c r="Z21" s="922">
        <v>44.079020679959683</v>
      </c>
      <c r="AA21" s="922">
        <v>34.288129730611587</v>
      </c>
      <c r="AB21" s="922">
        <v>32.137092062856908</v>
      </c>
      <c r="AC21" s="922">
        <v>28.770352117722119</v>
      </c>
      <c r="AD21" s="922">
        <v>19.252793393117308</v>
      </c>
      <c r="AE21" s="922">
        <v>15.118487548570931</v>
      </c>
      <c r="AF21" s="922">
        <v>60.412822753276423</v>
      </c>
      <c r="AG21" s="926">
        <v>42.82591117655501</v>
      </c>
      <c r="AI21" s="3">
        <f t="shared" si="2"/>
        <v>11.217714326932636</v>
      </c>
      <c r="AJ21" s="3">
        <f t="shared" si="3"/>
        <v>16.286867410324511</v>
      </c>
      <c r="AK21" s="3">
        <f t="shared" si="4"/>
        <v>1.2531095034046729</v>
      </c>
      <c r="AL21" s="3">
        <f t="shared" si="5"/>
        <v>-8.5377814459434234</v>
      </c>
      <c r="AM21" s="3">
        <f t="shared" si="6"/>
        <v>-10.688819113698102</v>
      </c>
      <c r="AN21" s="3">
        <f t="shared" si="7"/>
        <v>-14.055559058832891</v>
      </c>
      <c r="AO21" s="3">
        <f t="shared" si="8"/>
        <v>-23.573117783437702</v>
      </c>
      <c r="AP21" s="3">
        <f t="shared" si="9"/>
        <v>-27.707423627984078</v>
      </c>
    </row>
    <row r="22" spans="2:42" x14ac:dyDescent="0.15">
      <c r="B22" s="25"/>
      <c r="C22" s="25" t="s">
        <v>8</v>
      </c>
      <c r="D22" s="81">
        <f>'C-series'!N60</f>
        <v>55.21854617191547</v>
      </c>
      <c r="E22" t="s">
        <v>31</v>
      </c>
      <c r="L22" s="4" t="s">
        <v>25</v>
      </c>
      <c r="M22" s="4" t="s">
        <v>27</v>
      </c>
      <c r="N22" s="4" t="s">
        <v>444</v>
      </c>
      <c r="O22" s="4" t="s">
        <v>445</v>
      </c>
      <c r="P22" t="s">
        <v>446</v>
      </c>
      <c r="R22" t="s">
        <v>447</v>
      </c>
      <c r="S22" t="s">
        <v>87</v>
      </c>
      <c r="U22" t="s">
        <v>82</v>
      </c>
      <c r="V22" t="s">
        <v>448</v>
      </c>
      <c r="X22" t="s">
        <v>449</v>
      </c>
    </row>
    <row r="23" spans="2:42" x14ac:dyDescent="0.15">
      <c r="C23" t="s">
        <v>87</v>
      </c>
      <c r="D23" s="3">
        <f>ABS(D21-D22)</f>
        <v>2.2081328008455969</v>
      </c>
      <c r="E23" t="s">
        <v>31</v>
      </c>
      <c r="K23" s="3"/>
      <c r="L23" s="5">
        <f t="shared" ref="L23:L31" si="10">L6</f>
        <v>10.013000000000002</v>
      </c>
      <c r="M23" s="6">
        <f t="shared" ref="M23:M31" si="11">AG6</f>
        <v>49.959495723320273</v>
      </c>
      <c r="N23" s="99">
        <f t="shared" ref="N23:N31" si="12">P6/M6^2</f>
        <v>4.9396967676942991E-4</v>
      </c>
      <c r="O23" s="99">
        <f t="shared" ref="O23:O31" si="13">V6/S6^2</f>
        <v>4.4447792545205221E-4</v>
      </c>
      <c r="P23" s="213">
        <f>AVERAGE(N23:O23)</f>
        <v>4.6922380111074106E-4</v>
      </c>
      <c r="R23">
        <f t="shared" ref="R23:R38" si="14">$L$42*LN(L23)+$M$42</f>
        <v>52.372472043342384</v>
      </c>
      <c r="S23" s="3">
        <f>M23-R23</f>
        <v>-2.4129763200221106</v>
      </c>
      <c r="U23">
        <f>$U$42*(P23)+$V$42</f>
        <v>-2.1822337992285714</v>
      </c>
      <c r="V23" s="84">
        <f>R23+U23</f>
        <v>50.190238244113814</v>
      </c>
      <c r="X23" s="3">
        <f>V23-M23</f>
        <v>0.23074252079354096</v>
      </c>
      <c r="AI23" s="3">
        <f>AVERAGE(AI6:AI21)</f>
        <v>11.427068579956678</v>
      </c>
      <c r="AJ23" s="3">
        <f t="shared" ref="AJ23:AP23" si="15">AVERAGE(AJ6:AJ21)</f>
        <v>10.348424969676328</v>
      </c>
      <c r="AK23" s="3">
        <f t="shared" si="15"/>
        <v>4.9118813028565986</v>
      </c>
      <c r="AL23" s="3">
        <f t="shared" si="15"/>
        <v>-8.1624241406561708</v>
      </c>
      <c r="AM23" s="3">
        <f t="shared" si="15"/>
        <v>-10.725226241865471</v>
      </c>
      <c r="AN23" s="3">
        <f t="shared" si="15"/>
        <v>-12.204628271771975</v>
      </c>
      <c r="AO23" s="3">
        <f t="shared" si="15"/>
        <v>-20.885067819477943</v>
      </c>
      <c r="AP23" s="3">
        <f t="shared" si="15"/>
        <v>-21.954000286622353</v>
      </c>
    </row>
    <row r="24" spans="2:42" x14ac:dyDescent="0.15">
      <c r="D24" s="3"/>
      <c r="K24" s="3"/>
      <c r="L24" s="5">
        <f t="shared" si="10"/>
        <v>9.9978999999999996</v>
      </c>
      <c r="M24" s="6">
        <f t="shared" si="11"/>
        <v>49.622154443664968</v>
      </c>
      <c r="N24" s="99">
        <f t="shared" si="12"/>
        <v>1.1823847351895671E-3</v>
      </c>
      <c r="O24" s="99">
        <f t="shared" si="13"/>
        <v>1.0594352798654954E-3</v>
      </c>
      <c r="P24" s="213">
        <f t="shared" ref="P24:P31" si="16">AVERAGE(N24:O24)</f>
        <v>1.1209100075275313E-3</v>
      </c>
      <c r="R24">
        <f t="shared" si="14"/>
        <v>52.353232628509417</v>
      </c>
      <c r="S24" s="3">
        <f t="shared" ref="S24:S31" si="17">M24-R24</f>
        <v>-2.7310781848444492</v>
      </c>
      <c r="U24">
        <f t="shared" ref="U24:U38" si="18">$U$42*(P24)+$V$42</f>
        <v>-1.535359448485704</v>
      </c>
      <c r="V24" s="84">
        <f t="shared" ref="V24:V31" si="19">R24+U24</f>
        <v>50.81787318002371</v>
      </c>
      <c r="X24" s="3">
        <f t="shared" ref="X24:X31" si="20">V24-M24</f>
        <v>1.1957187363587423</v>
      </c>
      <c r="AI24" s="3">
        <f>ROUND(AI23,0)</f>
        <v>11</v>
      </c>
      <c r="AJ24" s="3">
        <f t="shared" ref="AJ24:AP24" si="21">ROUND(AJ23,0)</f>
        <v>10</v>
      </c>
      <c r="AK24" s="3">
        <f t="shared" si="21"/>
        <v>5</v>
      </c>
      <c r="AL24" s="3">
        <f t="shared" si="21"/>
        <v>-8</v>
      </c>
      <c r="AM24" s="3">
        <f t="shared" si="21"/>
        <v>-11</v>
      </c>
      <c r="AN24" s="3">
        <f t="shared" si="21"/>
        <v>-12</v>
      </c>
      <c r="AO24" s="3">
        <f t="shared" si="21"/>
        <v>-21</v>
      </c>
      <c r="AP24" s="3">
        <f t="shared" si="21"/>
        <v>-22</v>
      </c>
    </row>
    <row r="25" spans="2:42" x14ac:dyDescent="0.15">
      <c r="B25" t="s">
        <v>86</v>
      </c>
      <c r="C25" t="s">
        <v>7</v>
      </c>
      <c r="D25" s="3">
        <f>'C-series'!N58</f>
        <v>71.998695825235586</v>
      </c>
      <c r="E25" t="s">
        <v>31</v>
      </c>
      <c r="K25" s="3"/>
      <c r="L25" s="5">
        <f t="shared" si="10"/>
        <v>9.9989999999999988</v>
      </c>
      <c r="M25" s="6">
        <f t="shared" si="11"/>
        <v>51.572881755630256</v>
      </c>
      <c r="N25" s="99">
        <f t="shared" si="12"/>
        <v>2.7118757578419102E-3</v>
      </c>
      <c r="O25" s="99">
        <f t="shared" si="13"/>
        <v>2.3215380684918868E-3</v>
      </c>
      <c r="P25" s="213">
        <f t="shared" si="16"/>
        <v>2.5167069131668985E-3</v>
      </c>
      <c r="R25">
        <f t="shared" si="14"/>
        <v>52.35463515625537</v>
      </c>
      <c r="S25" s="3">
        <f t="shared" si="17"/>
        <v>-0.78175340062511367</v>
      </c>
      <c r="U25">
        <f t="shared" si="18"/>
        <v>-0.14986868895455929</v>
      </c>
      <c r="V25" s="84">
        <f t="shared" si="19"/>
        <v>52.204766467300807</v>
      </c>
      <c r="X25" s="3">
        <f t="shared" si="20"/>
        <v>0.63188471167055127</v>
      </c>
    </row>
    <row r="26" spans="2:42" x14ac:dyDescent="0.15">
      <c r="B26" s="25"/>
      <c r="C26" s="25" t="s">
        <v>57</v>
      </c>
      <c r="D26" s="81">
        <f>'C-series'!N61</f>
        <v>73.310199277948499</v>
      </c>
      <c r="E26" t="s">
        <v>31</v>
      </c>
      <c r="K26" s="3"/>
      <c r="L26" s="5">
        <f t="shared" si="10"/>
        <v>10.010999999999997</v>
      </c>
      <c r="M26" s="6">
        <f t="shared" si="11"/>
        <v>55.375528164873884</v>
      </c>
      <c r="N26" s="99">
        <f t="shared" si="12"/>
        <v>5.6756339637244087E-3</v>
      </c>
      <c r="O26" s="99">
        <f t="shared" si="13"/>
        <v>5.01288650418516E-3</v>
      </c>
      <c r="P26" s="213">
        <f t="shared" si="16"/>
        <v>5.3442602339547843E-3</v>
      </c>
      <c r="R26">
        <f t="shared" si="14"/>
        <v>52.369925444066219</v>
      </c>
      <c r="S26" s="3">
        <f t="shared" si="17"/>
        <v>3.0056027208076657</v>
      </c>
      <c r="U26">
        <f t="shared" si="18"/>
        <v>2.65680682537374</v>
      </c>
      <c r="V26" s="84">
        <f t="shared" si="19"/>
        <v>55.026732269439961</v>
      </c>
      <c r="X26" s="3">
        <f t="shared" si="20"/>
        <v>-0.34879589543392342</v>
      </c>
    </row>
    <row r="27" spans="2:42" x14ac:dyDescent="0.15">
      <c r="C27" t="s">
        <v>87</v>
      </c>
      <c r="D27" s="3">
        <f>ABS(D25-D26)</f>
        <v>1.3115034527129126</v>
      </c>
      <c r="E27" t="s">
        <v>31</v>
      </c>
      <c r="K27" s="3"/>
      <c r="L27" s="5">
        <f t="shared" si="10"/>
        <v>8</v>
      </c>
      <c r="M27" s="6">
        <f t="shared" si="11"/>
        <v>48.124368787598968</v>
      </c>
      <c r="N27" s="99">
        <f t="shared" si="12"/>
        <v>4.8303722657575828E-4</v>
      </c>
      <c r="O27" s="99">
        <f t="shared" si="13"/>
        <v>4.4409201510779012E-4</v>
      </c>
      <c r="P27" s="213">
        <f t="shared" si="16"/>
        <v>4.6356462084177423E-4</v>
      </c>
      <c r="R27">
        <f t="shared" si="14"/>
        <v>49.511214482541277</v>
      </c>
      <c r="S27" s="3">
        <f t="shared" si="17"/>
        <v>-1.3868456949423091</v>
      </c>
      <c r="U27">
        <f t="shared" si="18"/>
        <v>-2.1878511938061753</v>
      </c>
      <c r="V27" s="84">
        <f t="shared" si="19"/>
        <v>47.323363288735102</v>
      </c>
      <c r="X27" s="3">
        <f t="shared" si="20"/>
        <v>-0.80100549886386574</v>
      </c>
    </row>
    <row r="28" spans="2:42" x14ac:dyDescent="0.15">
      <c r="K28" s="3"/>
      <c r="L28" s="5">
        <f t="shared" si="10"/>
        <v>7.9989999999999997</v>
      </c>
      <c r="M28" s="6">
        <f t="shared" si="11"/>
        <v>48.629008822714624</v>
      </c>
      <c r="N28" s="99">
        <f t="shared" si="12"/>
        <v>1.2514246709248388E-3</v>
      </c>
      <c r="O28" s="99">
        <f t="shared" si="13"/>
        <v>1.065557463409158E-3</v>
      </c>
      <c r="P28" s="213">
        <f t="shared" si="16"/>
        <v>1.1584910671669983E-3</v>
      </c>
      <c r="R28">
        <f t="shared" si="14"/>
        <v>49.509620848445316</v>
      </c>
      <c r="S28" s="3">
        <f t="shared" si="17"/>
        <v>-0.88061202573069153</v>
      </c>
      <c r="U28">
        <f t="shared" si="18"/>
        <v>-1.498055876129653</v>
      </c>
      <c r="V28" s="84">
        <f t="shared" si="19"/>
        <v>48.011564972315661</v>
      </c>
      <c r="X28" s="3">
        <f t="shared" si="20"/>
        <v>-0.61744385039896343</v>
      </c>
    </row>
    <row r="29" spans="2:42" x14ac:dyDescent="0.15">
      <c r="B29" t="s">
        <v>94</v>
      </c>
      <c r="C29" s="3">
        <f>AVERAGE(D27,D23)</f>
        <v>1.7598181267792548</v>
      </c>
      <c r="D29" t="s">
        <v>31</v>
      </c>
      <c r="K29" s="3"/>
      <c r="L29" s="5">
        <f t="shared" si="10"/>
        <v>8.0071999999999992</v>
      </c>
      <c r="M29" s="6">
        <f t="shared" si="11"/>
        <v>49.868043464847737</v>
      </c>
      <c r="N29" s="99">
        <f t="shared" si="12"/>
        <v>2.7226691800727367E-3</v>
      </c>
      <c r="O29" s="99">
        <f t="shared" si="13"/>
        <v>2.4226012291001802E-3</v>
      </c>
      <c r="P29" s="213">
        <f t="shared" si="16"/>
        <v>2.5726352045864582E-3</v>
      </c>
      <c r="R29">
        <f t="shared" si="14"/>
        <v>49.522682770925897</v>
      </c>
      <c r="S29" s="3">
        <f t="shared" si="17"/>
        <v>0.34536069392184032</v>
      </c>
      <c r="U29">
        <f t="shared" si="18"/>
        <v>-9.4353355280230478E-2</v>
      </c>
      <c r="V29" s="84">
        <f t="shared" si="19"/>
        <v>49.428329415645663</v>
      </c>
      <c r="X29" s="3">
        <f t="shared" si="20"/>
        <v>-0.43971404920207391</v>
      </c>
    </row>
    <row r="30" spans="2:42" x14ac:dyDescent="0.15">
      <c r="B30" t="s">
        <v>93</v>
      </c>
      <c r="C30" s="3">
        <f>-10*LOG10((1-10^(-C29/10)))-3</f>
        <v>1.7734023025455716</v>
      </c>
      <c r="D30" t="s">
        <v>31</v>
      </c>
      <c r="K30" s="3"/>
      <c r="L30" s="5">
        <f t="shared" si="10"/>
        <v>8.0139999999999976</v>
      </c>
      <c r="M30" s="6">
        <f t="shared" si="11"/>
        <v>54.011171297709097</v>
      </c>
      <c r="N30" s="99">
        <f t="shared" si="12"/>
        <v>6.956237662237871E-3</v>
      </c>
      <c r="O30" s="99">
        <f t="shared" si="13"/>
        <v>5.5222430678771627E-3</v>
      </c>
      <c r="P30" s="213">
        <f t="shared" si="16"/>
        <v>6.2392403650575173E-3</v>
      </c>
      <c r="R30">
        <f t="shared" si="14"/>
        <v>49.533504467372723</v>
      </c>
      <c r="S30" s="3">
        <f t="shared" si="17"/>
        <v>4.4776668303363749</v>
      </c>
      <c r="U30">
        <f t="shared" si="18"/>
        <v>3.5451786913643821</v>
      </c>
      <c r="V30" s="84">
        <f t="shared" si="19"/>
        <v>53.078683158737107</v>
      </c>
      <c r="X30" s="3">
        <f t="shared" si="20"/>
        <v>-0.93248813897199057</v>
      </c>
    </row>
    <row r="31" spans="2:42" x14ac:dyDescent="0.15">
      <c r="K31" s="3"/>
      <c r="L31" s="5">
        <f t="shared" si="10"/>
        <v>5.9979999999999993</v>
      </c>
      <c r="M31" s="6">
        <f t="shared" si="11"/>
        <v>43.043444610882446</v>
      </c>
      <c r="N31" s="99">
        <f t="shared" si="12"/>
        <v>5.0563092050089499E-4</v>
      </c>
      <c r="O31" s="99">
        <f t="shared" si="13"/>
        <v>4.4722692524510742E-4</v>
      </c>
      <c r="P31" s="213">
        <f t="shared" si="16"/>
        <v>4.764289228730012E-4</v>
      </c>
      <c r="R31">
        <f t="shared" si="14"/>
        <v>45.839513907945786</v>
      </c>
      <c r="S31" s="3">
        <f t="shared" si="17"/>
        <v>-2.7960692970633403</v>
      </c>
      <c r="U31">
        <f t="shared" si="18"/>
        <v>-2.175081877926428</v>
      </c>
      <c r="V31" s="84">
        <f t="shared" si="19"/>
        <v>43.664432030019356</v>
      </c>
      <c r="X31" s="3">
        <f t="shared" si="20"/>
        <v>0.62098741913690958</v>
      </c>
    </row>
    <row r="32" spans="2:42" x14ac:dyDescent="0.15">
      <c r="B32" t="s">
        <v>83</v>
      </c>
      <c r="C32" s="3">
        <f>H15+C30</f>
        <v>48.784491685582886</v>
      </c>
      <c r="D32" t="s">
        <v>31</v>
      </c>
      <c r="K32" s="3"/>
      <c r="L32" s="5">
        <f t="shared" ref="L32:L38" si="22">L15</f>
        <v>6.0060000000000002</v>
      </c>
      <c r="M32" s="6">
        <f t="shared" ref="M32:M36" si="23">AG15</f>
        <v>44.274271017518608</v>
      </c>
      <c r="N32" s="99">
        <f t="shared" ref="N32:N36" si="24">P15/M15^2</f>
        <v>1.354641474950759E-3</v>
      </c>
      <c r="O32" s="99">
        <f t="shared" ref="O32:O36" si="25">V15/S15^2</f>
        <v>1.1399965906552009E-3</v>
      </c>
      <c r="P32" s="213">
        <f t="shared" ref="P32:P36" si="26">AVERAGE(N32:O32)</f>
        <v>1.2473190328029799E-3</v>
      </c>
      <c r="R32">
        <f t="shared" si="14"/>
        <v>45.856505947694409</v>
      </c>
      <c r="S32" s="3">
        <f t="shared" ref="S32:S36" si="27">M32-R32</f>
        <v>-1.582234930175801</v>
      </c>
      <c r="U32">
        <f t="shared" si="18"/>
        <v>-1.4098837895751064</v>
      </c>
      <c r="V32" s="84">
        <f t="shared" ref="V32:V36" si="28">R32+U32</f>
        <v>44.446622158119304</v>
      </c>
      <c r="X32" s="3">
        <f t="shared" ref="X32:X36" si="29">V32-M32</f>
        <v>0.17235114060069634</v>
      </c>
    </row>
    <row r="33" spans="2:25" x14ac:dyDescent="0.15">
      <c r="B33" t="s">
        <v>95</v>
      </c>
      <c r="C33" s="3">
        <f>H15-2.6</f>
        <v>44.411089383037314</v>
      </c>
      <c r="D33" t="s">
        <v>31</v>
      </c>
      <c r="K33" s="3"/>
      <c r="L33" s="5">
        <f t="shared" si="22"/>
        <v>5.9969999999999999</v>
      </c>
      <c r="M33" s="6">
        <f t="shared" si="23"/>
        <v>47.201799492571297</v>
      </c>
      <c r="N33" s="99">
        <f t="shared" si="24"/>
        <v>2.7455238861129301E-3</v>
      </c>
      <c r="O33" s="99">
        <f t="shared" si="25"/>
        <v>2.761406940681649E-3</v>
      </c>
      <c r="P33" s="213">
        <f t="shared" si="26"/>
        <v>2.7534654133972896E-3</v>
      </c>
      <c r="R33">
        <f t="shared" si="14"/>
        <v>45.837388309619222</v>
      </c>
      <c r="S33" s="3">
        <f t="shared" si="27"/>
        <v>1.3644111829520753</v>
      </c>
      <c r="U33">
        <f t="shared" si="18"/>
        <v>8.5141657453538855E-2</v>
      </c>
      <c r="V33" s="84">
        <f t="shared" si="28"/>
        <v>45.922529967072762</v>
      </c>
      <c r="X33" s="3">
        <f t="shared" si="29"/>
        <v>-1.2792695254985347</v>
      </c>
    </row>
    <row r="34" spans="2:25" x14ac:dyDescent="0.15">
      <c r="F34" t="s">
        <v>97</v>
      </c>
      <c r="G34" t="s">
        <v>98</v>
      </c>
      <c r="L34" s="5">
        <f t="shared" si="22"/>
        <v>6.0099999999999989</v>
      </c>
      <c r="M34" s="6">
        <f t="shared" si="23"/>
        <v>51.067704078772323</v>
      </c>
      <c r="N34" s="99">
        <f t="shared" si="24"/>
        <v>7.1724923609231099E-3</v>
      </c>
      <c r="O34" s="99">
        <f t="shared" si="25"/>
        <v>6.6614493919205991E-3</v>
      </c>
      <c r="P34" s="213">
        <f t="shared" si="26"/>
        <v>6.9169708764218549E-3</v>
      </c>
      <c r="R34">
        <f t="shared" si="14"/>
        <v>45.864993481918731</v>
      </c>
      <c r="S34" s="3">
        <f t="shared" si="27"/>
        <v>5.2027105968535921</v>
      </c>
      <c r="U34">
        <f t="shared" si="18"/>
        <v>4.2179050437111005</v>
      </c>
      <c r="V34" s="84">
        <f t="shared" si="28"/>
        <v>50.08289852562983</v>
      </c>
      <c r="X34" s="3">
        <f t="shared" si="29"/>
        <v>-0.9848055531424933</v>
      </c>
    </row>
    <row r="35" spans="2:25" x14ac:dyDescent="0.15">
      <c r="B35" s="2" t="s">
        <v>21</v>
      </c>
      <c r="C35" s="84">
        <f>MIN(H15,IF(C29&lt;3,H16,IF(C29&gt;10,C33,C32)))</f>
        <v>46.754937004736405</v>
      </c>
      <c r="D35" s="2" t="s">
        <v>31</v>
      </c>
      <c r="F35" s="5">
        <f>C35+10*LOG10(4/10)</f>
        <v>42.77553691801603</v>
      </c>
      <c r="G35" s="5">
        <f>C35+10*LOG10(4/2.5)</f>
        <v>48.796136831295655</v>
      </c>
      <c r="L35" s="5">
        <f t="shared" si="22"/>
        <v>4</v>
      </c>
      <c r="M35" s="6">
        <f t="shared" si="23"/>
        <v>39.056417756173836</v>
      </c>
      <c r="N35" s="99">
        <f t="shared" si="24"/>
        <v>4.9278837613219936E-4</v>
      </c>
      <c r="O35" s="99">
        <f t="shared" si="25"/>
        <v>4.4296968708834676E-4</v>
      </c>
      <c r="P35" s="213">
        <f t="shared" si="26"/>
        <v>4.6787903161027303E-4</v>
      </c>
      <c r="R35">
        <f t="shared" si="14"/>
        <v>40.67478296186755</v>
      </c>
      <c r="S35" s="3">
        <f t="shared" si="27"/>
        <v>-1.6183652056937134</v>
      </c>
      <c r="U35">
        <f t="shared" si="18"/>
        <v>-2.183568639354001</v>
      </c>
      <c r="V35" s="84">
        <f t="shared" si="28"/>
        <v>38.491214322513549</v>
      </c>
      <c r="X35" s="3">
        <f t="shared" si="29"/>
        <v>-0.56520343366028669</v>
      </c>
    </row>
    <row r="36" spans="2:25" x14ac:dyDescent="0.15">
      <c r="L36" s="5">
        <f t="shared" si="22"/>
        <v>3.9969999999999999</v>
      </c>
      <c r="M36" s="6">
        <f t="shared" si="23"/>
        <v>38.730135277951547</v>
      </c>
      <c r="N36" s="99">
        <f t="shared" si="24"/>
        <v>1.3625147628269466E-3</v>
      </c>
      <c r="O36" s="99">
        <f t="shared" si="25"/>
        <v>1.0676552993099922E-3</v>
      </c>
      <c r="P36" s="213">
        <f t="shared" si="26"/>
        <v>1.2150850310684693E-3</v>
      </c>
      <c r="R36">
        <f t="shared" si="14"/>
        <v>40.665218167670687</v>
      </c>
      <c r="S36" s="3">
        <f t="shared" si="27"/>
        <v>-1.9350828897191406</v>
      </c>
      <c r="U36">
        <f t="shared" si="18"/>
        <v>-1.4418797850995542</v>
      </c>
      <c r="V36" s="84">
        <f t="shared" si="28"/>
        <v>39.223338382571136</v>
      </c>
      <c r="X36" s="3">
        <f t="shared" si="29"/>
        <v>0.49320310461958883</v>
      </c>
    </row>
    <row r="37" spans="2:25" x14ac:dyDescent="0.15">
      <c r="L37" s="5">
        <f t="shared" si="22"/>
        <v>3.9940000000000007</v>
      </c>
      <c r="M37" s="6">
        <f t="shared" ref="M37:M38" si="30">AG20</f>
        <v>40.22421910685906</v>
      </c>
      <c r="N37" s="99">
        <f t="shared" ref="N37:N38" si="31">P20/M20^2</f>
        <v>2.7281016897684799E-3</v>
      </c>
      <c r="O37" s="99">
        <f t="shared" ref="O37:O38" si="32">V20/S20^2</f>
        <v>2.6951062824969426E-3</v>
      </c>
      <c r="P37" s="213">
        <f t="shared" ref="P37:P38" si="33">AVERAGE(N37:O37)</f>
        <v>2.711603986132711E-3</v>
      </c>
      <c r="R37">
        <f t="shared" si="14"/>
        <v>40.65564619179812</v>
      </c>
      <c r="S37" s="3">
        <f t="shared" ref="S37:S38" si="34">M37-R37</f>
        <v>-0.43142708493905957</v>
      </c>
      <c r="U37">
        <f t="shared" si="18"/>
        <v>4.3589322424331112E-2</v>
      </c>
      <c r="V37" s="84">
        <f t="shared" ref="V37:V38" si="35">R37+U37</f>
        <v>40.699235514222451</v>
      </c>
      <c r="X37" s="3">
        <f t="shared" ref="X37:X38" si="36">V37-M37</f>
        <v>0.47501640736339112</v>
      </c>
    </row>
    <row r="38" spans="2:25" x14ac:dyDescent="0.15">
      <c r="L38" s="5">
        <f t="shared" si="22"/>
        <v>3.9969999999999999</v>
      </c>
      <c r="M38" s="6">
        <f t="shared" si="30"/>
        <v>42.82591117655501</v>
      </c>
      <c r="N38" s="99">
        <f t="shared" si="31"/>
        <v>7.7822779068828021E-3</v>
      </c>
      <c r="O38" s="99">
        <f t="shared" si="32"/>
        <v>6.236246488487987E-3</v>
      </c>
      <c r="P38" s="213">
        <f t="shared" si="33"/>
        <v>7.0092621976853946E-3</v>
      </c>
      <c r="R38">
        <f t="shared" si="14"/>
        <v>40.665218167670687</v>
      </c>
      <c r="S38" s="3">
        <f t="shared" si="34"/>
        <v>2.1606930088843228</v>
      </c>
      <c r="U38">
        <f t="shared" si="18"/>
        <v>4.3095149135130271</v>
      </c>
      <c r="V38" s="84">
        <f t="shared" si="35"/>
        <v>44.974733081183714</v>
      </c>
      <c r="X38" s="3">
        <f t="shared" si="36"/>
        <v>2.1488219046287043</v>
      </c>
    </row>
    <row r="41" spans="2:25" x14ac:dyDescent="0.15">
      <c r="L41" t="s">
        <v>451</v>
      </c>
      <c r="U41" t="s">
        <v>452</v>
      </c>
    </row>
    <row r="42" spans="2:25" x14ac:dyDescent="0.15">
      <c r="L42" s="2">
        <f t="array" ref="L42:M42">LINEST(M23:M38,LN(L23:L38))</f>
        <v>12.748275934030902</v>
      </c>
      <c r="M42" s="2">
        <v>23.001919920520109</v>
      </c>
      <c r="S42" s="314" cm="1">
        <f t="array" ref="S42">AVERAGE(ABS(S23:S38))</f>
        <v>2.069555629219475</v>
      </c>
      <c r="U42" s="2">
        <f t="array" ref="U42:V42">LINEST(S23:S38,(P23:P38))</f>
        <v>992.61629964460951</v>
      </c>
      <c r="V42" s="2">
        <v>-2.6479929923922936</v>
      </c>
      <c r="X42" s="314" cm="1">
        <f t="array" ref="X42">AVERAGE(ABS(X23:X38))</f>
        <v>0.74609074314651602</v>
      </c>
      <c r="Y42" t="s">
        <v>31</v>
      </c>
    </row>
    <row r="44" spans="2:25" x14ac:dyDescent="0.15">
      <c r="U44" s="4" t="s">
        <v>22</v>
      </c>
      <c r="V44" s="4" t="s">
        <v>450</v>
      </c>
    </row>
    <row r="45" spans="2:25" x14ac:dyDescent="0.15">
      <c r="U45" s="4">
        <v>1</v>
      </c>
      <c r="V45" s="4">
        <v>-1</v>
      </c>
    </row>
    <row r="48" spans="2:25" x14ac:dyDescent="0.15">
      <c r="B48" s="2" t="s">
        <v>35</v>
      </c>
      <c r="C48" t="s">
        <v>36</v>
      </c>
    </row>
    <row r="49" spans="2:23" x14ac:dyDescent="0.15">
      <c r="B49" s="10"/>
      <c r="C49" s="43">
        <v>63</v>
      </c>
      <c r="D49" s="44">
        <v>125</v>
      </c>
      <c r="E49" s="44">
        <v>250</v>
      </c>
      <c r="F49" s="44">
        <v>500</v>
      </c>
      <c r="G49" s="44">
        <v>1000</v>
      </c>
      <c r="H49" s="44">
        <v>2000</v>
      </c>
      <c r="I49" s="44">
        <v>4000</v>
      </c>
      <c r="J49" s="45">
        <v>8000</v>
      </c>
      <c r="L49" s="43">
        <v>63</v>
      </c>
      <c r="M49" s="44">
        <v>125</v>
      </c>
      <c r="N49" s="44">
        <v>250</v>
      </c>
      <c r="O49" s="44">
        <v>500</v>
      </c>
      <c r="P49" s="44">
        <v>1000</v>
      </c>
      <c r="Q49" s="44">
        <v>2000</v>
      </c>
      <c r="R49" s="44">
        <v>4000</v>
      </c>
      <c r="S49" s="45">
        <v>8000</v>
      </c>
      <c r="T49" t="s">
        <v>70</v>
      </c>
      <c r="U49" t="s">
        <v>71</v>
      </c>
    </row>
    <row r="50" spans="2:23" x14ac:dyDescent="0.15">
      <c r="B50" s="74" t="s">
        <v>96</v>
      </c>
      <c r="C50" s="315">
        <f t="shared" ref="C50:J50" si="37">AI24</f>
        <v>11</v>
      </c>
      <c r="D50" s="315">
        <f t="shared" si="37"/>
        <v>10</v>
      </c>
      <c r="E50" s="315">
        <f t="shared" si="37"/>
        <v>5</v>
      </c>
      <c r="F50" s="315">
        <f t="shared" si="37"/>
        <v>-8</v>
      </c>
      <c r="G50" s="315">
        <f t="shared" si="37"/>
        <v>-11</v>
      </c>
      <c r="H50" s="315">
        <f t="shared" si="37"/>
        <v>-12</v>
      </c>
      <c r="I50" s="315">
        <f t="shared" si="37"/>
        <v>-21</v>
      </c>
      <c r="J50" s="315">
        <f t="shared" si="37"/>
        <v>-22</v>
      </c>
      <c r="K50" s="87" t="s">
        <v>42</v>
      </c>
      <c r="L50" s="86">
        <f>$C$35+C50</f>
        <v>57.754937004736405</v>
      </c>
      <c r="M50" s="86">
        <f t="shared" ref="M50:S50" si="38">$C$35+D50</f>
        <v>56.754937004736405</v>
      </c>
      <c r="N50" s="86">
        <f t="shared" si="38"/>
        <v>51.754937004736405</v>
      </c>
      <c r="O50" s="86">
        <f t="shared" si="38"/>
        <v>38.754937004736405</v>
      </c>
      <c r="P50" s="86">
        <f t="shared" si="38"/>
        <v>35.754937004736405</v>
      </c>
      <c r="Q50" s="86">
        <f t="shared" si="38"/>
        <v>34.754937004736405</v>
      </c>
      <c r="R50" s="86">
        <f t="shared" si="38"/>
        <v>25.754937004736405</v>
      </c>
      <c r="S50" s="86">
        <f t="shared" si="38"/>
        <v>24.754937004736405</v>
      </c>
      <c r="T50" s="5">
        <f t="array" ref="T50">10*LOG10(SUM(10^(L50:S50/10)))</f>
        <v>60.915814620997779</v>
      </c>
      <c r="U50" s="5">
        <f t="array" ref="U50">10*LOG10(SUM(10^((L50:S50+L52:S52)/10)))</f>
        <v>46.602689127318683</v>
      </c>
      <c r="W50" t="str">
        <f>IF(ABS(C35-U50)&lt;0.5,"OK","Tarkista laskenta!")</f>
        <v>OK</v>
      </c>
    </row>
    <row r="52" spans="2:23" x14ac:dyDescent="0.15">
      <c r="L52" s="73">
        <v>-26.2</v>
      </c>
      <c r="M52" s="73">
        <v>-16.100000000000001</v>
      </c>
      <c r="N52" s="73">
        <v>-8.6</v>
      </c>
      <c r="O52" s="73">
        <v>-3.2</v>
      </c>
      <c r="P52" s="73">
        <v>0</v>
      </c>
      <c r="Q52" s="73">
        <v>1.2</v>
      </c>
      <c r="R52" s="73">
        <v>1</v>
      </c>
      <c r="S52" s="73">
        <v>-1.1000000000000001</v>
      </c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4E7FD-C45C-4D5E-AAFE-2D57B1B183C1}"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'R-series'!E33</f>
        <v>45.1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10.017277567754487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-8.9654448644910261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4.1659551055148146E-3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3.6137731798038739E-2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2.2492315795749774E-2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3.3947256204369974E-2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740.68895541041149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11.034555135508974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-1.2952366677256483E-2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0.21742188809456706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-0.1055453788889148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-2302.8752594020511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9.9761475652813444E-2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9.9665826885745101E-2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F8BD2-F132-4526-AFEC-CD1FBA525A56}">
  <dimension ref="A3:AK57"/>
  <sheetViews>
    <sheetView topLeftCell="A4" zoomScaleNormal="100" workbookViewId="0">
      <selection activeCell="B32" sqref="B32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7068.625</v>
      </c>
      <c r="V4" s="191">
        <f>SUM(V6:V50)</f>
        <v>5710.7132083333317</v>
      </c>
      <c r="W4" s="191">
        <f>SUM(W6:W50)</f>
        <v>5710.7132083333317</v>
      </c>
    </row>
    <row r="5" spans="1:37" ht="17" x14ac:dyDescent="0.15">
      <c r="B5" s="10" t="s">
        <v>228</v>
      </c>
      <c r="C5" s="248">
        <f>'C-series'!T27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'C-series'!T11</f>
        <v>500</v>
      </c>
      <c r="D6" s="24" t="s">
        <v>13</v>
      </c>
      <c r="F6" s="194">
        <v>-32</v>
      </c>
      <c r="G6" s="561">
        <f>SäädataC!Z12</f>
        <v>4.7945205479452057E-3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-24.208999999999996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13.208999999999996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0.85299999999999998</v>
      </c>
      <c r="T6" s="200">
        <f>S6*$C$8</f>
        <v>0.85299999999999998</v>
      </c>
      <c r="U6" s="201">
        <f>G6*(M6-F6)*365</f>
        <v>92.750000000000014</v>
      </c>
      <c r="V6" s="201">
        <f>G6*(N6-F6)*365</f>
        <v>48.125</v>
      </c>
      <c r="W6" s="202">
        <f>G6*(M6-J6)*365</f>
        <v>48.125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100710.0564</v>
      </c>
      <c r="AH6" t="s">
        <v>237</v>
      </c>
    </row>
    <row r="7" spans="1:37" x14ac:dyDescent="0.15">
      <c r="B7" s="12" t="s">
        <v>255</v>
      </c>
      <c r="C7" s="249">
        <f>'C-series'!T12</f>
        <v>500</v>
      </c>
      <c r="D7" s="24" t="s">
        <v>13</v>
      </c>
      <c r="F7" s="194">
        <v>-31</v>
      </c>
      <c r="G7" s="561">
        <f>SäädataC!Z13</f>
        <v>6.0502283105022831E-3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-23.356000000000002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13.356000000000002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0.85299999999999998</v>
      </c>
      <c r="T7" s="200">
        <f t="shared" ref="T7:T50" si="14">S7*$C$8</f>
        <v>0.85299999999999998</v>
      </c>
      <c r="U7" s="108">
        <f>(G7-G6)*(M7-F7)*365</f>
        <v>23.833333333333329</v>
      </c>
      <c r="V7" s="108">
        <f>(G7-G6)*(N7-F7)*365</f>
        <v>12.604166666666664</v>
      </c>
      <c r="W7" s="203">
        <f>(G7-G6)*(M7-I7)*365</f>
        <v>12.604166666666664</v>
      </c>
      <c r="Y7" s="5">
        <f>$C$7/1000*1.2*1006*(M7-F7)*8760*(G7-G6)/1000</f>
        <v>345.25919999999996</v>
      </c>
      <c r="Z7" s="5">
        <f t="shared" si="12"/>
        <v>182.58899999999997</v>
      </c>
      <c r="AB7" t="s">
        <v>238</v>
      </c>
      <c r="AG7" s="110">
        <f>Z51</f>
        <v>81847.928821200025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'C-series'!T14</f>
        <v>1</v>
      </c>
      <c r="D8" s="24"/>
      <c r="F8" s="194">
        <v>-30</v>
      </c>
      <c r="G8" s="561">
        <f>SäädataC!Z14</f>
        <v>7.9908675799086754E-3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-22.503</v>
      </c>
      <c r="M8" s="182">
        <f t="shared" si="5"/>
        <v>21</v>
      </c>
      <c r="N8" s="196">
        <f t="shared" si="13"/>
        <v>-2.5</v>
      </c>
      <c r="O8" s="197">
        <f t="shared" si="6"/>
        <v>13.503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0.85299999999999998</v>
      </c>
      <c r="T8" s="200">
        <f t="shared" si="14"/>
        <v>0.85299999999999998</v>
      </c>
      <c r="U8" s="108">
        <f t="shared" ref="U8:U20" si="15">(G8-G7)*(M8-F8)*365</f>
        <v>36.124999999999993</v>
      </c>
      <c r="V8" s="108">
        <f t="shared" ref="V8:V50" si="16">(G8-G7)*(N8-F8)*365</f>
        <v>19.479166666666661</v>
      </c>
      <c r="W8" s="203">
        <f t="shared" ref="W8:W50" si="17">(G8-G7)*(M8-I8)*365</f>
        <v>19.479166666666661</v>
      </c>
      <c r="Y8" s="5">
        <f t="shared" si="11"/>
        <v>523.32119999999986</v>
      </c>
      <c r="Z8" s="5">
        <f t="shared" si="12"/>
        <v>282.18299999999994</v>
      </c>
      <c r="AB8" t="s">
        <v>1269</v>
      </c>
      <c r="AG8" s="110">
        <f>IF(ISNUMBER(AJ8),AJ8*8760/1000,"-")</f>
        <v>7504.551131006313</v>
      </c>
      <c r="AH8" t="s">
        <v>237</v>
      </c>
      <c r="AJ8" s="110">
        <f>'C-series'!D50</f>
        <v>856.68391906464751</v>
      </c>
      <c r="AK8" t="s">
        <v>49</v>
      </c>
    </row>
    <row r="9" spans="1:37" x14ac:dyDescent="0.15">
      <c r="B9" s="12" t="s">
        <v>257</v>
      </c>
      <c r="C9" s="250">
        <f>'C-series'!T23</f>
        <v>0.85299999999999998</v>
      </c>
      <c r="D9" s="24"/>
      <c r="F9" s="194">
        <v>-29</v>
      </c>
      <c r="G9" s="561">
        <f>SäädataC!Z15</f>
        <v>1.1187214611872146E-2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-21.65</v>
      </c>
      <c r="M9" s="182">
        <f t="shared" si="5"/>
        <v>21</v>
      </c>
      <c r="N9" s="196">
        <f t="shared" si="13"/>
        <v>-1.4999999999999964</v>
      </c>
      <c r="O9" s="197">
        <f t="shared" si="6"/>
        <v>13.649999999999999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0.85299999999999998</v>
      </c>
      <c r="T9" s="200">
        <f t="shared" si="14"/>
        <v>0.85299999999999998</v>
      </c>
      <c r="U9" s="108">
        <f t="shared" si="15"/>
        <v>58.333333333333343</v>
      </c>
      <c r="V9" s="108">
        <f t="shared" si="16"/>
        <v>32.083333333333343</v>
      </c>
      <c r="W9" s="203">
        <f t="shared" si="17"/>
        <v>32.083333333333336</v>
      </c>
      <c r="Y9" s="5">
        <f t="shared" si="11"/>
        <v>845.04</v>
      </c>
      <c r="Z9" s="5">
        <f t="shared" si="12"/>
        <v>464.77200000000005</v>
      </c>
    </row>
    <row r="10" spans="1:37" x14ac:dyDescent="0.15">
      <c r="B10" s="12" t="s">
        <v>258</v>
      </c>
      <c r="C10" s="205">
        <f>'C-series'!T24</f>
        <v>0.85299999999999998</v>
      </c>
      <c r="D10" s="24"/>
      <c r="F10" s="194">
        <v>-28</v>
      </c>
      <c r="G10" s="561">
        <f>SäädataC!Z16</f>
        <v>1.4726027397260274E-2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-20.796999999999997</v>
      </c>
      <c r="M10" s="182">
        <f t="shared" si="5"/>
        <v>21</v>
      </c>
      <c r="N10" s="196">
        <f t="shared" si="13"/>
        <v>-0.50000000000000355</v>
      </c>
      <c r="O10" s="197">
        <f t="shared" si="6"/>
        <v>13.796999999999997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0.85299999999999998</v>
      </c>
      <c r="T10" s="200">
        <f t="shared" si="14"/>
        <v>0.85299999999999998</v>
      </c>
      <c r="U10" s="108">
        <f t="shared" si="15"/>
        <v>63.291666666666671</v>
      </c>
      <c r="V10" s="108">
        <f t="shared" si="16"/>
        <v>35.520833333333336</v>
      </c>
      <c r="W10" s="203">
        <f t="shared" si="17"/>
        <v>35.520833333333336</v>
      </c>
      <c r="Y10" s="5">
        <f t="shared" si="11"/>
        <v>916.86840000000018</v>
      </c>
      <c r="Z10" s="5">
        <f t="shared" si="12"/>
        <v>514.56900000000007</v>
      </c>
    </row>
    <row r="11" spans="1:37" x14ac:dyDescent="0.15">
      <c r="B11" s="12" t="s">
        <v>259</v>
      </c>
      <c r="C11" s="193">
        <f>'C-series'!T28</f>
        <v>-6.5</v>
      </c>
      <c r="D11" s="24" t="s">
        <v>230</v>
      </c>
      <c r="F11" s="194">
        <v>-27</v>
      </c>
      <c r="G11" s="561">
        <f>SäädataC!Z17</f>
        <v>1.906392694063927E-2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-19.944000000000003</v>
      </c>
      <c r="M11" s="182">
        <f t="shared" si="5"/>
        <v>21</v>
      </c>
      <c r="N11" s="196">
        <f t="shared" si="13"/>
        <v>0.5</v>
      </c>
      <c r="O11" s="197">
        <f t="shared" si="6"/>
        <v>13.944000000000003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0.85299999999999998</v>
      </c>
      <c r="T11" s="200">
        <f t="shared" si="14"/>
        <v>0.85299999999999998</v>
      </c>
      <c r="U11" s="108">
        <f t="shared" si="15"/>
        <v>76</v>
      </c>
      <c r="V11" s="108">
        <f t="shared" si="16"/>
        <v>43.541666666666664</v>
      </c>
      <c r="W11" s="203">
        <f t="shared" si="17"/>
        <v>43.541666666666664</v>
      </c>
      <c r="Y11" s="5">
        <f t="shared" si="11"/>
        <v>1100.9664000000002</v>
      </c>
      <c r="Z11" s="5">
        <f t="shared" si="12"/>
        <v>630.76200000000006</v>
      </c>
      <c r="AB11" t="s">
        <v>1277</v>
      </c>
      <c r="AG11">
        <v>21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SäädataC!Z18</f>
        <v>2.2488584474885845E-2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-19.091000000000001</v>
      </c>
      <c r="M12" s="182">
        <f t="shared" si="5"/>
        <v>21</v>
      </c>
      <c r="N12" s="196">
        <f t="shared" si="13"/>
        <v>1.5</v>
      </c>
      <c r="O12" s="197">
        <f t="shared" si="6"/>
        <v>14.091000000000001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0.85299999999999998</v>
      </c>
      <c r="T12" s="200">
        <f t="shared" si="14"/>
        <v>0.85299999999999998</v>
      </c>
      <c r="U12" s="108">
        <f t="shared" si="15"/>
        <v>58.749999999999993</v>
      </c>
      <c r="V12" s="108">
        <f t="shared" si="16"/>
        <v>34.374999999999993</v>
      </c>
      <c r="W12" s="203">
        <f t="shared" si="17"/>
        <v>34.374999999999993</v>
      </c>
      <c r="Y12" s="5">
        <f t="shared" si="11"/>
        <v>851.07600000000002</v>
      </c>
      <c r="Z12" s="5">
        <f t="shared" si="12"/>
        <v>497.96999999999997</v>
      </c>
      <c r="AB12" t="s">
        <v>1286</v>
      </c>
      <c r="AG12" s="3">
        <f>N54</f>
        <v>17.913</v>
      </c>
    </row>
    <row r="13" spans="1:37" x14ac:dyDescent="0.1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SäädataC!Z19</f>
        <v>2.7397260273972601E-2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-18.238</v>
      </c>
      <c r="M13" s="182">
        <f t="shared" si="5"/>
        <v>21</v>
      </c>
      <c r="N13" s="196">
        <f t="shared" si="13"/>
        <v>2.5</v>
      </c>
      <c r="O13" s="197">
        <f t="shared" si="6"/>
        <v>14.238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0.85299999999999998</v>
      </c>
      <c r="T13" s="200">
        <f t="shared" si="14"/>
        <v>0.85299999999999998</v>
      </c>
      <c r="U13" s="108">
        <f t="shared" si="15"/>
        <v>82.416666666666643</v>
      </c>
      <c r="V13" s="108">
        <f t="shared" si="16"/>
        <v>49.270833333333314</v>
      </c>
      <c r="W13" s="203">
        <f t="shared" si="17"/>
        <v>49.270833333333314</v>
      </c>
      <c r="Y13" s="5">
        <f t="shared" si="11"/>
        <v>1193.9207999999999</v>
      </c>
      <c r="Z13" s="5">
        <f t="shared" si="12"/>
        <v>713.75699999999983</v>
      </c>
    </row>
    <row r="14" spans="1:37" x14ac:dyDescent="0.1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SäädataC!Z20</f>
        <v>3.093607305936073E-2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-17.384999999999998</v>
      </c>
      <c r="M14" s="182">
        <f t="shared" si="5"/>
        <v>21</v>
      </c>
      <c r="N14" s="196">
        <f t="shared" si="13"/>
        <v>3.5000000000000036</v>
      </c>
      <c r="O14" s="197">
        <f t="shared" si="6"/>
        <v>14.384999999999998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0.85299999999999998</v>
      </c>
      <c r="T14" s="200">
        <f t="shared" si="14"/>
        <v>0.85299999999999998</v>
      </c>
      <c r="U14" s="108">
        <f t="shared" si="15"/>
        <v>58.125000000000007</v>
      </c>
      <c r="V14" s="108">
        <f t="shared" si="16"/>
        <v>35.520833333333343</v>
      </c>
      <c r="W14" s="203">
        <f t="shared" si="17"/>
        <v>35.520833333333343</v>
      </c>
      <c r="Y14" s="5">
        <f t="shared" si="11"/>
        <v>842.02200000000016</v>
      </c>
      <c r="Z14" s="5">
        <f t="shared" si="12"/>
        <v>514.56900000000007</v>
      </c>
      <c r="AB14" t="s">
        <v>1272</v>
      </c>
      <c r="AG14" s="110">
        <f>1.2*C6*(AG11-AG12)</f>
        <v>1852.1999999999998</v>
      </c>
      <c r="AH14" t="s">
        <v>49</v>
      </c>
    </row>
    <row r="15" spans="1:37" x14ac:dyDescent="0.15">
      <c r="B15" s="12" t="s">
        <v>262</v>
      </c>
      <c r="C15" s="941">
        <f>'C-series'!T17</f>
        <v>0</v>
      </c>
      <c r="D15" s="24" t="s">
        <v>13</v>
      </c>
      <c r="F15" s="194">
        <v>-23</v>
      </c>
      <c r="G15" s="561">
        <f>SäädataC!Z21</f>
        <v>3.4018264840182645E-2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-16.531999999999996</v>
      </c>
      <c r="M15" s="182">
        <f t="shared" si="5"/>
        <v>21</v>
      </c>
      <c r="N15" s="196">
        <f t="shared" si="13"/>
        <v>4.5</v>
      </c>
      <c r="O15" s="197">
        <f t="shared" si="6"/>
        <v>14.531999999999996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0.85299999999999998</v>
      </c>
      <c r="T15" s="200">
        <f t="shared" si="14"/>
        <v>0.85299999999999998</v>
      </c>
      <c r="U15" s="108">
        <f t="shared" si="15"/>
        <v>49.499999999999957</v>
      </c>
      <c r="V15" s="108">
        <f t="shared" si="16"/>
        <v>30.937499999999975</v>
      </c>
      <c r="W15" s="203">
        <f t="shared" si="17"/>
        <v>30.937499999999975</v>
      </c>
      <c r="Y15" s="5">
        <f t="shared" si="11"/>
        <v>717.07679999999948</v>
      </c>
      <c r="Z15" s="5">
        <f t="shared" si="12"/>
        <v>448.17299999999972</v>
      </c>
      <c r="AF15" t="s">
        <v>1276</v>
      </c>
      <c r="AG15" s="110">
        <f>IFERROR(IF(AG14&lt;=0,"-",AG14),"-")</f>
        <v>1852.1999999999998</v>
      </c>
      <c r="AH15" t="s">
        <v>49</v>
      </c>
    </row>
    <row r="16" spans="1:37" x14ac:dyDescent="0.15">
      <c r="B16" s="12" t="s">
        <v>263</v>
      </c>
      <c r="C16" s="941">
        <f>'C-series'!T18</f>
        <v>0</v>
      </c>
      <c r="D16" s="24" t="s">
        <v>264</v>
      </c>
      <c r="F16" s="194">
        <v>-22</v>
      </c>
      <c r="G16" s="561">
        <f>SäädataC!Z22</f>
        <v>4.1095890410958902E-2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-15.679000000000002</v>
      </c>
      <c r="M16" s="182">
        <f t="shared" si="5"/>
        <v>21</v>
      </c>
      <c r="N16" s="196">
        <f t="shared" si="13"/>
        <v>5.5</v>
      </c>
      <c r="O16" s="197">
        <f t="shared" si="6"/>
        <v>14.679000000000002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0.85299999999999998</v>
      </c>
      <c r="T16" s="200">
        <f t="shared" si="14"/>
        <v>0.85299999999999998</v>
      </c>
      <c r="U16" s="108">
        <f t="shared" si="15"/>
        <v>111.08333333333334</v>
      </c>
      <c r="V16" s="108">
        <f t="shared" si="16"/>
        <v>71.041666666666686</v>
      </c>
      <c r="W16" s="203">
        <f t="shared" si="17"/>
        <v>71.041666666666686</v>
      </c>
      <c r="Y16" s="5">
        <f t="shared" si="11"/>
        <v>1609.1976000000004</v>
      </c>
      <c r="Z16" s="5">
        <f t="shared" si="12"/>
        <v>1029.1380000000001</v>
      </c>
    </row>
    <row r="17" spans="1:26" x14ac:dyDescent="0.15">
      <c r="B17" s="12" t="s">
        <v>265</v>
      </c>
      <c r="C17" s="4">
        <f>(24*C7+C16*C15)/24</f>
        <v>500</v>
      </c>
      <c r="D17" s="24" t="s">
        <v>13</v>
      </c>
      <c r="F17" s="194">
        <v>-21</v>
      </c>
      <c r="G17" s="561">
        <f>SäädataC!Z23</f>
        <v>4.8059360730593609E-2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-14.826000000000001</v>
      </c>
      <c r="M17" s="182">
        <f t="shared" si="5"/>
        <v>21</v>
      </c>
      <c r="N17" s="196">
        <f t="shared" si="13"/>
        <v>6.5</v>
      </c>
      <c r="O17" s="197">
        <f t="shared" si="6"/>
        <v>14.826000000000001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0.85299999999999998</v>
      </c>
      <c r="T17" s="200">
        <f t="shared" si="14"/>
        <v>0.85299999999999998</v>
      </c>
      <c r="U17" s="108">
        <f t="shared" si="15"/>
        <v>106.75000000000006</v>
      </c>
      <c r="V17" s="108">
        <f t="shared" si="16"/>
        <v>69.895833333333371</v>
      </c>
      <c r="W17" s="203">
        <f t="shared" si="17"/>
        <v>69.895833333333371</v>
      </c>
      <c r="Y17" s="5">
        <f t="shared" si="11"/>
        <v>1546.4232000000009</v>
      </c>
      <c r="Z17" s="5">
        <f t="shared" si="12"/>
        <v>1012.5390000000007</v>
      </c>
    </row>
    <row r="18" spans="1:26" ht="17" x14ac:dyDescent="0.25">
      <c r="B18" s="14" t="s">
        <v>266</v>
      </c>
      <c r="C18" s="207">
        <f>'C-series'!T20</f>
        <v>1</v>
      </c>
      <c r="D18" s="26"/>
      <c r="F18" s="194">
        <v>-20</v>
      </c>
      <c r="G18" s="561">
        <f>SäädataC!Z24</f>
        <v>5.5251141552511415E-2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-13.972999999999999</v>
      </c>
      <c r="M18" s="182">
        <f t="shared" si="5"/>
        <v>21</v>
      </c>
      <c r="N18" s="196">
        <f t="shared" si="13"/>
        <v>7.5</v>
      </c>
      <c r="O18" s="197">
        <f t="shared" si="6"/>
        <v>14.972999999999999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0.85299999999999998</v>
      </c>
      <c r="T18" s="200">
        <f>S18*$C$8</f>
        <v>0.85299999999999998</v>
      </c>
      <c r="U18" s="108">
        <f t="shared" si="15"/>
        <v>107.62499999999997</v>
      </c>
      <c r="V18" s="108">
        <f>(G18-G17)*(N18-F18)*365</f>
        <v>72.187499999999986</v>
      </c>
      <c r="W18" s="203">
        <f>(G18-G17)*(M18-I18)*365</f>
        <v>72.187499999999986</v>
      </c>
      <c r="Y18" s="5">
        <f>$C$7/1000*1.2*1006*(M18-F18)*8760*(G18-G17)/1000</f>
        <v>1559.0987999999998</v>
      </c>
      <c r="Z18" s="5">
        <f t="shared" si="12"/>
        <v>1045.7369999999999</v>
      </c>
    </row>
    <row r="19" spans="1:26" x14ac:dyDescent="0.1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SäädataC!Z25</f>
        <v>6.2557077625570778E-2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-13.119999999999997</v>
      </c>
      <c r="M19" s="182">
        <f t="shared" si="5"/>
        <v>21</v>
      </c>
      <c r="N19" s="196">
        <f t="shared" si="13"/>
        <v>8.5</v>
      </c>
      <c r="O19" s="197">
        <f t="shared" si="6"/>
        <v>15.119999999999997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0.85299999999999998</v>
      </c>
      <c r="T19" s="200">
        <f t="shared" si="14"/>
        <v>0.85299999999999998</v>
      </c>
      <c r="U19" s="108">
        <f t="shared" si="15"/>
        <v>106.6666666666667</v>
      </c>
      <c r="V19" s="108">
        <f t="shared" si="16"/>
        <v>73.333333333333357</v>
      </c>
      <c r="W19" s="203">
        <f t="shared" si="17"/>
        <v>73.333333333333357</v>
      </c>
      <c r="Y19" s="5">
        <f t="shared" si="11"/>
        <v>1545.2160000000006</v>
      </c>
      <c r="Z19" s="5">
        <f t="shared" si="12"/>
        <v>1062.3360000000005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61">
        <f>SäädataC!Z26</f>
        <v>6.803652968036529E-2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-12.266999999999996</v>
      </c>
      <c r="M20" s="182">
        <f t="shared" si="5"/>
        <v>21</v>
      </c>
      <c r="N20" s="196">
        <f t="shared" si="13"/>
        <v>9.5000000000000036</v>
      </c>
      <c r="O20" s="197">
        <f t="shared" si="6"/>
        <v>15.266999999999996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0.85299999999999998</v>
      </c>
      <c r="T20" s="200">
        <f t="shared" si="14"/>
        <v>0.85299999999999998</v>
      </c>
      <c r="U20" s="108">
        <f t="shared" si="15"/>
        <v>77.999999999999886</v>
      </c>
      <c r="V20" s="108">
        <f t="shared" si="16"/>
        <v>54.999999999999915</v>
      </c>
      <c r="W20" s="203">
        <f t="shared" si="17"/>
        <v>54.999999999999915</v>
      </c>
      <c r="Y20" s="5">
        <f t="shared" si="11"/>
        <v>1129.9391999999984</v>
      </c>
      <c r="Z20" s="5">
        <f t="shared" si="12"/>
        <v>796.7519999999987</v>
      </c>
    </row>
    <row r="21" spans="1:26" x14ac:dyDescent="0.15">
      <c r="F21" s="194">
        <v>-17</v>
      </c>
      <c r="G21" s="561">
        <f>SäädataC!Z27</f>
        <v>7.4543378995433784E-2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-11.414000000000001</v>
      </c>
      <c r="M21" s="182">
        <f t="shared" si="5"/>
        <v>21</v>
      </c>
      <c r="N21" s="196">
        <f t="shared" si="13"/>
        <v>10.5</v>
      </c>
      <c r="O21" s="197">
        <f t="shared" si="6"/>
        <v>15.414000000000001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0.85299999999999998</v>
      </c>
      <c r="T21" s="200">
        <f t="shared" si="14"/>
        <v>0.85299999999999998</v>
      </c>
      <c r="U21" s="108">
        <f>(G21-G20)*(M21-F21)*365</f>
        <v>90.250000000000014</v>
      </c>
      <c r="V21" s="108">
        <f t="shared" si="16"/>
        <v>65.312500000000014</v>
      </c>
      <c r="W21" s="203">
        <f t="shared" si="17"/>
        <v>65.312500000000014</v>
      </c>
      <c r="Y21" s="5">
        <f t="shared" si="11"/>
        <v>1307.3976</v>
      </c>
      <c r="Z21" s="5">
        <f t="shared" si="12"/>
        <v>946.14300000000014</v>
      </c>
    </row>
    <row r="22" spans="1:26" x14ac:dyDescent="0.15">
      <c r="F22" s="194">
        <v>-16</v>
      </c>
      <c r="G22" s="561">
        <f>SäädataC!Z28</f>
        <v>8.1621004566210048E-2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-10.561</v>
      </c>
      <c r="M22" s="182">
        <f t="shared" si="5"/>
        <v>21</v>
      </c>
      <c r="N22" s="196">
        <f t="shared" si="13"/>
        <v>11.5</v>
      </c>
      <c r="O22" s="197">
        <f t="shared" si="6"/>
        <v>15.561</v>
      </c>
      <c r="P22" s="4">
        <f t="shared" si="7"/>
        <v>1</v>
      </c>
      <c r="Q22" s="198">
        <f t="shared" ref="Q22:Q3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0.85299999999999998</v>
      </c>
      <c r="T22" s="200">
        <f t="shared" si="14"/>
        <v>0.85299999999999998</v>
      </c>
      <c r="U22" s="108">
        <f t="shared" ref="U22:U50" si="24">(G22-G21)*(M22-F22)*365</f>
        <v>95.583333333333456</v>
      </c>
      <c r="V22" s="108">
        <f>(G22-G21)*(N22-F22)*365</f>
        <v>71.041666666666742</v>
      </c>
      <c r="W22" s="203">
        <f>(G22-G21)*(M22-I22)*365</f>
        <v>71.041666666666742</v>
      </c>
      <c r="Y22" s="5">
        <f t="shared" si="11"/>
        <v>1384.6584000000016</v>
      </c>
      <c r="Z22" s="5">
        <f t="shared" si="12"/>
        <v>1029.1380000000011</v>
      </c>
    </row>
    <row r="23" spans="1:26" ht="14" thickBot="1" x14ac:dyDescent="0.2">
      <c r="F23" s="194">
        <v>-15</v>
      </c>
      <c r="G23" s="561">
        <f>SäädataC!Z29</f>
        <v>9.0981735159817348E-2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-9.7079999999999984</v>
      </c>
      <c r="M23" s="182">
        <f t="shared" si="5"/>
        <v>21</v>
      </c>
      <c r="N23" s="196">
        <f t="shared" si="13"/>
        <v>12.5</v>
      </c>
      <c r="O23" s="197">
        <f t="shared" si="6"/>
        <v>15.707999999999998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0.85299999999999998</v>
      </c>
      <c r="T23" s="200">
        <f t="shared" si="14"/>
        <v>0.85299999999999998</v>
      </c>
      <c r="U23" s="108">
        <f t="shared" si="24"/>
        <v>122.99999999999991</v>
      </c>
      <c r="V23" s="108">
        <f t="shared" si="16"/>
        <v>93.958333333333272</v>
      </c>
      <c r="W23" s="203">
        <f t="shared" si="17"/>
        <v>93.958333333333272</v>
      </c>
      <c r="Y23" s="5">
        <f t="shared" si="11"/>
        <v>1781.827199999999</v>
      </c>
      <c r="Z23" s="5">
        <f t="shared" si="12"/>
        <v>1361.1179999999993</v>
      </c>
    </row>
    <row r="24" spans="1:26" ht="14" thickBot="1" x14ac:dyDescent="0.2">
      <c r="B24" s="210" t="s">
        <v>269</v>
      </c>
      <c r="C24" s="211"/>
      <c r="D24" s="212">
        <f>IFERROR(MIN(V4*C18/U4,1),"-")</f>
        <v>0.80789590738415629</v>
      </c>
      <c r="F24" s="194">
        <v>-14</v>
      </c>
      <c r="G24" s="561">
        <f>SäädataC!Z30</f>
        <v>0.10422374429223745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-8.8550000000000004</v>
      </c>
      <c r="M24" s="182">
        <f t="shared" si="5"/>
        <v>21</v>
      </c>
      <c r="N24" s="196">
        <f t="shared" si="13"/>
        <v>13.5</v>
      </c>
      <c r="O24" s="197">
        <f t="shared" si="6"/>
        <v>15.855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0.85299999999999998</v>
      </c>
      <c r="T24" s="200">
        <f t="shared" si="14"/>
        <v>0.85299999999999998</v>
      </c>
      <c r="U24" s="108">
        <f>(G24-G23)*(M24-F24)*365</f>
        <v>169.1666666666668</v>
      </c>
      <c r="V24" s="108">
        <f t="shared" si="16"/>
        <v>132.91666666666677</v>
      </c>
      <c r="W24" s="203">
        <f t="shared" si="17"/>
        <v>132.91666666666677</v>
      </c>
      <c r="Y24" s="5">
        <f t="shared" si="11"/>
        <v>2450.6160000000018</v>
      </c>
      <c r="Z24" s="5">
        <f t="shared" si="12"/>
        <v>1925.4840000000015</v>
      </c>
    </row>
    <row r="25" spans="1:26" x14ac:dyDescent="0.15">
      <c r="F25" s="194">
        <v>-13</v>
      </c>
      <c r="G25" s="561">
        <f>SäädataC!Z31</f>
        <v>0.11746575342465754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-8.0019999999999989</v>
      </c>
      <c r="M25" s="182">
        <f t="shared" si="5"/>
        <v>21</v>
      </c>
      <c r="N25" s="196">
        <f t="shared" si="13"/>
        <v>14.5</v>
      </c>
      <c r="O25" s="197">
        <f t="shared" si="6"/>
        <v>16.001999999999999</v>
      </c>
      <c r="P25" s="4">
        <f t="shared" si="7"/>
        <v>1</v>
      </c>
      <c r="Q25" s="198">
        <f t="shared" si="22"/>
        <v>0.80882352941176472</v>
      </c>
      <c r="R25" s="199">
        <f t="shared" si="23"/>
        <v>0.80882352941176472</v>
      </c>
      <c r="S25" s="198">
        <f t="shared" si="10"/>
        <v>0.85299999999999998</v>
      </c>
      <c r="T25" s="200">
        <f t="shared" si="14"/>
        <v>0.85299999999999998</v>
      </c>
      <c r="U25" s="108">
        <f t="shared" si="24"/>
        <v>164.33333333333329</v>
      </c>
      <c r="V25" s="108">
        <f t="shared" si="16"/>
        <v>132.91666666666663</v>
      </c>
      <c r="W25" s="203">
        <f t="shared" si="17"/>
        <v>132.91666666666663</v>
      </c>
      <c r="Y25" s="5">
        <f t="shared" si="11"/>
        <v>2380.5983999999994</v>
      </c>
      <c r="Z25" s="5">
        <f t="shared" si="12"/>
        <v>1925.4839999999995</v>
      </c>
    </row>
    <row r="26" spans="1:26" x14ac:dyDescent="0.15">
      <c r="F26" s="194">
        <v>-12</v>
      </c>
      <c r="G26" s="561">
        <f>SäädataC!Z32</f>
        <v>0.13344748858447489</v>
      </c>
      <c r="H26" s="194">
        <f t="shared" si="18"/>
        <v>21</v>
      </c>
      <c r="I26" s="195">
        <f t="shared" si="21"/>
        <v>-6.5</v>
      </c>
      <c r="J26" s="196">
        <f t="shared" si="2"/>
        <v>-6.5</v>
      </c>
      <c r="K26" s="196">
        <f t="shared" si="19"/>
        <v>-6.5</v>
      </c>
      <c r="L26" s="196">
        <f t="shared" si="20"/>
        <v>-7.1490000000000009</v>
      </c>
      <c r="M26" s="182">
        <f t="shared" si="5"/>
        <v>21</v>
      </c>
      <c r="N26" s="196">
        <f t="shared" si="13"/>
        <v>15.5</v>
      </c>
      <c r="O26" s="197">
        <f t="shared" si="6"/>
        <v>16.149000000000001</v>
      </c>
      <c r="P26" s="4">
        <f t="shared" si="7"/>
        <v>1</v>
      </c>
      <c r="Q26" s="198">
        <f t="shared" si="22"/>
        <v>0.83333333333333337</v>
      </c>
      <c r="R26" s="199">
        <f t="shared" si="23"/>
        <v>0.83333333333333337</v>
      </c>
      <c r="S26" s="198">
        <f t="shared" si="10"/>
        <v>0.85299999999999998</v>
      </c>
      <c r="T26" s="200">
        <f t="shared" si="14"/>
        <v>0.85299999999999998</v>
      </c>
      <c r="U26" s="108">
        <f t="shared" si="24"/>
        <v>192.5</v>
      </c>
      <c r="V26" s="108">
        <f t="shared" si="16"/>
        <v>160.41666666666666</v>
      </c>
      <c r="W26" s="203">
        <f t="shared" si="17"/>
        <v>160.41666666666666</v>
      </c>
      <c r="Y26" s="5">
        <f t="shared" si="11"/>
        <v>2788.6320000000001</v>
      </c>
      <c r="Z26" s="5">
        <f t="shared" si="12"/>
        <v>2323.86</v>
      </c>
    </row>
    <row r="27" spans="1:26" x14ac:dyDescent="0.15">
      <c r="F27" s="194">
        <v>-11</v>
      </c>
      <c r="G27" s="561">
        <f>SäädataC!Z33</f>
        <v>0.15136986301369862</v>
      </c>
      <c r="H27" s="194">
        <f t="shared" si="18"/>
        <v>21</v>
      </c>
      <c r="I27" s="195">
        <f t="shared" si="21"/>
        <v>-6.2959999999999994</v>
      </c>
      <c r="J27" s="196">
        <f t="shared" si="2"/>
        <v>-6.2959999999999994</v>
      </c>
      <c r="K27" s="196">
        <f t="shared" si="19"/>
        <v>-6.2959999999999994</v>
      </c>
      <c r="L27" s="196">
        <f t="shared" si="20"/>
        <v>-6.2959999999999994</v>
      </c>
      <c r="M27" s="182">
        <f t="shared" si="5"/>
        <v>21</v>
      </c>
      <c r="N27" s="196">
        <f t="shared" si="13"/>
        <v>16.295999999999999</v>
      </c>
      <c r="O27" s="197">
        <f t="shared" si="6"/>
        <v>16.295999999999999</v>
      </c>
      <c r="P27" s="4">
        <f t="shared" si="7"/>
        <v>1</v>
      </c>
      <c r="Q27" s="198">
        <f t="shared" si="22"/>
        <v>0.85299999999999998</v>
      </c>
      <c r="R27" s="199">
        <f t="shared" si="23"/>
        <v>0.85299999999999998</v>
      </c>
      <c r="S27" s="198">
        <f t="shared" si="10"/>
        <v>0.85299999999999998</v>
      </c>
      <c r="T27" s="200">
        <f t="shared" si="14"/>
        <v>0.85299999999999998</v>
      </c>
      <c r="U27" s="108">
        <f t="shared" si="24"/>
        <v>209.33333333333317</v>
      </c>
      <c r="V27" s="108">
        <f t="shared" si="16"/>
        <v>178.56133333333321</v>
      </c>
      <c r="W27" s="203">
        <f t="shared" si="17"/>
        <v>178.56133333333321</v>
      </c>
      <c r="Y27" s="5">
        <f t="shared" si="11"/>
        <v>3032.4863999999975</v>
      </c>
      <c r="Z27" s="5">
        <f t="shared" si="12"/>
        <v>2586.7108991999985</v>
      </c>
    </row>
    <row r="28" spans="1:26" x14ac:dyDescent="0.15">
      <c r="F28" s="194">
        <v>-10</v>
      </c>
      <c r="G28" s="561">
        <f>SäädataC!Z34</f>
        <v>0.16860730593607307</v>
      </c>
      <c r="H28" s="194">
        <f t="shared" si="18"/>
        <v>21</v>
      </c>
      <c r="I28" s="195">
        <f t="shared" si="21"/>
        <v>-5.4429999999999978</v>
      </c>
      <c r="J28" s="196">
        <f t="shared" si="2"/>
        <v>-5.4429999999999978</v>
      </c>
      <c r="K28" s="196">
        <f t="shared" si="19"/>
        <v>-5.4429999999999978</v>
      </c>
      <c r="L28" s="196">
        <f t="shared" si="20"/>
        <v>-5.4429999999999978</v>
      </c>
      <c r="M28" s="182">
        <f t="shared" si="5"/>
        <v>21</v>
      </c>
      <c r="N28" s="196">
        <f t="shared" si="13"/>
        <v>16.442999999999998</v>
      </c>
      <c r="O28" s="197">
        <f t="shared" si="6"/>
        <v>16.442999999999998</v>
      </c>
      <c r="P28" s="4">
        <f t="shared" si="7"/>
        <v>1</v>
      </c>
      <c r="Q28" s="198">
        <f t="shared" si="22"/>
        <v>0.85299999999999998</v>
      </c>
      <c r="R28" s="199">
        <f t="shared" si="23"/>
        <v>0.85299999999999998</v>
      </c>
      <c r="S28" s="198">
        <f t="shared" si="10"/>
        <v>0.85299999999999998</v>
      </c>
      <c r="T28" s="200">
        <f t="shared" si="14"/>
        <v>0.85299999999999998</v>
      </c>
      <c r="U28" s="108">
        <f t="shared" si="24"/>
        <v>195.04166666666683</v>
      </c>
      <c r="V28" s="108">
        <f t="shared" si="16"/>
        <v>166.37054166666681</v>
      </c>
      <c r="W28" s="203">
        <f t="shared" si="17"/>
        <v>166.37054166666681</v>
      </c>
      <c r="Y28" s="5">
        <f t="shared" si="11"/>
        <v>2825.4516000000035</v>
      </c>
      <c r="Z28" s="5">
        <f t="shared" si="12"/>
        <v>2410.1102148000023</v>
      </c>
    </row>
    <row r="29" spans="1:26" x14ac:dyDescent="0.15">
      <c r="F29" s="194">
        <v>-9</v>
      </c>
      <c r="G29" s="561">
        <f>SäädataC!Z35</f>
        <v>0.18630136986301371</v>
      </c>
      <c r="H29" s="194">
        <f t="shared" si="18"/>
        <v>21</v>
      </c>
      <c r="I29" s="195">
        <f t="shared" si="21"/>
        <v>-4.59</v>
      </c>
      <c r="J29" s="196">
        <f t="shared" si="2"/>
        <v>-4.59</v>
      </c>
      <c r="K29" s="196">
        <f t="shared" si="19"/>
        <v>-4.59</v>
      </c>
      <c r="L29" s="196">
        <f t="shared" si="20"/>
        <v>-4.59</v>
      </c>
      <c r="M29" s="182">
        <f t="shared" si="5"/>
        <v>21</v>
      </c>
      <c r="N29" s="196">
        <f>MIN(F29+R29/P29*(M29-F29),H29)</f>
        <v>16.59</v>
      </c>
      <c r="O29" s="197">
        <f>F29+S29/P29*(M29-F29)</f>
        <v>16.59</v>
      </c>
      <c r="P29" s="4">
        <f t="shared" si="7"/>
        <v>1</v>
      </c>
      <c r="Q29" s="198">
        <f t="shared" si="22"/>
        <v>0.85299999999999998</v>
      </c>
      <c r="R29" s="199">
        <f t="shared" si="23"/>
        <v>0.85299999999999998</v>
      </c>
      <c r="S29" s="198">
        <f t="shared" si="10"/>
        <v>0.85299999999999998</v>
      </c>
      <c r="T29" s="200">
        <f t="shared" si="14"/>
        <v>0.85299999999999998</v>
      </c>
      <c r="U29" s="108">
        <f t="shared" si="24"/>
        <v>193.75000000000009</v>
      </c>
      <c r="V29" s="108">
        <f t="shared" si="16"/>
        <v>165.26875000000007</v>
      </c>
      <c r="W29" s="203">
        <f t="shared" si="17"/>
        <v>165.26875000000007</v>
      </c>
      <c r="Y29" s="5">
        <f t="shared" si="11"/>
        <v>2806.7400000000011</v>
      </c>
      <c r="Z29" s="5">
        <f t="shared" si="12"/>
        <v>2394.1492200000007</v>
      </c>
    </row>
    <row r="30" spans="1:26" x14ac:dyDescent="0.15">
      <c r="F30" s="194">
        <v>-8</v>
      </c>
      <c r="G30" s="561">
        <f>SäädataC!Z36</f>
        <v>0.20091324200913241</v>
      </c>
      <c r="H30" s="194">
        <f t="shared" si="18"/>
        <v>21</v>
      </c>
      <c r="I30" s="195">
        <f t="shared" si="21"/>
        <v>-3.7369999999999983</v>
      </c>
      <c r="J30" s="196">
        <f t="shared" si="2"/>
        <v>-3.7369999999999983</v>
      </c>
      <c r="K30" s="196">
        <f t="shared" si="19"/>
        <v>-3.7369999999999983</v>
      </c>
      <c r="L30" s="196">
        <f t="shared" si="20"/>
        <v>-3.7369999999999983</v>
      </c>
      <c r="M30" s="182">
        <f t="shared" si="5"/>
        <v>21</v>
      </c>
      <c r="N30" s="196">
        <f t="shared" si="13"/>
        <v>16.736999999999998</v>
      </c>
      <c r="O30" s="197">
        <f t="shared" ref="O30:O50" si="25">F30+S30/P30*(M30-F30)</f>
        <v>16.736999999999998</v>
      </c>
      <c r="P30" s="4">
        <f t="shared" si="7"/>
        <v>1</v>
      </c>
      <c r="Q30" s="198">
        <f t="shared" si="22"/>
        <v>0.85299999999999998</v>
      </c>
      <c r="R30" s="199">
        <f t="shared" si="23"/>
        <v>0.85299999999999998</v>
      </c>
      <c r="S30" s="198">
        <f t="shared" si="10"/>
        <v>0.85299999999999998</v>
      </c>
      <c r="T30" s="200">
        <f t="shared" si="14"/>
        <v>0.85299999999999998</v>
      </c>
      <c r="U30" s="108">
        <f t="shared" si="24"/>
        <v>154.66666666666643</v>
      </c>
      <c r="V30" s="108">
        <f t="shared" si="16"/>
        <v>131.93066666666644</v>
      </c>
      <c r="W30" s="203">
        <f t="shared" si="17"/>
        <v>131.93066666666644</v>
      </c>
      <c r="Y30" s="5">
        <f t="shared" si="11"/>
        <v>2240.5631999999964</v>
      </c>
      <c r="Z30" s="5">
        <f t="shared" si="12"/>
        <v>1911.2004095999966</v>
      </c>
    </row>
    <row r="31" spans="1:26" x14ac:dyDescent="0.15">
      <c r="B31" s="23" t="s">
        <v>1291</v>
      </c>
      <c r="C31" s="22"/>
      <c r="D31" s="21"/>
      <c r="F31" s="194">
        <v>-7</v>
      </c>
      <c r="G31" s="561">
        <f>SäädataC!Z37</f>
        <v>0.22237442922374429</v>
      </c>
      <c r="H31" s="194">
        <f t="shared" si="18"/>
        <v>21</v>
      </c>
      <c r="I31" s="195">
        <f t="shared" si="21"/>
        <v>-2.8840000000000003</v>
      </c>
      <c r="J31" s="196">
        <f t="shared" si="2"/>
        <v>-2.8840000000000003</v>
      </c>
      <c r="K31" s="196">
        <f t="shared" si="19"/>
        <v>-2.8840000000000003</v>
      </c>
      <c r="L31" s="196">
        <f t="shared" si="20"/>
        <v>-2.8840000000000003</v>
      </c>
      <c r="M31" s="182">
        <f t="shared" si="5"/>
        <v>21</v>
      </c>
      <c r="N31" s="196">
        <f t="shared" si="13"/>
        <v>16.884</v>
      </c>
      <c r="O31" s="197">
        <f t="shared" si="25"/>
        <v>16.884</v>
      </c>
      <c r="P31" s="4">
        <f t="shared" si="7"/>
        <v>1</v>
      </c>
      <c r="Q31" s="198">
        <f>MIN(R31/P31,(H31-F31)/(M31-F31))</f>
        <v>0.85299999999999998</v>
      </c>
      <c r="R31" s="199">
        <f t="shared" si="23"/>
        <v>0.85299999999999998</v>
      </c>
      <c r="S31" s="198">
        <f t="shared" si="10"/>
        <v>0.85299999999999998</v>
      </c>
      <c r="T31" s="200">
        <f t="shared" si="14"/>
        <v>0.85299999999999998</v>
      </c>
      <c r="U31" s="108">
        <f t="shared" si="24"/>
        <v>219.33333333333337</v>
      </c>
      <c r="V31" s="108">
        <f t="shared" si="16"/>
        <v>187.09133333333335</v>
      </c>
      <c r="W31" s="203">
        <f t="shared" si="17"/>
        <v>187.09133333333335</v>
      </c>
      <c r="Y31" s="5">
        <f t="shared" si="11"/>
        <v>3177.3504000000007</v>
      </c>
      <c r="Z31" s="5">
        <f t="shared" si="12"/>
        <v>2710.2798912000003</v>
      </c>
    </row>
    <row r="32" spans="1:26" x14ac:dyDescent="0.15">
      <c r="B32" s="12" t="str" cm="1">
        <f t="array" ref="B32">INDEX(KirjastoC!D4:K200,148,KirjastoC!B4)</f>
        <v>Ei rajoitusta</v>
      </c>
      <c r="D32" s="24"/>
      <c r="F32" s="194">
        <v>-6</v>
      </c>
      <c r="G32" s="561">
        <f>SäädataC!Z38</f>
        <v>0.24121004566210047</v>
      </c>
      <c r="H32" s="194">
        <f t="shared" si="18"/>
        <v>21</v>
      </c>
      <c r="I32" s="195">
        <f t="shared" si="21"/>
        <v>-2.0309999999999988</v>
      </c>
      <c r="J32" s="196">
        <f t="shared" si="2"/>
        <v>-2.0309999999999988</v>
      </c>
      <c r="K32" s="196">
        <f t="shared" si="19"/>
        <v>-2.0309999999999988</v>
      </c>
      <c r="L32" s="196">
        <f t="shared" si="20"/>
        <v>-2.0309999999999988</v>
      </c>
      <c r="M32" s="182">
        <f t="shared" si="5"/>
        <v>21</v>
      </c>
      <c r="N32" s="196">
        <f t="shared" si="13"/>
        <v>17.030999999999999</v>
      </c>
      <c r="O32" s="197">
        <f t="shared" si="25"/>
        <v>17.030999999999999</v>
      </c>
      <c r="P32" s="4">
        <f t="shared" si="7"/>
        <v>1</v>
      </c>
      <c r="Q32" s="198">
        <f t="shared" ref="Q32:Q34" si="26">MIN(R32/P32,(H32-F32)/(M32-F32))</f>
        <v>0.85299999999999998</v>
      </c>
      <c r="R32" s="199">
        <f t="shared" si="23"/>
        <v>0.85299999999999998</v>
      </c>
      <c r="S32" s="198">
        <f t="shared" si="10"/>
        <v>0.85299999999999998</v>
      </c>
      <c r="T32" s="200">
        <f t="shared" si="14"/>
        <v>0.85299999999999998</v>
      </c>
      <c r="U32" s="108">
        <f t="shared" si="24"/>
        <v>185.6250000000002</v>
      </c>
      <c r="V32" s="108">
        <f t="shared" si="16"/>
        <v>158.33812500000016</v>
      </c>
      <c r="W32" s="203">
        <f t="shared" si="17"/>
        <v>158.33812500000016</v>
      </c>
      <c r="Y32" s="5">
        <f t="shared" si="11"/>
        <v>2689.0380000000027</v>
      </c>
      <c r="Z32" s="5">
        <f t="shared" si="12"/>
        <v>2293.7494140000022</v>
      </c>
    </row>
    <row r="33" spans="2:26" x14ac:dyDescent="0.15">
      <c r="B33" s="12" t="str" cm="1">
        <f t="array" ref="B33">INDEX(KirjastoC!D4:K200,147,KirjastoC!B4)</f>
        <v>Rajoitettu</v>
      </c>
      <c r="D33" s="24"/>
      <c r="F33" s="194">
        <v>-5</v>
      </c>
      <c r="G33" s="561">
        <f>SäädataC!Z39</f>
        <v>0.27180365296803655</v>
      </c>
      <c r="H33" s="194">
        <f t="shared" si="18"/>
        <v>21</v>
      </c>
      <c r="I33" s="195">
        <f t="shared" si="21"/>
        <v>-1.1780000000000008</v>
      </c>
      <c r="J33" s="196">
        <f t="shared" si="2"/>
        <v>-1.1780000000000008</v>
      </c>
      <c r="K33" s="196">
        <f t="shared" si="19"/>
        <v>-1.1780000000000008</v>
      </c>
      <c r="L33" s="196">
        <f t="shared" si="20"/>
        <v>-1.1780000000000008</v>
      </c>
      <c r="M33" s="182">
        <f t="shared" si="5"/>
        <v>21</v>
      </c>
      <c r="N33" s="196">
        <f t="shared" si="13"/>
        <v>17.178000000000001</v>
      </c>
      <c r="O33" s="197">
        <f t="shared" si="25"/>
        <v>17.178000000000001</v>
      </c>
      <c r="P33" s="4">
        <f t="shared" si="7"/>
        <v>1</v>
      </c>
      <c r="Q33" s="198">
        <f t="shared" si="26"/>
        <v>0.85299999999999998</v>
      </c>
      <c r="R33" s="199">
        <f t="shared" si="23"/>
        <v>0.85299999999999998</v>
      </c>
      <c r="S33" s="198">
        <f t="shared" si="10"/>
        <v>0.85299999999999998</v>
      </c>
      <c r="T33" s="200">
        <f t="shared" si="14"/>
        <v>0.85299999999999998</v>
      </c>
      <c r="U33" s="108">
        <f t="shared" si="24"/>
        <v>290.33333333333337</v>
      </c>
      <c r="V33" s="108">
        <f t="shared" si="16"/>
        <v>247.65433333333337</v>
      </c>
      <c r="W33" s="203">
        <f t="shared" si="17"/>
        <v>247.65433333333337</v>
      </c>
      <c r="Y33" s="5">
        <f t="shared" si="11"/>
        <v>4205.8848000000007</v>
      </c>
      <c r="Z33" s="5">
        <f t="shared" si="12"/>
        <v>3587.6197344000007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61">
        <f>SäädataC!Z40</f>
        <v>0.3065068493150685</v>
      </c>
      <c r="H34" s="194">
        <f t="shared" si="18"/>
        <v>21</v>
      </c>
      <c r="I34" s="195">
        <f t="shared" si="21"/>
        <v>-0.32499999999999929</v>
      </c>
      <c r="J34" s="196">
        <f t="shared" si="2"/>
        <v>-0.32499999999999929</v>
      </c>
      <c r="K34" s="196">
        <f t="shared" si="19"/>
        <v>-0.32499999999999929</v>
      </c>
      <c r="L34" s="196">
        <f t="shared" si="20"/>
        <v>-0.32499999999999929</v>
      </c>
      <c r="M34" s="182">
        <f t="shared" si="5"/>
        <v>21</v>
      </c>
      <c r="N34" s="196">
        <f t="shared" si="13"/>
        <v>17.324999999999999</v>
      </c>
      <c r="O34" s="197">
        <f t="shared" si="25"/>
        <v>17.324999999999999</v>
      </c>
      <c r="P34" s="4">
        <f t="shared" si="7"/>
        <v>1</v>
      </c>
      <c r="Q34" s="198">
        <f t="shared" si="26"/>
        <v>0.85299999999999998</v>
      </c>
      <c r="R34" s="199">
        <f t="shared" si="23"/>
        <v>0.85299999999999998</v>
      </c>
      <c r="S34" s="198">
        <f t="shared" si="10"/>
        <v>0.85299999999999998</v>
      </c>
      <c r="T34" s="200">
        <f t="shared" si="14"/>
        <v>0.85299999999999998</v>
      </c>
      <c r="U34" s="108">
        <f t="shared" si="24"/>
        <v>316.66666666666652</v>
      </c>
      <c r="V34" s="108">
        <f t="shared" si="16"/>
        <v>270.11666666666656</v>
      </c>
      <c r="W34" s="203">
        <f t="shared" si="17"/>
        <v>270.11666666666656</v>
      </c>
      <c r="Y34" s="5">
        <f t="shared" si="11"/>
        <v>4587.3599999999979</v>
      </c>
      <c r="Z34" s="5">
        <f t="shared" si="12"/>
        <v>3913.0180799999985</v>
      </c>
    </row>
    <row r="35" spans="2:26" x14ac:dyDescent="0.15">
      <c r="B35" s="12"/>
      <c r="C35" s="630" t="str" cm="1">
        <f t="array" ref="C35">INDEX(B32:B33,C34)</f>
        <v>Ei rajoitusta</v>
      </c>
      <c r="D35" s="24"/>
      <c r="F35" s="194">
        <v>-3</v>
      </c>
      <c r="G35" s="561">
        <f>SäädataC!Z41</f>
        <v>0.34178082191780823</v>
      </c>
      <c r="H35" s="194">
        <f t="shared" si="18"/>
        <v>21</v>
      </c>
      <c r="I35" s="195">
        <f t="shared" si="21"/>
        <v>0.52799999999999869</v>
      </c>
      <c r="J35" s="196">
        <f t="shared" si="2"/>
        <v>0.52799999999999869</v>
      </c>
      <c r="K35" s="196">
        <f t="shared" si="19"/>
        <v>0.52799999999999869</v>
      </c>
      <c r="L35" s="196">
        <f t="shared" si="20"/>
        <v>0.52799999999999869</v>
      </c>
      <c r="M35" s="182">
        <f t="shared" si="5"/>
        <v>21</v>
      </c>
      <c r="N35" s="196">
        <f t="shared" si="13"/>
        <v>17.472000000000001</v>
      </c>
      <c r="O35" s="197">
        <f t="shared" si="25"/>
        <v>17.472000000000001</v>
      </c>
      <c r="P35" s="4">
        <f t="shared" si="7"/>
        <v>1</v>
      </c>
      <c r="Q35" s="198">
        <f>MIN(R35/P35,(H35-F35)/(M35-F35))</f>
        <v>0.85300000000000009</v>
      </c>
      <c r="R35" s="199">
        <f t="shared" si="23"/>
        <v>0.85300000000000009</v>
      </c>
      <c r="S35" s="198">
        <f t="shared" si="10"/>
        <v>0.85299999999999998</v>
      </c>
      <c r="T35" s="200">
        <f t="shared" si="14"/>
        <v>0.85299999999999998</v>
      </c>
      <c r="U35" s="108">
        <f t="shared" si="24"/>
        <v>309.00000000000006</v>
      </c>
      <c r="V35" s="108">
        <f t="shared" si="16"/>
        <v>263.57700000000006</v>
      </c>
      <c r="W35" s="203">
        <f t="shared" si="17"/>
        <v>263.57700000000006</v>
      </c>
      <c r="Y35" s="5">
        <f t="shared" si="11"/>
        <v>4476.2976000000017</v>
      </c>
      <c r="Z35" s="5">
        <f t="shared" si="12"/>
        <v>3818.2818528000012</v>
      </c>
    </row>
    <row r="36" spans="2:26" x14ac:dyDescent="0.15">
      <c r="B36" s="12"/>
      <c r="D36" s="24"/>
      <c r="F36" s="194">
        <v>-2</v>
      </c>
      <c r="G36" s="561">
        <f>SäädataC!Z42</f>
        <v>0.37648401826484018</v>
      </c>
      <c r="H36" s="194">
        <f t="shared" si="18"/>
        <v>21</v>
      </c>
      <c r="I36" s="195">
        <f t="shared" si="21"/>
        <v>1.3810000000000002</v>
      </c>
      <c r="J36" s="196">
        <f t="shared" si="2"/>
        <v>1.3810000000000002</v>
      </c>
      <c r="K36" s="196">
        <f t="shared" si="19"/>
        <v>1.3810000000000002</v>
      </c>
      <c r="L36" s="196">
        <f t="shared" si="20"/>
        <v>1.3810000000000002</v>
      </c>
      <c r="M36" s="182">
        <f t="shared" si="5"/>
        <v>21</v>
      </c>
      <c r="N36" s="196">
        <f t="shared" si="13"/>
        <v>17.619</v>
      </c>
      <c r="O36" s="197">
        <f t="shared" si="25"/>
        <v>17.619</v>
      </c>
      <c r="P36" s="4">
        <f t="shared" si="7"/>
        <v>1</v>
      </c>
      <c r="Q36" s="198">
        <f t="shared" ref="Q36:Q50" si="27">MIN(R36/P36,(H36-F36)/(M36-F36))</f>
        <v>0.85299999999999998</v>
      </c>
      <c r="R36" s="199">
        <f t="shared" si="23"/>
        <v>0.85299999999999998</v>
      </c>
      <c r="S36" s="198">
        <f t="shared" si="10"/>
        <v>0.85299999999999998</v>
      </c>
      <c r="T36" s="200">
        <f t="shared" si="14"/>
        <v>0.85299999999999998</v>
      </c>
      <c r="U36" s="108">
        <f t="shared" si="24"/>
        <v>291.33333333333326</v>
      </c>
      <c r="V36" s="108">
        <f t="shared" si="16"/>
        <v>248.50733333333326</v>
      </c>
      <c r="W36" s="203">
        <f t="shared" si="17"/>
        <v>248.50733333333326</v>
      </c>
      <c r="Y36" s="5">
        <f t="shared" si="11"/>
        <v>4220.3711999999996</v>
      </c>
      <c r="Z36" s="5">
        <f t="shared" si="12"/>
        <v>3599.9766335999989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61">
        <f>SäädataC!Z43</f>
        <v>0.41678082191780824</v>
      </c>
      <c r="H37" s="194">
        <f t="shared" si="18"/>
        <v>21</v>
      </c>
      <c r="I37" s="195">
        <f t="shared" si="21"/>
        <v>2.2340000000000018</v>
      </c>
      <c r="J37" s="196">
        <f t="shared" si="2"/>
        <v>2.2340000000000018</v>
      </c>
      <c r="K37" s="196">
        <f t="shared" si="19"/>
        <v>2.2340000000000018</v>
      </c>
      <c r="L37" s="196">
        <f t="shared" si="20"/>
        <v>2.2340000000000018</v>
      </c>
      <c r="M37" s="182">
        <f t="shared" si="5"/>
        <v>21</v>
      </c>
      <c r="N37" s="196">
        <f t="shared" si="13"/>
        <v>17.765999999999998</v>
      </c>
      <c r="O37" s="197">
        <f t="shared" si="25"/>
        <v>17.765999999999998</v>
      </c>
      <c r="P37" s="4">
        <f t="shared" si="7"/>
        <v>1</v>
      </c>
      <c r="Q37" s="198">
        <f t="shared" si="27"/>
        <v>0.85299999999999987</v>
      </c>
      <c r="R37" s="199">
        <f t="shared" si="23"/>
        <v>0.85299999999999987</v>
      </c>
      <c r="S37" s="198">
        <f t="shared" si="10"/>
        <v>0.85299999999999998</v>
      </c>
      <c r="T37" s="200">
        <f t="shared" si="14"/>
        <v>0.85299999999999998</v>
      </c>
      <c r="U37" s="108">
        <f t="shared" si="24"/>
        <v>323.58333333333354</v>
      </c>
      <c r="V37" s="108">
        <f t="shared" si="16"/>
        <v>276.01658333333347</v>
      </c>
      <c r="W37" s="203">
        <f t="shared" si="17"/>
        <v>276.01658333333347</v>
      </c>
      <c r="Y37" s="5">
        <f t="shared" si="11"/>
        <v>4687.5576000000028</v>
      </c>
      <c r="Z37" s="5">
        <f t="shared" si="12"/>
        <v>3998.4866328000016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61">
        <f>SäädataC!Z44</f>
        <v>0.46027397260273972</v>
      </c>
      <c r="H38" s="194">
        <f t="shared" si="18"/>
        <v>21</v>
      </c>
      <c r="I38" s="195">
        <f t="shared" si="21"/>
        <v>3.0869999999999997</v>
      </c>
      <c r="J38" s="196">
        <f t="shared" si="2"/>
        <v>3.0869999999999997</v>
      </c>
      <c r="K38" s="196">
        <f t="shared" si="19"/>
        <v>3.0869999999999997</v>
      </c>
      <c r="L38" s="196">
        <f t="shared" si="20"/>
        <v>3.0869999999999997</v>
      </c>
      <c r="M38" s="182">
        <f t="shared" si="5"/>
        <v>21</v>
      </c>
      <c r="N38" s="196">
        <f t="shared" si="13"/>
        <v>17.913</v>
      </c>
      <c r="O38" s="197">
        <f t="shared" si="25"/>
        <v>17.913</v>
      </c>
      <c r="P38" s="4">
        <f t="shared" si="7"/>
        <v>1</v>
      </c>
      <c r="Q38" s="198">
        <f t="shared" si="27"/>
        <v>0.85299999999999998</v>
      </c>
      <c r="R38" s="199">
        <f t="shared" si="23"/>
        <v>0.85299999999999998</v>
      </c>
      <c r="S38" s="198">
        <f t="shared" si="10"/>
        <v>0.85299999999999998</v>
      </c>
      <c r="T38" s="200">
        <f t="shared" si="14"/>
        <v>0.85299999999999998</v>
      </c>
      <c r="U38" s="108">
        <f t="shared" si="24"/>
        <v>333.37499999999977</v>
      </c>
      <c r="V38" s="108">
        <f t="shared" si="16"/>
        <v>284.36887499999983</v>
      </c>
      <c r="W38" s="203">
        <f t="shared" si="17"/>
        <v>284.36887499999983</v>
      </c>
      <c r="Y38" s="5">
        <f t="shared" si="11"/>
        <v>4829.4035999999969</v>
      </c>
      <c r="Z38" s="5">
        <f t="shared" si="12"/>
        <v>4119.4812707999972</v>
      </c>
    </row>
    <row r="39" spans="2:26" x14ac:dyDescent="0.15">
      <c r="B39" s="12"/>
      <c r="D39" s="24"/>
      <c r="F39" s="194">
        <v>1</v>
      </c>
      <c r="G39" s="561">
        <f>SäädataC!Z45</f>
        <v>0.51118721461187211</v>
      </c>
      <c r="H39" s="194">
        <f t="shared" si="18"/>
        <v>21</v>
      </c>
      <c r="I39" s="195">
        <f t="shared" si="21"/>
        <v>3.9400000000000013</v>
      </c>
      <c r="J39" s="196">
        <f t="shared" si="2"/>
        <v>3.9400000000000013</v>
      </c>
      <c r="K39" s="196">
        <f t="shared" si="19"/>
        <v>3.9400000000000013</v>
      </c>
      <c r="L39" s="196">
        <f t="shared" si="20"/>
        <v>3.9400000000000013</v>
      </c>
      <c r="M39" s="182">
        <f t="shared" si="5"/>
        <v>21</v>
      </c>
      <c r="N39" s="196">
        <f t="shared" si="13"/>
        <v>18.059999999999999</v>
      </c>
      <c r="O39" s="197">
        <f t="shared" si="25"/>
        <v>18.059999999999999</v>
      </c>
      <c r="P39" s="4">
        <f t="shared" si="7"/>
        <v>1</v>
      </c>
      <c r="Q39" s="198">
        <f t="shared" si="27"/>
        <v>0.85299999999999998</v>
      </c>
      <c r="R39" s="199">
        <f t="shared" si="23"/>
        <v>0.85299999999999998</v>
      </c>
      <c r="S39" s="198">
        <f t="shared" si="10"/>
        <v>0.85299999999999998</v>
      </c>
      <c r="T39" s="200">
        <f t="shared" si="14"/>
        <v>0.85299999999999998</v>
      </c>
      <c r="U39" s="108">
        <f t="shared" si="24"/>
        <v>371.6666666666664</v>
      </c>
      <c r="V39" s="108">
        <f t="shared" si="16"/>
        <v>317.03166666666647</v>
      </c>
      <c r="W39" s="203">
        <f t="shared" si="17"/>
        <v>317.03166666666647</v>
      </c>
      <c r="Y39" s="5">
        <f t="shared" si="11"/>
        <v>5384.1119999999964</v>
      </c>
      <c r="Z39" s="5">
        <f t="shared" si="12"/>
        <v>4592.6475359999968</v>
      </c>
    </row>
    <row r="40" spans="2:26" x14ac:dyDescent="0.15">
      <c r="B40" s="12" t="s">
        <v>228</v>
      </c>
      <c r="C40" s="5">
        <f>'C-series'!T27</f>
        <v>21</v>
      </c>
      <c r="D40" s="24"/>
      <c r="F40" s="194">
        <v>2</v>
      </c>
      <c r="G40" s="561">
        <f>SäädataC!Z46</f>
        <v>0.54372146118721465</v>
      </c>
      <c r="H40" s="194">
        <f t="shared" si="18"/>
        <v>21</v>
      </c>
      <c r="I40" s="195">
        <f t="shared" si="21"/>
        <v>4.7929999999999993</v>
      </c>
      <c r="J40" s="196">
        <f t="shared" si="2"/>
        <v>4.7929999999999993</v>
      </c>
      <c r="K40" s="196">
        <f t="shared" si="19"/>
        <v>4.7929999999999993</v>
      </c>
      <c r="L40" s="196">
        <f t="shared" si="20"/>
        <v>4.7929999999999993</v>
      </c>
      <c r="M40" s="182">
        <f t="shared" si="5"/>
        <v>21</v>
      </c>
      <c r="N40" s="196">
        <f t="shared" si="13"/>
        <v>18.207000000000001</v>
      </c>
      <c r="O40" s="197">
        <f t="shared" si="25"/>
        <v>18.207000000000001</v>
      </c>
      <c r="P40" s="4">
        <f t="shared" si="7"/>
        <v>1</v>
      </c>
      <c r="Q40" s="198">
        <f>MIN(R40/P40,(H40-F40)/(M40-F40))</f>
        <v>0.85300000000000009</v>
      </c>
      <c r="R40" s="199">
        <f t="shared" si="23"/>
        <v>0.85300000000000009</v>
      </c>
      <c r="S40" s="198">
        <f t="shared" si="10"/>
        <v>0.85299999999999998</v>
      </c>
      <c r="T40" s="200">
        <f t="shared" si="14"/>
        <v>0.85299999999999998</v>
      </c>
      <c r="U40" s="108">
        <f t="shared" si="24"/>
        <v>225.62500000000051</v>
      </c>
      <c r="V40" s="108">
        <f t="shared" si="16"/>
        <v>192.45812500000045</v>
      </c>
      <c r="W40" s="203">
        <f t="shared" si="17"/>
        <v>192.45812500000045</v>
      </c>
      <c r="Y40" s="5">
        <f t="shared" si="11"/>
        <v>3268.4940000000074</v>
      </c>
      <c r="Z40" s="5">
        <f t="shared" si="12"/>
        <v>2788.0253820000071</v>
      </c>
    </row>
    <row r="41" spans="2:26" x14ac:dyDescent="0.15">
      <c r="B41" s="12" t="s">
        <v>1290</v>
      </c>
      <c r="C41" s="5">
        <f>'C-series'!T30</f>
        <v>20</v>
      </c>
      <c r="D41" s="24"/>
      <c r="F41" s="194">
        <v>3</v>
      </c>
      <c r="G41" s="561">
        <f>SäädataC!Z47</f>
        <v>0.57363013698630139</v>
      </c>
      <c r="H41" s="194">
        <f t="shared" si="18"/>
        <v>21</v>
      </c>
      <c r="I41" s="195">
        <f t="shared" si="21"/>
        <v>5.6460000000000008</v>
      </c>
      <c r="J41" s="196">
        <f t="shared" si="2"/>
        <v>5.6460000000000008</v>
      </c>
      <c r="K41" s="196">
        <f t="shared" si="19"/>
        <v>5.6460000000000008</v>
      </c>
      <c r="L41" s="196">
        <f t="shared" si="20"/>
        <v>5.6460000000000008</v>
      </c>
      <c r="M41" s="182">
        <f t="shared" si="5"/>
        <v>21</v>
      </c>
      <c r="N41" s="196">
        <f t="shared" si="13"/>
        <v>18.353999999999999</v>
      </c>
      <c r="O41" s="197">
        <f t="shared" si="25"/>
        <v>18.353999999999999</v>
      </c>
      <c r="P41" s="4">
        <f t="shared" si="7"/>
        <v>1</v>
      </c>
      <c r="Q41" s="198">
        <f t="shared" si="27"/>
        <v>0.85299999999999998</v>
      </c>
      <c r="R41" s="199">
        <f t="shared" si="23"/>
        <v>0.85299999999999998</v>
      </c>
      <c r="S41" s="198">
        <f t="shared" si="10"/>
        <v>0.85299999999999998</v>
      </c>
      <c r="T41" s="200">
        <f t="shared" si="14"/>
        <v>0.85299999999999998</v>
      </c>
      <c r="U41" s="108">
        <f t="shared" si="24"/>
        <v>196.49999999999986</v>
      </c>
      <c r="V41" s="108">
        <f t="shared" si="16"/>
        <v>167.61449999999988</v>
      </c>
      <c r="W41" s="203">
        <f t="shared" si="17"/>
        <v>167.61449999999988</v>
      </c>
      <c r="Y41" s="5">
        <f t="shared" si="11"/>
        <v>2846.5775999999983</v>
      </c>
      <c r="Z41" s="5">
        <f t="shared" si="12"/>
        <v>2428.1306927999985</v>
      </c>
    </row>
    <row r="42" spans="2:26" x14ac:dyDescent="0.15">
      <c r="B42" s="14" t="s">
        <v>1289</v>
      </c>
      <c r="C42" s="619">
        <f>IF(C37,C41,C40)</f>
        <v>21</v>
      </c>
      <c r="D42" s="26"/>
      <c r="F42" s="194">
        <v>4</v>
      </c>
      <c r="G42" s="561">
        <f>SäädataC!Z48</f>
        <v>0.61015981735159819</v>
      </c>
      <c r="H42" s="194">
        <f t="shared" si="18"/>
        <v>21</v>
      </c>
      <c r="I42" s="195">
        <f t="shared" si="21"/>
        <v>6.4990000000000006</v>
      </c>
      <c r="J42" s="196">
        <f t="shared" si="2"/>
        <v>6.4990000000000006</v>
      </c>
      <c r="K42" s="196">
        <f t="shared" si="19"/>
        <v>6.4990000000000006</v>
      </c>
      <c r="L42" s="196">
        <f t="shared" si="20"/>
        <v>6.4990000000000006</v>
      </c>
      <c r="M42" s="182">
        <f t="shared" si="5"/>
        <v>21</v>
      </c>
      <c r="N42" s="196">
        <f t="shared" si="13"/>
        <v>18.500999999999998</v>
      </c>
      <c r="O42" s="197">
        <f t="shared" si="25"/>
        <v>18.500999999999998</v>
      </c>
      <c r="P42" s="4">
        <f t="shared" si="7"/>
        <v>1</v>
      </c>
      <c r="Q42" s="198">
        <f t="shared" si="27"/>
        <v>0.85299999999999998</v>
      </c>
      <c r="R42" s="199">
        <f t="shared" si="23"/>
        <v>0.85299999999999998</v>
      </c>
      <c r="S42" s="198">
        <f t="shared" si="10"/>
        <v>0.85299999999999998</v>
      </c>
      <c r="T42" s="200">
        <f t="shared" si="14"/>
        <v>0.85299999999999998</v>
      </c>
      <c r="U42" s="108">
        <f t="shared" si="24"/>
        <v>226.66666666666666</v>
      </c>
      <c r="V42" s="108">
        <f t="shared" si="16"/>
        <v>193.34666666666661</v>
      </c>
      <c r="W42" s="203">
        <f t="shared" si="17"/>
        <v>193.34666666666664</v>
      </c>
      <c r="Y42" s="5">
        <f t="shared" si="11"/>
        <v>3283.5839999999998</v>
      </c>
      <c r="Z42" s="5">
        <f t="shared" si="12"/>
        <v>2800.897152</v>
      </c>
    </row>
    <row r="43" spans="2:26" x14ac:dyDescent="0.15">
      <c r="B43" s="12"/>
      <c r="D43" s="24"/>
      <c r="F43" s="194">
        <v>5</v>
      </c>
      <c r="G43" s="561">
        <f>SäädataC!Z49</f>
        <v>0.63641552511415522</v>
      </c>
      <c r="H43" s="194">
        <f t="shared" si="18"/>
        <v>21</v>
      </c>
      <c r="I43" s="195">
        <f t="shared" si="21"/>
        <v>7.3520000000000003</v>
      </c>
      <c r="J43" s="196">
        <f t="shared" si="2"/>
        <v>7.3520000000000003</v>
      </c>
      <c r="K43" s="196">
        <f t="shared" si="19"/>
        <v>7.3520000000000003</v>
      </c>
      <c r="L43" s="196">
        <f t="shared" si="20"/>
        <v>7.3520000000000003</v>
      </c>
      <c r="M43" s="182">
        <f t="shared" si="5"/>
        <v>21</v>
      </c>
      <c r="N43" s="196">
        <f t="shared" si="13"/>
        <v>18.648</v>
      </c>
      <c r="O43" s="197">
        <f t="shared" si="25"/>
        <v>18.648</v>
      </c>
      <c r="P43" s="4">
        <f t="shared" si="7"/>
        <v>1</v>
      </c>
      <c r="Q43" s="198">
        <f t="shared" si="27"/>
        <v>0.85299999999999998</v>
      </c>
      <c r="R43" s="199">
        <f t="shared" si="23"/>
        <v>0.85299999999999998</v>
      </c>
      <c r="S43" s="198">
        <f t="shared" si="10"/>
        <v>0.85299999999999998</v>
      </c>
      <c r="T43" s="200">
        <f t="shared" si="14"/>
        <v>0.85299999999999998</v>
      </c>
      <c r="U43" s="108">
        <f t="shared" si="24"/>
        <v>153.33333333333309</v>
      </c>
      <c r="V43" s="108">
        <f t="shared" si="16"/>
        <v>130.79333333333312</v>
      </c>
      <c r="W43" s="203">
        <f t="shared" si="17"/>
        <v>130.79333333333312</v>
      </c>
      <c r="Y43" s="5">
        <f t="shared" si="11"/>
        <v>2221.2479999999964</v>
      </c>
      <c r="Z43" s="5">
        <f t="shared" si="12"/>
        <v>1894.7245439999972</v>
      </c>
    </row>
    <row r="44" spans="2:26" x14ac:dyDescent="0.15">
      <c r="B44" s="12" t="s">
        <v>1293</v>
      </c>
      <c r="D44" s="24"/>
      <c r="F44" s="194">
        <v>6</v>
      </c>
      <c r="G44" s="561">
        <f>SäädataC!Z50</f>
        <v>0.66415525114155249</v>
      </c>
      <c r="H44" s="194">
        <f t="shared" si="18"/>
        <v>21</v>
      </c>
      <c r="I44" s="195">
        <f t="shared" si="21"/>
        <v>8.2050000000000001</v>
      </c>
      <c r="J44" s="196">
        <f t="shared" si="2"/>
        <v>8.2050000000000001</v>
      </c>
      <c r="K44" s="196">
        <f t="shared" si="19"/>
        <v>8.2050000000000001</v>
      </c>
      <c r="L44" s="196">
        <f t="shared" si="20"/>
        <v>8.2050000000000001</v>
      </c>
      <c r="M44" s="182">
        <f t="shared" si="5"/>
        <v>21</v>
      </c>
      <c r="N44" s="196">
        <f t="shared" si="13"/>
        <v>18.795000000000002</v>
      </c>
      <c r="O44" s="197">
        <f t="shared" si="25"/>
        <v>18.795000000000002</v>
      </c>
      <c r="P44" s="4">
        <f t="shared" si="7"/>
        <v>1</v>
      </c>
      <c r="Q44" s="198">
        <f t="shared" si="27"/>
        <v>0.85299999999999998</v>
      </c>
      <c r="R44" s="199">
        <f t="shared" si="23"/>
        <v>0.85299999999999998</v>
      </c>
      <c r="S44" s="198">
        <f t="shared" si="10"/>
        <v>0.85299999999999998</v>
      </c>
      <c r="T44" s="200">
        <f t="shared" si="14"/>
        <v>0.85299999999999998</v>
      </c>
      <c r="U44" s="108">
        <f t="shared" si="24"/>
        <v>151.87500000000006</v>
      </c>
      <c r="V44" s="108">
        <f t="shared" si="16"/>
        <v>129.54937500000005</v>
      </c>
      <c r="W44" s="203">
        <f t="shared" si="17"/>
        <v>129.54937500000005</v>
      </c>
      <c r="Y44" s="5">
        <f t="shared" si="11"/>
        <v>2200.1220000000008</v>
      </c>
      <c r="Z44" s="5">
        <f t="shared" si="12"/>
        <v>1876.7040660000007</v>
      </c>
    </row>
    <row r="45" spans="2:26" x14ac:dyDescent="0.15">
      <c r="B45" s="12" t="b">
        <f>IF(AND(KirjastoC!B4=1,C34=1),TRUE,FALSE)</f>
        <v>1</v>
      </c>
      <c r="D45" s="24"/>
      <c r="F45" s="194">
        <v>7</v>
      </c>
      <c r="G45" s="561">
        <f>SäädataC!Z51</f>
        <v>0.6905251141552512</v>
      </c>
      <c r="H45" s="194">
        <f t="shared" si="18"/>
        <v>21</v>
      </c>
      <c r="I45" s="195">
        <f t="shared" si="21"/>
        <v>9.0579999999999998</v>
      </c>
      <c r="J45" s="196">
        <f t="shared" si="2"/>
        <v>9.0579999999999998</v>
      </c>
      <c r="K45" s="196">
        <f t="shared" si="19"/>
        <v>9.0579999999999998</v>
      </c>
      <c r="L45" s="196">
        <f t="shared" si="20"/>
        <v>9.0579999999999998</v>
      </c>
      <c r="M45" s="182">
        <f t="shared" si="5"/>
        <v>21</v>
      </c>
      <c r="N45" s="196">
        <f t="shared" si="13"/>
        <v>18.942</v>
      </c>
      <c r="O45" s="197">
        <f t="shared" si="25"/>
        <v>18.942</v>
      </c>
      <c r="P45" s="4">
        <f t="shared" si="7"/>
        <v>1</v>
      </c>
      <c r="Q45" s="198">
        <f t="shared" si="27"/>
        <v>0.85299999999999998</v>
      </c>
      <c r="R45" s="199">
        <f t="shared" si="23"/>
        <v>0.85299999999999998</v>
      </c>
      <c r="S45" s="198">
        <f t="shared" si="10"/>
        <v>0.85299999999999998</v>
      </c>
      <c r="T45" s="200">
        <f t="shared" si="14"/>
        <v>0.85299999999999998</v>
      </c>
      <c r="U45" s="108">
        <f t="shared" si="24"/>
        <v>134.75000000000037</v>
      </c>
      <c r="V45" s="108">
        <f t="shared" si="16"/>
        <v>114.94175000000031</v>
      </c>
      <c r="W45" s="203">
        <f t="shared" si="17"/>
        <v>114.94175000000031</v>
      </c>
      <c r="Y45" s="5">
        <f t="shared" si="11"/>
        <v>1952.0424000000053</v>
      </c>
      <c r="Z45" s="5">
        <f t="shared" si="12"/>
        <v>1665.0921672000045</v>
      </c>
    </row>
    <row r="46" spans="2:26" x14ac:dyDescent="0.15">
      <c r="B46" s="1514" t="s">
        <v>1294</v>
      </c>
      <c r="C46" s="1515"/>
      <c r="D46" s="1516"/>
      <c r="F46" s="194">
        <v>8</v>
      </c>
      <c r="G46" s="561">
        <f>SäädataC!Z52</f>
        <v>0.71872146118721458</v>
      </c>
      <c r="H46" s="194">
        <f t="shared" si="18"/>
        <v>21</v>
      </c>
      <c r="I46" s="195">
        <f t="shared" si="21"/>
        <v>9.9109999999999996</v>
      </c>
      <c r="J46" s="196">
        <f t="shared" si="2"/>
        <v>9.9109999999999996</v>
      </c>
      <c r="K46" s="196">
        <f t="shared" si="19"/>
        <v>9.9109999999999996</v>
      </c>
      <c r="L46" s="196">
        <f t="shared" si="20"/>
        <v>9.9109999999999996</v>
      </c>
      <c r="M46" s="182">
        <f t="shared" si="5"/>
        <v>21</v>
      </c>
      <c r="N46" s="196">
        <f t="shared" si="13"/>
        <v>19.088999999999999</v>
      </c>
      <c r="O46" s="197">
        <f t="shared" si="25"/>
        <v>19.088999999999999</v>
      </c>
      <c r="P46" s="4">
        <f t="shared" si="7"/>
        <v>1</v>
      </c>
      <c r="Q46" s="198">
        <f t="shared" si="27"/>
        <v>0.85299999999999998</v>
      </c>
      <c r="R46" s="199">
        <f t="shared" si="23"/>
        <v>0.85299999999999998</v>
      </c>
      <c r="S46" s="198">
        <f t="shared" si="10"/>
        <v>0.85299999999999998</v>
      </c>
      <c r="T46" s="200">
        <f t="shared" si="14"/>
        <v>0.85299999999999998</v>
      </c>
      <c r="U46" s="108">
        <f t="shared" si="24"/>
        <v>133.79166666666626</v>
      </c>
      <c r="V46" s="108">
        <f t="shared" si="16"/>
        <v>114.12429166666631</v>
      </c>
      <c r="W46" s="203">
        <f t="shared" si="17"/>
        <v>114.12429166666632</v>
      </c>
      <c r="Y46" s="5">
        <f t="shared" si="11"/>
        <v>1938.1595999999943</v>
      </c>
      <c r="Z46" s="5">
        <f t="shared" si="12"/>
        <v>1653.2501387999953</v>
      </c>
    </row>
    <row r="47" spans="2:26" x14ac:dyDescent="0.15">
      <c r="B47" s="1517"/>
      <c r="C47" s="1400"/>
      <c r="D47" s="1518"/>
      <c r="F47" s="194">
        <v>9</v>
      </c>
      <c r="G47" s="561">
        <f>SäädataC!Z53</f>
        <v>0.74885844748858443</v>
      </c>
      <c r="H47" s="194">
        <f t="shared" si="18"/>
        <v>21</v>
      </c>
      <c r="I47" s="195">
        <f t="shared" si="21"/>
        <v>10.763999999999999</v>
      </c>
      <c r="J47" s="196">
        <f t="shared" si="2"/>
        <v>10.763999999999999</v>
      </c>
      <c r="K47" s="196">
        <f t="shared" si="19"/>
        <v>10.763999999999999</v>
      </c>
      <c r="L47" s="196">
        <f t="shared" si="20"/>
        <v>10.763999999999999</v>
      </c>
      <c r="M47" s="182">
        <f t="shared" si="5"/>
        <v>21</v>
      </c>
      <c r="N47" s="196">
        <f t="shared" si="13"/>
        <v>19.236000000000001</v>
      </c>
      <c r="O47" s="197">
        <f t="shared" si="25"/>
        <v>19.236000000000001</v>
      </c>
      <c r="P47" s="4">
        <f t="shared" si="7"/>
        <v>1</v>
      </c>
      <c r="Q47" s="198">
        <f t="shared" si="27"/>
        <v>0.85300000000000009</v>
      </c>
      <c r="R47" s="199">
        <f t="shared" si="23"/>
        <v>0.85300000000000009</v>
      </c>
      <c r="S47" s="198">
        <f t="shared" si="10"/>
        <v>0.85299999999999998</v>
      </c>
      <c r="T47" s="200">
        <f t="shared" si="14"/>
        <v>0.85299999999999998</v>
      </c>
      <c r="U47" s="108">
        <f t="shared" si="24"/>
        <v>131.99999999999994</v>
      </c>
      <c r="V47" s="108">
        <f t="shared" si="16"/>
        <v>112.59599999999996</v>
      </c>
      <c r="W47" s="203">
        <f t="shared" si="17"/>
        <v>112.59599999999996</v>
      </c>
      <c r="Y47" s="5">
        <f t="shared" si="11"/>
        <v>1912.2047999999993</v>
      </c>
      <c r="Z47" s="5">
        <f t="shared" si="12"/>
        <v>1631.1106943999994</v>
      </c>
    </row>
    <row r="48" spans="2:26" x14ac:dyDescent="0.15">
      <c r="B48" s="1517"/>
      <c r="C48" s="1400"/>
      <c r="D48" s="1518"/>
      <c r="F48" s="194">
        <v>10</v>
      </c>
      <c r="G48" s="561">
        <f>SäädataC!Z54</f>
        <v>0.78527397260273968</v>
      </c>
      <c r="H48" s="194">
        <f t="shared" si="18"/>
        <v>21</v>
      </c>
      <c r="I48" s="195">
        <f t="shared" si="21"/>
        <v>11.617000000000001</v>
      </c>
      <c r="J48" s="196">
        <f t="shared" si="2"/>
        <v>11.617000000000001</v>
      </c>
      <c r="K48" s="196">
        <f t="shared" si="19"/>
        <v>11.617000000000001</v>
      </c>
      <c r="L48" s="196">
        <f t="shared" si="20"/>
        <v>11.617000000000001</v>
      </c>
      <c r="M48" s="182">
        <f t="shared" si="5"/>
        <v>21</v>
      </c>
      <c r="N48" s="196">
        <f t="shared" si="13"/>
        <v>19.382999999999999</v>
      </c>
      <c r="O48" s="197">
        <f t="shared" si="25"/>
        <v>19.382999999999999</v>
      </c>
      <c r="P48" s="4">
        <f t="shared" si="7"/>
        <v>1</v>
      </c>
      <c r="Q48" s="198">
        <f t="shared" si="27"/>
        <v>0.85299999999999987</v>
      </c>
      <c r="R48" s="199">
        <f t="shared" si="23"/>
        <v>0.85299999999999987</v>
      </c>
      <c r="S48" s="198">
        <f t="shared" si="10"/>
        <v>0.85299999999999998</v>
      </c>
      <c r="T48" s="200">
        <f t="shared" si="14"/>
        <v>0.85299999999999998</v>
      </c>
      <c r="U48" s="108">
        <f t="shared" si="24"/>
        <v>146.20833333333331</v>
      </c>
      <c r="V48" s="108">
        <f t="shared" si="16"/>
        <v>124.71570833333331</v>
      </c>
      <c r="W48" s="203">
        <f t="shared" si="17"/>
        <v>124.71570833333331</v>
      </c>
      <c r="Y48" s="5">
        <f t="shared" si="11"/>
        <v>2118.0323999999996</v>
      </c>
      <c r="Z48" s="5">
        <f t="shared" si="12"/>
        <v>1806.6816371999994</v>
      </c>
    </row>
    <row r="49" spans="2:26" x14ac:dyDescent="0.15">
      <c r="B49" s="1517"/>
      <c r="C49" s="1400"/>
      <c r="D49" s="1518"/>
      <c r="F49" s="194">
        <v>11</v>
      </c>
      <c r="G49" s="561">
        <f>SäädataC!Z55</f>
        <v>0.82283105022831049</v>
      </c>
      <c r="H49" s="194">
        <f t="shared" si="18"/>
        <v>21</v>
      </c>
      <c r="I49" s="195">
        <f t="shared" si="21"/>
        <v>12.47</v>
      </c>
      <c r="J49" s="196">
        <f t="shared" si="2"/>
        <v>12.47</v>
      </c>
      <c r="K49" s="196">
        <f t="shared" si="19"/>
        <v>12.47</v>
      </c>
      <c r="L49" s="196">
        <f t="shared" si="20"/>
        <v>12.47</v>
      </c>
      <c r="M49" s="182">
        <f t="shared" si="5"/>
        <v>21</v>
      </c>
      <c r="N49" s="196">
        <f t="shared" si="13"/>
        <v>19.53</v>
      </c>
      <c r="O49" s="197">
        <f t="shared" si="25"/>
        <v>19.53</v>
      </c>
      <c r="P49" s="4">
        <f t="shared" si="7"/>
        <v>1</v>
      </c>
      <c r="Q49" s="198">
        <f t="shared" si="27"/>
        <v>0.85299999999999998</v>
      </c>
      <c r="R49" s="199">
        <f t="shared" si="23"/>
        <v>0.85299999999999998</v>
      </c>
      <c r="S49" s="198">
        <f t="shared" si="10"/>
        <v>0.85299999999999998</v>
      </c>
      <c r="T49" s="200">
        <f t="shared" si="14"/>
        <v>0.85299999999999998</v>
      </c>
      <c r="U49" s="108">
        <f t="shared" si="24"/>
        <v>137.08333333333346</v>
      </c>
      <c r="V49" s="108">
        <f t="shared" si="16"/>
        <v>116.93208333333345</v>
      </c>
      <c r="W49" s="203">
        <f t="shared" si="17"/>
        <v>116.93208333333344</v>
      </c>
      <c r="Y49" s="5">
        <f t="shared" si="11"/>
        <v>1985.8440000000019</v>
      </c>
      <c r="Z49" s="5">
        <f t="shared" si="12"/>
        <v>1693.9249320000017</v>
      </c>
    </row>
    <row r="50" spans="2:26" x14ac:dyDescent="0.15">
      <c r="B50" s="1517"/>
      <c r="C50" s="1400"/>
      <c r="D50" s="1518"/>
      <c r="F50" s="214">
        <v>12</v>
      </c>
      <c r="G50" s="561">
        <f>SäädataC!Z56</f>
        <v>0.85114155251141554</v>
      </c>
      <c r="H50" s="214">
        <f t="shared" si="18"/>
        <v>21</v>
      </c>
      <c r="I50" s="215">
        <f t="shared" si="21"/>
        <v>13.323</v>
      </c>
      <c r="J50" s="216">
        <f t="shared" si="2"/>
        <v>13.323</v>
      </c>
      <c r="K50" s="216">
        <f t="shared" si="19"/>
        <v>13.323</v>
      </c>
      <c r="L50" s="216">
        <f t="shared" si="20"/>
        <v>13.323</v>
      </c>
      <c r="M50" s="217">
        <f t="shared" si="5"/>
        <v>21</v>
      </c>
      <c r="N50" s="216">
        <f t="shared" si="13"/>
        <v>19.677</v>
      </c>
      <c r="O50" s="218">
        <f t="shared" si="25"/>
        <v>19.677</v>
      </c>
      <c r="P50" s="50">
        <f t="shared" si="7"/>
        <v>1</v>
      </c>
      <c r="Q50" s="219">
        <f t="shared" si="27"/>
        <v>0.85299999999999998</v>
      </c>
      <c r="R50" s="220">
        <f>(M50-J50)/(M50-F50)</f>
        <v>0.85299999999999998</v>
      </c>
      <c r="S50" s="219">
        <f t="shared" si="10"/>
        <v>0.85299999999999998</v>
      </c>
      <c r="T50" s="221">
        <f t="shared" si="14"/>
        <v>0.85299999999999998</v>
      </c>
      <c r="U50" s="222">
        <f t="shared" si="24"/>
        <v>93.000000000000099</v>
      </c>
      <c r="V50" s="222">
        <f t="shared" si="16"/>
        <v>79.329000000000079</v>
      </c>
      <c r="W50" s="223">
        <f t="shared" si="17"/>
        <v>79.329000000000079</v>
      </c>
      <c r="Y50" s="5">
        <f>$C$7/1000*1.2*1006*(M50-F50)*8760*(G50-G49)/1000</f>
        <v>1347.2352000000019</v>
      </c>
      <c r="Z50" s="5">
        <f>1.2*1006*$C$7/1000*(M50-I50)/1000*(G50-G49)*8760</f>
        <v>1149.1916256000013</v>
      </c>
    </row>
    <row r="51" spans="2:26" x14ac:dyDescent="0.15">
      <c r="B51" s="1519"/>
      <c r="C51" s="1520"/>
      <c r="D51" s="1521"/>
      <c r="Q51" s="224"/>
      <c r="R51" s="224"/>
      <c r="S51" s="224"/>
      <c r="Y51" s="648">
        <f>SUM(Y8:Y50)</f>
        <v>100710.0564</v>
      </c>
      <c r="Z51" s="648">
        <f>IFERROR(SUM(Z8:Z50),"-")</f>
        <v>81847.928821200025</v>
      </c>
    </row>
    <row r="52" spans="2:26" x14ac:dyDescent="0.1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3" t="s">
        <v>1288</v>
      </c>
      <c r="Y52" s="104" t="s">
        <v>237</v>
      </c>
      <c r="Z52" s="104" t="s">
        <v>237</v>
      </c>
    </row>
    <row r="54" spans="2:26" x14ac:dyDescent="0.15">
      <c r="F54" s="196">
        <f>'C-series'!T39</f>
        <v>0</v>
      </c>
      <c r="K54" s="225"/>
      <c r="M54" s="226"/>
      <c r="N54" s="195">
        <f>IF(F54&lt;12,_xlfn.FORECAST.LINEAR(F54,L56:L57,K56:K57),N50)</f>
        <v>17.913</v>
      </c>
      <c r="Y54" s="227"/>
      <c r="Z54" s="224">
        <f>IFERROR(Z51/Y51,"-")</f>
        <v>0.81270859879292079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17.913</v>
      </c>
    </row>
    <row r="57" spans="2:26" x14ac:dyDescent="0.1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18.059999999999999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152400</xdr:rowOff>
                  </from>
                  <to>
                    <xdr:col>4</xdr:col>
                    <xdr:colOff>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0" r:id="rId5" name="Drop Down 3">
              <controlPr defaultSize="0" autoLine="0" autoPict="0">
                <anchor moveWithCells="1">
                  <from>
                    <xdr:col>3</xdr:col>
                    <xdr:colOff>12700</xdr:colOff>
                    <xdr:row>13</xdr:row>
                    <xdr:rowOff>0</xdr:rowOff>
                  </from>
                  <to>
                    <xdr:col>4</xdr:col>
                    <xdr:colOff>38100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A1:V179"/>
  <sheetViews>
    <sheetView showGridLines="0" topLeftCell="A139" zoomScale="85" zoomScaleNormal="85" workbookViewId="0">
      <selection activeCell="B126" sqref="B126"/>
    </sheetView>
  </sheetViews>
  <sheetFormatPr baseColWidth="10" defaultColWidth="9.1640625" defaultRowHeight="15" x14ac:dyDescent="0.2"/>
  <cols>
    <col min="1" max="3" width="9.1640625" style="492"/>
    <col min="4" max="4" width="66.1640625" style="502" customWidth="1"/>
    <col min="5" max="11" width="61.5" style="492" customWidth="1"/>
    <col min="12" max="12" width="9.1640625" style="492"/>
    <col min="13" max="13" width="10.6640625" style="492" bestFit="1" customWidth="1"/>
    <col min="14" max="16384" width="9.1640625" style="492"/>
  </cols>
  <sheetData>
    <row r="1" spans="1:22" x14ac:dyDescent="0.2">
      <c r="A1" s="503" t="s">
        <v>106</v>
      </c>
      <c r="B1" s="1096">
        <v>7.1</v>
      </c>
      <c r="H1" s="850" t="s">
        <v>2039</v>
      </c>
    </row>
    <row r="3" spans="1:22" ht="18" thickBot="1" x14ac:dyDescent="0.25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  <c r="M3" s="508" t="s">
        <v>727</v>
      </c>
      <c r="T3" s="757" t="s">
        <v>1358</v>
      </c>
    </row>
    <row r="4" spans="1:22" ht="16" x14ac:dyDescent="0.2">
      <c r="B4" s="589">
        <v>1</v>
      </c>
      <c r="C4" s="503">
        <v>1</v>
      </c>
      <c r="D4" s="987" t="str">
        <f>CONCATENATE("Versio ",B1)</f>
        <v>Versio 7.1</v>
      </c>
      <c r="E4" s="904" t="str">
        <f>CONCATENATE("Version ",B1)</f>
        <v>Version 7.1</v>
      </c>
      <c r="F4" s="509" t="str">
        <f>CONCATENATE("Version ",B1)</f>
        <v>Version 7.1</v>
      </c>
      <c r="G4" s="905" t="str">
        <f>CONCATENATE("Version ",B1)</f>
        <v>Version 7.1</v>
      </c>
      <c r="H4" s="906" t="str">
        <f>CONCATENATE("Wersja ",B1)</f>
        <v>Wersja 7.1</v>
      </c>
      <c r="I4" s="907" t="str">
        <f>CONCATENATE("Versioon ",B1)</f>
        <v>Versioon 7.1</v>
      </c>
      <c r="J4" s="908" t="str">
        <f>CONCATENATE("Versija ",B1)</f>
        <v>Versija 7.1</v>
      </c>
      <c r="K4" s="909" t="str">
        <f>CONCATENATE(B1," versija")</f>
        <v>7.1 versija</v>
      </c>
      <c r="M4" s="508"/>
    </row>
    <row r="5" spans="1:22" ht="16" x14ac:dyDescent="0.2">
      <c r="C5" s="503">
        <v>2</v>
      </c>
      <c r="D5" s="493" t="s">
        <v>301</v>
      </c>
      <c r="E5" s="494" t="s">
        <v>621</v>
      </c>
      <c r="F5" s="510" t="s">
        <v>731</v>
      </c>
      <c r="G5" s="495" t="s">
        <v>819</v>
      </c>
      <c r="H5" s="848" t="s">
        <v>2002</v>
      </c>
      <c r="I5" s="785" t="s">
        <v>1540</v>
      </c>
      <c r="J5" s="789" t="s">
        <v>1676</v>
      </c>
      <c r="K5" s="793" t="s">
        <v>1813</v>
      </c>
      <c r="M5" s="508" t="str" cm="1">
        <f t="array" ref="M5">INDEX(Kirjasto!D4:K130,18,Kirjasto!B4)</f>
        <v>Paine-ero [Pa]</v>
      </c>
      <c r="T5" s="757" t="s">
        <v>1359</v>
      </c>
      <c r="V5" s="492" t="b">
        <f>IF(B4=1,TRUE,FALSE)</f>
        <v>1</v>
      </c>
    </row>
    <row r="6" spans="1:22" ht="16" x14ac:dyDescent="0.2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1" t="s">
        <v>1439</v>
      </c>
      <c r="I6" s="785" t="s">
        <v>1541</v>
      </c>
      <c r="J6" s="789" t="s">
        <v>1677</v>
      </c>
      <c r="K6" s="793" t="s">
        <v>1814</v>
      </c>
      <c r="M6" s="508" t="str" cm="1">
        <f t="array" ref="M6">INDEX(Kirjasto!D4:K130,19,Kirjasto!B4)</f>
        <v>Ilman tilavuusvirta [dm³/s]</v>
      </c>
      <c r="T6" s="757" t="s">
        <v>1360</v>
      </c>
      <c r="V6" s="492" t="b">
        <f>IF(V5,FALSE,TRUE)</f>
        <v>0</v>
      </c>
    </row>
    <row r="7" spans="1:22" ht="16" x14ac:dyDescent="0.2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1" t="s">
        <v>1440</v>
      </c>
      <c r="I7" s="785" t="s">
        <v>1542</v>
      </c>
      <c r="J7" s="789" t="s">
        <v>1678</v>
      </c>
      <c r="K7" s="793" t="s">
        <v>1815</v>
      </c>
      <c r="M7" s="508" t="str" cm="1">
        <f t="array" ref="M7">INDEX(Kirjasto!D4:K135,132,Kirjasto!B4)</f>
        <v>Ilman tilavuusvirta [m³/h]</v>
      </c>
    </row>
    <row r="8" spans="1:22" ht="16" x14ac:dyDescent="0.2">
      <c r="C8" s="503">
        <v>5</v>
      </c>
      <c r="D8" s="493" t="s">
        <v>337</v>
      </c>
      <c r="E8" s="494" t="s">
        <v>723</v>
      </c>
      <c r="F8" s="510" t="s">
        <v>732</v>
      </c>
      <c r="G8" s="495" t="s">
        <v>821</v>
      </c>
      <c r="H8" s="781" t="s">
        <v>1441</v>
      </c>
      <c r="I8" s="785" t="s">
        <v>1543</v>
      </c>
      <c r="J8" s="789" t="s">
        <v>1679</v>
      </c>
      <c r="K8" s="793" t="s">
        <v>1816</v>
      </c>
      <c r="M8" s="508" t="str" cm="1">
        <f t="array" ref="M8">INDEX(Kirjasto!D4:K130,91,Kirjasto!B4)</f>
        <v>Tuloilman lämpötila LTO:n jälkeen</v>
      </c>
    </row>
    <row r="9" spans="1:22" ht="32" x14ac:dyDescent="0.2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1" t="s">
        <v>1442</v>
      </c>
      <c r="I9" s="785" t="s">
        <v>1544</v>
      </c>
      <c r="J9" s="789" t="s">
        <v>1680</v>
      </c>
      <c r="K9" s="793" t="s">
        <v>1817</v>
      </c>
      <c r="M9" s="492" t="str" cm="1">
        <f t="array" ref="M9">INDEX(Kirjasto!D4:K130,92,Kirjasto!B4)</f>
        <v>Tuloilman lämpötila [°C]</v>
      </c>
    </row>
    <row r="10" spans="1:22" ht="16" x14ac:dyDescent="0.2">
      <c r="C10" s="503">
        <v>7</v>
      </c>
      <c r="D10" s="493" t="s">
        <v>625</v>
      </c>
      <c r="E10" s="1016" t="s">
        <v>2149</v>
      </c>
      <c r="F10" s="510" t="s">
        <v>825</v>
      </c>
      <c r="G10" s="495" t="s">
        <v>826</v>
      </c>
      <c r="H10" s="848" t="s">
        <v>2003</v>
      </c>
      <c r="I10" s="785" t="s">
        <v>1545</v>
      </c>
      <c r="J10" s="789" t="s">
        <v>1681</v>
      </c>
      <c r="K10" s="793" t="s">
        <v>1818</v>
      </c>
      <c r="M10" s="492" t="str" cm="1">
        <f t="array" ref="M10">INDEX(Kirjasto!D4:K130,93,Kirjasto!B4)</f>
        <v>Ulkoilman lämpötila [°C]</v>
      </c>
    </row>
    <row r="11" spans="1:22" ht="16" x14ac:dyDescent="0.2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1" t="s">
        <v>1443</v>
      </c>
      <c r="I11" s="785" t="s">
        <v>1546</v>
      </c>
      <c r="J11" s="789" t="s">
        <v>1682</v>
      </c>
      <c r="K11" s="793" t="s">
        <v>1819</v>
      </c>
    </row>
    <row r="12" spans="1:22" ht="16" x14ac:dyDescent="0.2">
      <c r="C12" s="503">
        <v>9</v>
      </c>
      <c r="D12" s="754" t="s">
        <v>1337</v>
      </c>
      <c r="E12" s="755" t="s">
        <v>1344</v>
      </c>
      <c r="F12" s="510" t="s">
        <v>1345</v>
      </c>
      <c r="G12" s="756" t="s">
        <v>1349</v>
      </c>
      <c r="H12" s="781" t="s">
        <v>1444</v>
      </c>
      <c r="I12" s="785" t="s">
        <v>1547</v>
      </c>
      <c r="J12" s="789" t="s">
        <v>1683</v>
      </c>
      <c r="K12" s="793" t="s">
        <v>1820</v>
      </c>
      <c r="M12" s="508" t="str" cm="1">
        <f t="array" ref="M12">INDEX(Kirjasto!D4:K130,94,Kirjasto!B4)</f>
        <v>Jäteilman lämpötila</v>
      </c>
    </row>
    <row r="13" spans="1:22" ht="16" x14ac:dyDescent="0.2">
      <c r="C13" s="503">
        <v>10</v>
      </c>
      <c r="D13" s="839" t="s">
        <v>1337</v>
      </c>
      <c r="E13" s="840" t="s">
        <v>1344</v>
      </c>
      <c r="F13" s="510" t="s">
        <v>1345</v>
      </c>
      <c r="G13" s="841" t="s">
        <v>1349</v>
      </c>
      <c r="H13" s="781" t="s">
        <v>1444</v>
      </c>
      <c r="I13" s="785" t="s">
        <v>1547</v>
      </c>
      <c r="J13" s="789" t="s">
        <v>1683</v>
      </c>
      <c r="K13" s="793" t="s">
        <v>1820</v>
      </c>
      <c r="M13" s="492" t="str" cm="1">
        <f t="array" ref="M13">INDEX(Kirjasto!D4:K130,95,Kirjasto!B4)</f>
        <v>Jäteilman lämpötila [°C]</v>
      </c>
    </row>
    <row r="14" spans="1:22" ht="16" x14ac:dyDescent="0.2">
      <c r="C14" s="503">
        <v>11</v>
      </c>
      <c r="D14" s="754" t="s">
        <v>1335</v>
      </c>
      <c r="E14" s="755" t="s">
        <v>1343</v>
      </c>
      <c r="F14" s="510" t="s">
        <v>1347</v>
      </c>
      <c r="G14" s="756" t="s">
        <v>1351</v>
      </c>
      <c r="H14" s="781" t="s">
        <v>1446</v>
      </c>
      <c r="I14" s="785" t="s">
        <v>1549</v>
      </c>
      <c r="J14" s="789" t="s">
        <v>1685</v>
      </c>
      <c r="K14" s="793" t="s">
        <v>1822</v>
      </c>
      <c r="M14" s="492" t="str" cm="1">
        <f t="array" ref="M14">INDEX(Kirjasto!D4:K130,96,Kirjasto!B4)</f>
        <v>Ulkoilman lämpötila [°C]</v>
      </c>
    </row>
    <row r="15" spans="1:22" ht="16" x14ac:dyDescent="0.2">
      <c r="C15" s="503">
        <v>12</v>
      </c>
      <c r="D15" s="754" t="s">
        <v>1334</v>
      </c>
      <c r="E15" s="755" t="s">
        <v>1342</v>
      </c>
      <c r="F15" s="510" t="s">
        <v>1354</v>
      </c>
      <c r="G15" s="756" t="s">
        <v>1352</v>
      </c>
      <c r="H15" s="781" t="s">
        <v>1447</v>
      </c>
      <c r="I15" s="785" t="s">
        <v>1550</v>
      </c>
      <c r="J15" s="789" t="s">
        <v>1686</v>
      </c>
      <c r="K15" s="793" t="s">
        <v>1823</v>
      </c>
    </row>
    <row r="16" spans="1:22" ht="16" x14ac:dyDescent="0.2">
      <c r="C16" s="503">
        <v>13</v>
      </c>
      <c r="D16" s="754" t="s">
        <v>1338</v>
      </c>
      <c r="E16" s="755" t="s">
        <v>1341</v>
      </c>
      <c r="F16" s="510" t="s">
        <v>1348</v>
      </c>
      <c r="G16" s="756" t="s">
        <v>1353</v>
      </c>
      <c r="H16" s="781" t="s">
        <v>1448</v>
      </c>
      <c r="I16" s="785" t="s">
        <v>1551</v>
      </c>
      <c r="J16" s="789" t="s">
        <v>1687</v>
      </c>
      <c r="K16" s="793" t="s">
        <v>1824</v>
      </c>
      <c r="M16" s="492" t="str" cm="1">
        <f t="array" ref="M16">INDEX(Kirjasto!D4:K130,15,Kirjasto!B4)</f>
        <v>Ilman tiheys: 1,2 kg/m³</v>
      </c>
    </row>
    <row r="17" spans="3:13" ht="16" x14ac:dyDescent="0.2">
      <c r="C17" s="503">
        <v>14</v>
      </c>
      <c r="D17" s="754" t="s">
        <v>1336</v>
      </c>
      <c r="E17" s="755" t="s">
        <v>1340</v>
      </c>
      <c r="F17" s="510" t="s">
        <v>1346</v>
      </c>
      <c r="G17" s="756" t="s">
        <v>1350</v>
      </c>
      <c r="H17" s="781" t="s">
        <v>1445</v>
      </c>
      <c r="I17" s="785" t="s">
        <v>1548</v>
      </c>
      <c r="J17" s="789" t="s">
        <v>1684</v>
      </c>
      <c r="K17" s="793" t="s">
        <v>1821</v>
      </c>
      <c r="M17" s="492" t="str" cm="1">
        <f t="array" ref="M17">INDEX(Kirjasto!D4:K130,16,Kirjasto!B4)</f>
        <v>Tuloilma</v>
      </c>
    </row>
    <row r="18" spans="3:13" ht="16" x14ac:dyDescent="0.2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1" t="s">
        <v>1449</v>
      </c>
      <c r="I18" s="785" t="s">
        <v>1552</v>
      </c>
      <c r="J18" s="789" t="s">
        <v>1688</v>
      </c>
      <c r="K18" s="793" t="s">
        <v>1825</v>
      </c>
      <c r="M18" s="492" t="str" cm="1">
        <f t="array" ref="M18">INDEX(Kirjasto!D4:K130,17,Kirjasto!B4)</f>
        <v>Poistoilma</v>
      </c>
    </row>
    <row r="19" spans="3:13" ht="16" x14ac:dyDescent="0.2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848" t="s">
        <v>2004</v>
      </c>
      <c r="I19" s="785" t="s">
        <v>1553</v>
      </c>
      <c r="J19" s="789" t="s">
        <v>1689</v>
      </c>
      <c r="K19" s="793" t="s">
        <v>1826</v>
      </c>
    </row>
    <row r="20" spans="3:13" ht="16" x14ac:dyDescent="0.2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848" t="s">
        <v>2005</v>
      </c>
      <c r="I20" s="785" t="s">
        <v>1950</v>
      </c>
      <c r="J20" s="789" t="s">
        <v>1951</v>
      </c>
      <c r="K20" s="793" t="s">
        <v>1952</v>
      </c>
      <c r="M20" s="492" t="str" cm="1">
        <f t="array" ref="M20">INDEX(Kirjasto!D4:K130,6,Kirjasto!B4)</f>
        <v xml:space="preserve">Äänenvaimennuskotelo: 'dB-paketti' (Huom! Vaatii kaappirungon) </v>
      </c>
    </row>
    <row r="21" spans="3:13" ht="16" x14ac:dyDescent="0.2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1" t="s">
        <v>1450</v>
      </c>
      <c r="I21" s="785" t="s">
        <v>1555</v>
      </c>
      <c r="J21" s="789" t="s">
        <v>1691</v>
      </c>
      <c r="K21" s="793" t="s">
        <v>1828</v>
      </c>
      <c r="M21" s="492" t="str" cm="1">
        <f t="array" ref="M21">INDEX(Kirjasto!D4:K130,7,Kirjasto!B4)</f>
        <v>Vesikiertoinen lämmityspatteri</v>
      </c>
    </row>
    <row r="22" spans="3:13" ht="16" x14ac:dyDescent="0.2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1" t="s">
        <v>1451</v>
      </c>
      <c r="I22" s="785" t="s">
        <v>1556</v>
      </c>
      <c r="J22" s="789" t="s">
        <v>1692</v>
      </c>
      <c r="K22" s="793" t="s">
        <v>1829</v>
      </c>
    </row>
    <row r="23" spans="3:13" ht="16" x14ac:dyDescent="0.2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1" t="s">
        <v>1452</v>
      </c>
      <c r="I23" s="785" t="s">
        <v>1557</v>
      </c>
      <c r="J23" s="789" t="s">
        <v>1693</v>
      </c>
      <c r="K23" s="793" t="s">
        <v>1830</v>
      </c>
    </row>
    <row r="24" spans="3:13" ht="16" x14ac:dyDescent="0.2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1" t="s">
        <v>1453</v>
      </c>
      <c r="I24" s="785" t="s">
        <v>1558</v>
      </c>
      <c r="J24" s="789" t="s">
        <v>1694</v>
      </c>
      <c r="K24" s="793" t="s">
        <v>1831</v>
      </c>
    </row>
    <row r="25" spans="3:13" ht="16" x14ac:dyDescent="0.2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1" t="s">
        <v>1454</v>
      </c>
      <c r="I25" s="785" t="s">
        <v>1559</v>
      </c>
      <c r="J25" s="789" t="s">
        <v>1695</v>
      </c>
      <c r="K25" s="793" t="s">
        <v>1832</v>
      </c>
    </row>
    <row r="26" spans="3:13" ht="16" x14ac:dyDescent="0.2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1" t="s">
        <v>1455</v>
      </c>
      <c r="I26" s="785" t="s">
        <v>1560</v>
      </c>
      <c r="J26" s="789" t="s">
        <v>1696</v>
      </c>
      <c r="K26" s="793" t="s">
        <v>1833</v>
      </c>
    </row>
    <row r="27" spans="3:13" ht="16" x14ac:dyDescent="0.2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1" t="s">
        <v>1456</v>
      </c>
      <c r="I27" s="785" t="s">
        <v>1561</v>
      </c>
      <c r="J27" s="789" t="s">
        <v>1697</v>
      </c>
      <c r="K27" s="793" t="s">
        <v>1834</v>
      </c>
    </row>
    <row r="28" spans="3:13" ht="16" x14ac:dyDescent="0.2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848" t="s">
        <v>2010</v>
      </c>
      <c r="I28" s="785" t="s">
        <v>1562</v>
      </c>
      <c r="J28" s="789" t="s">
        <v>1698</v>
      </c>
      <c r="K28" s="793" t="s">
        <v>1835</v>
      </c>
    </row>
    <row r="29" spans="3:13" ht="16" x14ac:dyDescent="0.2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1" t="s">
        <v>1457</v>
      </c>
      <c r="I29" s="785" t="s">
        <v>1563</v>
      </c>
      <c r="J29" s="789" t="s">
        <v>1699</v>
      </c>
      <c r="K29" s="793" t="s">
        <v>1836</v>
      </c>
    </row>
    <row r="30" spans="3:13" ht="16" x14ac:dyDescent="0.2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848" t="s">
        <v>2011</v>
      </c>
      <c r="I30" s="785" t="s">
        <v>1564</v>
      </c>
      <c r="J30" s="789" t="s">
        <v>1700</v>
      </c>
      <c r="K30" s="793" t="s">
        <v>1837</v>
      </c>
    </row>
    <row r="31" spans="3:13" ht="16" x14ac:dyDescent="0.2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1" t="s">
        <v>1458</v>
      </c>
      <c r="I31" s="785" t="s">
        <v>1565</v>
      </c>
      <c r="J31" s="789" t="s">
        <v>1701</v>
      </c>
      <c r="K31" s="793" t="s">
        <v>1838</v>
      </c>
    </row>
    <row r="32" spans="3:13" ht="16" x14ac:dyDescent="0.2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1" t="s">
        <v>1459</v>
      </c>
      <c r="I32" s="785" t="s">
        <v>1566</v>
      </c>
      <c r="J32" s="789" t="s">
        <v>1702</v>
      </c>
      <c r="K32" s="793" t="s">
        <v>1839</v>
      </c>
    </row>
    <row r="33" spans="3:11" ht="16" x14ac:dyDescent="0.2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1" t="s">
        <v>76</v>
      </c>
      <c r="I33" s="785" t="s">
        <v>76</v>
      </c>
      <c r="J33" s="789" t="s">
        <v>76</v>
      </c>
      <c r="K33" s="793" t="s">
        <v>76</v>
      </c>
    </row>
    <row r="34" spans="3:11" ht="16" x14ac:dyDescent="0.2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1" t="s">
        <v>1460</v>
      </c>
      <c r="I34" s="785" t="s">
        <v>1567</v>
      </c>
      <c r="J34" s="789" t="s">
        <v>1703</v>
      </c>
      <c r="K34" s="793" t="s">
        <v>1840</v>
      </c>
    </row>
    <row r="35" spans="3:11" ht="16" x14ac:dyDescent="0.2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1" t="s">
        <v>1461</v>
      </c>
      <c r="I35" s="785" t="s">
        <v>1568</v>
      </c>
      <c r="J35" s="789" t="s">
        <v>1704</v>
      </c>
      <c r="K35" s="793" t="s">
        <v>1841</v>
      </c>
    </row>
    <row r="36" spans="3:11" ht="16" x14ac:dyDescent="0.2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848" t="s">
        <v>2014</v>
      </c>
      <c r="I36" s="785" t="s">
        <v>1553</v>
      </c>
      <c r="J36" s="789" t="s">
        <v>1689</v>
      </c>
      <c r="K36" s="793" t="s">
        <v>1826</v>
      </c>
    </row>
    <row r="37" spans="3:11" ht="16" x14ac:dyDescent="0.2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848" t="s">
        <v>2015</v>
      </c>
      <c r="I37" s="785" t="s">
        <v>1569</v>
      </c>
      <c r="J37" s="789" t="s">
        <v>1705</v>
      </c>
      <c r="K37" s="793" t="s">
        <v>1842</v>
      </c>
    </row>
    <row r="38" spans="3:11" ht="16" x14ac:dyDescent="0.2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848" t="s">
        <v>2016</v>
      </c>
      <c r="I38" s="785" t="s">
        <v>1554</v>
      </c>
      <c r="J38" s="789" t="s">
        <v>1690</v>
      </c>
      <c r="K38" s="793" t="s">
        <v>1827</v>
      </c>
    </row>
    <row r="39" spans="3:11" ht="16" x14ac:dyDescent="0.2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848" t="s">
        <v>2017</v>
      </c>
      <c r="I39" s="785" t="s">
        <v>1570</v>
      </c>
      <c r="J39" s="789" t="s">
        <v>1706</v>
      </c>
      <c r="K39" s="793" t="s">
        <v>1843</v>
      </c>
    </row>
    <row r="40" spans="3:11" ht="16" x14ac:dyDescent="0.2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848" t="s">
        <v>2018</v>
      </c>
      <c r="I40" s="785" t="s">
        <v>1571</v>
      </c>
      <c r="J40" s="789" t="s">
        <v>1707</v>
      </c>
      <c r="K40" s="793" t="s">
        <v>1844</v>
      </c>
    </row>
    <row r="41" spans="3:11" ht="18" x14ac:dyDescent="0.2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1" t="s">
        <v>1462</v>
      </c>
      <c r="I41" s="785" t="s">
        <v>1572</v>
      </c>
      <c r="J41" s="789" t="s">
        <v>1708</v>
      </c>
      <c r="K41" s="793" t="s">
        <v>1845</v>
      </c>
    </row>
    <row r="42" spans="3:11" ht="18" x14ac:dyDescent="0.2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1" t="s">
        <v>652</v>
      </c>
      <c r="I42" s="785" t="s">
        <v>652</v>
      </c>
      <c r="J42" s="789" t="s">
        <v>652</v>
      </c>
      <c r="K42" s="793" t="s">
        <v>652</v>
      </c>
    </row>
    <row r="43" spans="3:11" ht="18" x14ac:dyDescent="0.2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1" t="s">
        <v>653</v>
      </c>
      <c r="I43" s="785" t="s">
        <v>653</v>
      </c>
      <c r="J43" s="789" t="s">
        <v>653</v>
      </c>
      <c r="K43" s="793" t="s">
        <v>653</v>
      </c>
    </row>
    <row r="44" spans="3:11" ht="16" x14ac:dyDescent="0.2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848" t="s">
        <v>2019</v>
      </c>
      <c r="I44" s="785" t="s">
        <v>1573</v>
      </c>
      <c r="J44" s="789" t="s">
        <v>1709</v>
      </c>
      <c r="K44" s="793" t="s">
        <v>1846</v>
      </c>
    </row>
    <row r="45" spans="3:11" ht="16" x14ac:dyDescent="0.2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848" t="s">
        <v>2020</v>
      </c>
      <c r="I45" s="785" t="s">
        <v>1574</v>
      </c>
      <c r="J45" s="789" t="s">
        <v>1710</v>
      </c>
      <c r="K45" s="793" t="s">
        <v>1847</v>
      </c>
    </row>
    <row r="46" spans="3:11" ht="32" x14ac:dyDescent="0.2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1" t="s">
        <v>1463</v>
      </c>
      <c r="I46" s="785" t="s">
        <v>1575</v>
      </c>
      <c r="J46" s="789" t="s">
        <v>1711</v>
      </c>
      <c r="K46" s="793" t="s">
        <v>1848</v>
      </c>
    </row>
    <row r="47" spans="3:11" ht="32" x14ac:dyDescent="0.2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1" t="s">
        <v>1464</v>
      </c>
      <c r="I47" s="785" t="s">
        <v>1576</v>
      </c>
      <c r="J47" s="789" t="s">
        <v>1712</v>
      </c>
      <c r="K47" s="793" t="s">
        <v>1849</v>
      </c>
    </row>
    <row r="48" spans="3:11" ht="32" x14ac:dyDescent="0.2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1" t="s">
        <v>1465</v>
      </c>
      <c r="I48" s="785" t="s">
        <v>1577</v>
      </c>
      <c r="J48" s="789" t="s">
        <v>1713</v>
      </c>
      <c r="K48" s="793" t="s">
        <v>1850</v>
      </c>
    </row>
    <row r="49" spans="3:11" ht="32" x14ac:dyDescent="0.2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1" t="s">
        <v>1466</v>
      </c>
      <c r="I49" s="785" t="s">
        <v>1578</v>
      </c>
      <c r="J49" s="789" t="s">
        <v>1714</v>
      </c>
      <c r="K49" s="793" t="s">
        <v>1851</v>
      </c>
    </row>
    <row r="50" spans="3:11" ht="32" x14ac:dyDescent="0.2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1" t="s">
        <v>1467</v>
      </c>
      <c r="I50" s="785" t="s">
        <v>1579</v>
      </c>
      <c r="J50" s="789" t="s">
        <v>1715</v>
      </c>
      <c r="K50" s="793" t="s">
        <v>1852</v>
      </c>
    </row>
    <row r="51" spans="3:11" ht="16" x14ac:dyDescent="0.2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1" t="s">
        <v>1468</v>
      </c>
      <c r="I51" s="785" t="s">
        <v>1580</v>
      </c>
      <c r="J51" s="789" t="s">
        <v>1716</v>
      </c>
      <c r="K51" s="793" t="s">
        <v>1853</v>
      </c>
    </row>
    <row r="52" spans="3:11" ht="16" x14ac:dyDescent="0.2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1" t="s">
        <v>1469</v>
      </c>
      <c r="I52" s="785" t="s">
        <v>1581</v>
      </c>
      <c r="J52" s="789" t="s">
        <v>1717</v>
      </c>
      <c r="K52" s="793" t="s">
        <v>1854</v>
      </c>
    </row>
    <row r="53" spans="3:11" ht="16" x14ac:dyDescent="0.2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1" t="s">
        <v>1470</v>
      </c>
      <c r="I53" s="785" t="s">
        <v>1582</v>
      </c>
      <c r="J53" s="789" t="s">
        <v>1718</v>
      </c>
      <c r="K53" s="793" t="s">
        <v>1855</v>
      </c>
    </row>
    <row r="54" spans="3:11" ht="16" x14ac:dyDescent="0.2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1" t="s">
        <v>1471</v>
      </c>
      <c r="I54" s="785" t="s">
        <v>1583</v>
      </c>
      <c r="J54" s="789" t="s">
        <v>1719</v>
      </c>
      <c r="K54" s="793" t="s">
        <v>1856</v>
      </c>
    </row>
    <row r="55" spans="3:11" ht="16" x14ac:dyDescent="0.2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848" t="s">
        <v>2021</v>
      </c>
      <c r="I55" s="785" t="s">
        <v>1584</v>
      </c>
      <c r="J55" s="789" t="s">
        <v>1720</v>
      </c>
      <c r="K55" s="793" t="s">
        <v>1857</v>
      </c>
    </row>
    <row r="56" spans="3:11" ht="16" x14ac:dyDescent="0.2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1" t="s">
        <v>764</v>
      </c>
      <c r="I56" s="785" t="s">
        <v>1585</v>
      </c>
      <c r="J56" s="789" t="s">
        <v>1721</v>
      </c>
      <c r="K56" s="793" t="s">
        <v>1858</v>
      </c>
    </row>
    <row r="57" spans="3:11" ht="16" x14ac:dyDescent="0.2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1" t="s">
        <v>1472</v>
      </c>
      <c r="I57" s="785" t="s">
        <v>1586</v>
      </c>
      <c r="J57" s="789" t="s">
        <v>1722</v>
      </c>
      <c r="K57" s="793" t="s">
        <v>1859</v>
      </c>
    </row>
    <row r="58" spans="3:11" ht="96" x14ac:dyDescent="0.2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1" t="s">
        <v>1473</v>
      </c>
      <c r="I58" s="785" t="s">
        <v>1587</v>
      </c>
      <c r="J58" s="789" t="s">
        <v>1723</v>
      </c>
      <c r="K58" s="793" t="s">
        <v>1860</v>
      </c>
    </row>
    <row r="59" spans="3:11" ht="48" x14ac:dyDescent="0.2">
      <c r="C59" s="503">
        <v>56</v>
      </c>
      <c r="D59" s="493" t="s">
        <v>402</v>
      </c>
      <c r="E59" s="496" t="s">
        <v>864</v>
      </c>
      <c r="F59" s="511" t="s">
        <v>865</v>
      </c>
      <c r="G59" s="516" t="s">
        <v>866</v>
      </c>
      <c r="H59" s="781" t="s">
        <v>1474</v>
      </c>
      <c r="I59" s="785" t="s">
        <v>1588</v>
      </c>
      <c r="J59" s="789" t="s">
        <v>1724</v>
      </c>
      <c r="K59" s="793" t="s">
        <v>1861</v>
      </c>
    </row>
    <row r="60" spans="3:11" ht="16" x14ac:dyDescent="0.2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1" t="s">
        <v>1475</v>
      </c>
      <c r="I60" s="785" t="s">
        <v>1589</v>
      </c>
      <c r="J60" s="789" t="s">
        <v>1725</v>
      </c>
      <c r="K60" s="793" t="s">
        <v>1862</v>
      </c>
    </row>
    <row r="61" spans="3:11" ht="16" x14ac:dyDescent="0.2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1" t="s">
        <v>1476</v>
      </c>
      <c r="I61" s="785" t="s">
        <v>767</v>
      </c>
      <c r="J61" s="789" t="s">
        <v>1726</v>
      </c>
      <c r="K61" s="793" t="s">
        <v>1863</v>
      </c>
    </row>
    <row r="62" spans="3:11" x14ac:dyDescent="0.2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2" t="s">
        <v>1477</v>
      </c>
      <c r="I62" s="786" t="s">
        <v>1590</v>
      </c>
      <c r="J62" s="790" t="s">
        <v>1727</v>
      </c>
      <c r="K62" s="794" t="s">
        <v>1864</v>
      </c>
    </row>
    <row r="63" spans="3:11" x14ac:dyDescent="0.2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2" t="s">
        <v>1478</v>
      </c>
      <c r="I63" s="786" t="s">
        <v>1591</v>
      </c>
      <c r="J63" s="790" t="s">
        <v>1728</v>
      </c>
      <c r="K63" s="794" t="s">
        <v>1865</v>
      </c>
    </row>
    <row r="64" spans="3:11" x14ac:dyDescent="0.2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2" t="s">
        <v>1479</v>
      </c>
      <c r="I64" s="786" t="s">
        <v>1592</v>
      </c>
      <c r="J64" s="790" t="s">
        <v>1729</v>
      </c>
      <c r="K64" s="794" t="s">
        <v>1866</v>
      </c>
    </row>
    <row r="65" spans="3:11" x14ac:dyDescent="0.2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2" t="s">
        <v>1480</v>
      </c>
      <c r="I65" s="786" t="s">
        <v>1593</v>
      </c>
      <c r="J65" s="790" t="s">
        <v>1730</v>
      </c>
      <c r="K65" s="794" t="s">
        <v>1867</v>
      </c>
    </row>
    <row r="66" spans="3:11" x14ac:dyDescent="0.2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2" t="s">
        <v>1481</v>
      </c>
      <c r="I66" s="786" t="s">
        <v>1594</v>
      </c>
      <c r="J66" s="790" t="s">
        <v>1731</v>
      </c>
      <c r="K66" s="794" t="s">
        <v>1868</v>
      </c>
    </row>
    <row r="67" spans="3:11" x14ac:dyDescent="0.2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2" t="s">
        <v>1482</v>
      </c>
      <c r="I67" s="786" t="s">
        <v>1595</v>
      </c>
      <c r="J67" s="790" t="s">
        <v>1732</v>
      </c>
      <c r="K67" s="794" t="s">
        <v>1869</v>
      </c>
    </row>
    <row r="68" spans="3:11" x14ac:dyDescent="0.2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3" t="s">
        <v>1483</v>
      </c>
      <c r="I68" s="787" t="s">
        <v>1596</v>
      </c>
      <c r="J68" s="791" t="s">
        <v>1733</v>
      </c>
      <c r="K68" s="795" t="s">
        <v>1870</v>
      </c>
    </row>
    <row r="69" spans="3:11" x14ac:dyDescent="0.2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2" t="s">
        <v>1484</v>
      </c>
      <c r="I69" s="786" t="s">
        <v>1597</v>
      </c>
      <c r="J69" s="790" t="s">
        <v>1734</v>
      </c>
      <c r="K69" s="794" t="s">
        <v>1871</v>
      </c>
    </row>
    <row r="70" spans="3:11" x14ac:dyDescent="0.2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2" t="s">
        <v>1485</v>
      </c>
      <c r="I70" s="786" t="s">
        <v>1598</v>
      </c>
      <c r="J70" s="790" t="s">
        <v>1735</v>
      </c>
      <c r="K70" s="794" t="s">
        <v>1872</v>
      </c>
    </row>
    <row r="71" spans="3:11" x14ac:dyDescent="0.2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2" t="s">
        <v>1486</v>
      </c>
      <c r="I71" s="786" t="s">
        <v>1599</v>
      </c>
      <c r="J71" s="790" t="s">
        <v>1736</v>
      </c>
      <c r="K71" s="794" t="s">
        <v>1873</v>
      </c>
    </row>
    <row r="72" spans="3:11" x14ac:dyDescent="0.2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849" t="s">
        <v>2022</v>
      </c>
      <c r="I72" s="786" t="s">
        <v>1600</v>
      </c>
      <c r="J72" s="790" t="s">
        <v>1737</v>
      </c>
      <c r="K72" s="794" t="s">
        <v>1874</v>
      </c>
    </row>
    <row r="73" spans="3:11" x14ac:dyDescent="0.2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849" t="s">
        <v>2023</v>
      </c>
      <c r="I73" s="786" t="s">
        <v>1601</v>
      </c>
      <c r="J73" s="790" t="s">
        <v>1738</v>
      </c>
      <c r="K73" s="794" t="s">
        <v>1875</v>
      </c>
    </row>
    <row r="74" spans="3:11" x14ac:dyDescent="0.2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849" t="s">
        <v>2024</v>
      </c>
      <c r="I74" s="786" t="s">
        <v>1602</v>
      </c>
      <c r="J74" s="790" t="s">
        <v>1739</v>
      </c>
      <c r="K74" s="794" t="s">
        <v>1876</v>
      </c>
    </row>
    <row r="75" spans="3:11" ht="32" x14ac:dyDescent="0.2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1" t="s">
        <v>1487</v>
      </c>
      <c r="I75" s="785" t="s">
        <v>1603</v>
      </c>
      <c r="J75" s="789" t="s">
        <v>1740</v>
      </c>
      <c r="K75" s="793" t="s">
        <v>1877</v>
      </c>
    </row>
    <row r="76" spans="3:11" ht="32" x14ac:dyDescent="0.2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1" t="s">
        <v>1488</v>
      </c>
      <c r="I76" s="785" t="s">
        <v>1604</v>
      </c>
      <c r="J76" s="789" t="s">
        <v>1741</v>
      </c>
      <c r="K76" s="793" t="s">
        <v>1878</v>
      </c>
    </row>
    <row r="77" spans="3:11" ht="16" x14ac:dyDescent="0.2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4" t="s">
        <v>1489</v>
      </c>
      <c r="I77" s="788" t="s">
        <v>1605</v>
      </c>
      <c r="J77" s="792" t="s">
        <v>1742</v>
      </c>
      <c r="K77" s="796" t="s">
        <v>1879</v>
      </c>
    </row>
    <row r="78" spans="3:11" ht="16" x14ac:dyDescent="0.2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1" t="s">
        <v>1469</v>
      </c>
      <c r="I78" s="785" t="s">
        <v>1581</v>
      </c>
      <c r="J78" s="789" t="s">
        <v>1717</v>
      </c>
      <c r="K78" s="793" t="s">
        <v>1854</v>
      </c>
    </row>
    <row r="79" spans="3:11" ht="16" x14ac:dyDescent="0.2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848" t="s">
        <v>2031</v>
      </c>
      <c r="I79" s="785" t="s">
        <v>1606</v>
      </c>
      <c r="J79" s="789" t="s">
        <v>1743</v>
      </c>
      <c r="K79" s="793" t="s">
        <v>1880</v>
      </c>
    </row>
    <row r="80" spans="3:11" ht="16" x14ac:dyDescent="0.2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848" t="s">
        <v>2032</v>
      </c>
      <c r="I80" s="785" t="s">
        <v>1607</v>
      </c>
      <c r="J80" s="789" t="s">
        <v>1744</v>
      </c>
      <c r="K80" s="793" t="s">
        <v>1881</v>
      </c>
    </row>
    <row r="81" spans="3:11" ht="32" x14ac:dyDescent="0.2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848" t="s">
        <v>2033</v>
      </c>
      <c r="I81" s="785" t="s">
        <v>1608</v>
      </c>
      <c r="J81" s="789" t="s">
        <v>1745</v>
      </c>
      <c r="K81" s="793" t="s">
        <v>1882</v>
      </c>
    </row>
    <row r="82" spans="3:11" ht="32" x14ac:dyDescent="0.2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848" t="s">
        <v>2034</v>
      </c>
      <c r="I82" s="785" t="s">
        <v>1609</v>
      </c>
      <c r="J82" s="789" t="s">
        <v>1746</v>
      </c>
      <c r="K82" s="793" t="s">
        <v>1883</v>
      </c>
    </row>
    <row r="83" spans="3:11" ht="16" x14ac:dyDescent="0.2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1" t="s">
        <v>1490</v>
      </c>
      <c r="I83" s="785" t="s">
        <v>1610</v>
      </c>
      <c r="J83" s="789" t="s">
        <v>1747</v>
      </c>
      <c r="K83" s="793" t="s">
        <v>1884</v>
      </c>
    </row>
    <row r="84" spans="3:11" ht="32" x14ac:dyDescent="0.2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848" t="s">
        <v>2035</v>
      </c>
      <c r="I84" s="785" t="s">
        <v>1611</v>
      </c>
      <c r="J84" s="789" t="s">
        <v>1748</v>
      </c>
      <c r="K84" s="793" t="s">
        <v>1885</v>
      </c>
    </row>
    <row r="85" spans="3:11" ht="32" x14ac:dyDescent="0.2">
      <c r="C85" s="503">
        <v>82</v>
      </c>
      <c r="D85" s="749" t="s">
        <v>1295</v>
      </c>
      <c r="E85" s="750" t="s">
        <v>1296</v>
      </c>
      <c r="F85" s="510" t="s">
        <v>1297</v>
      </c>
      <c r="G85" s="751" t="s">
        <v>1298</v>
      </c>
      <c r="H85" s="781" t="s">
        <v>1491</v>
      </c>
      <c r="I85" s="785" t="s">
        <v>1612</v>
      </c>
      <c r="J85" s="789" t="s">
        <v>1749</v>
      </c>
      <c r="K85" s="793" t="s">
        <v>1886</v>
      </c>
    </row>
    <row r="86" spans="3:11" ht="16" x14ac:dyDescent="0.2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1" t="s">
        <v>1492</v>
      </c>
      <c r="I86" s="785" t="s">
        <v>1613</v>
      </c>
      <c r="J86" s="789" t="s">
        <v>1750</v>
      </c>
      <c r="K86" s="793" t="s">
        <v>1887</v>
      </c>
    </row>
    <row r="87" spans="3:11" ht="16" x14ac:dyDescent="0.2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1" t="s">
        <v>1493</v>
      </c>
      <c r="I87" s="785" t="s">
        <v>1614</v>
      </c>
      <c r="J87" s="789" t="s">
        <v>1751</v>
      </c>
      <c r="K87" s="793" t="s">
        <v>1888</v>
      </c>
    </row>
    <row r="88" spans="3:11" ht="16" x14ac:dyDescent="0.2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1" t="s">
        <v>1494</v>
      </c>
      <c r="I88" s="785" t="s">
        <v>1615</v>
      </c>
      <c r="J88" s="789" t="s">
        <v>1752</v>
      </c>
      <c r="K88" s="793" t="s">
        <v>1889</v>
      </c>
    </row>
    <row r="89" spans="3:11" ht="16" x14ac:dyDescent="0.2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848" t="s">
        <v>2038</v>
      </c>
      <c r="I89" s="785" t="s">
        <v>1616</v>
      </c>
      <c r="J89" s="789" t="s">
        <v>1753</v>
      </c>
      <c r="K89" s="793" t="s">
        <v>1890</v>
      </c>
    </row>
    <row r="90" spans="3:11" ht="16" x14ac:dyDescent="0.2">
      <c r="C90" s="503">
        <v>87</v>
      </c>
      <c r="D90" s="737" t="s">
        <v>1282</v>
      </c>
      <c r="E90" s="750" t="s">
        <v>1316</v>
      </c>
      <c r="F90" s="510" t="s">
        <v>1317</v>
      </c>
      <c r="G90" s="752" t="s">
        <v>1318</v>
      </c>
      <c r="H90" s="781" t="s">
        <v>1495</v>
      </c>
      <c r="I90" s="785" t="s">
        <v>1617</v>
      </c>
      <c r="J90" s="789" t="s">
        <v>1754</v>
      </c>
      <c r="K90" s="793" t="s">
        <v>1891</v>
      </c>
    </row>
    <row r="91" spans="3:11" ht="16" x14ac:dyDescent="0.2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1" t="s">
        <v>1496</v>
      </c>
      <c r="I91" s="785" t="s">
        <v>1618</v>
      </c>
      <c r="J91" s="789" t="s">
        <v>1755</v>
      </c>
      <c r="K91" s="793" t="s">
        <v>1892</v>
      </c>
    </row>
    <row r="92" spans="3:11" ht="16" x14ac:dyDescent="0.2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1" t="s">
        <v>1497</v>
      </c>
      <c r="I92" s="785" t="s">
        <v>1619</v>
      </c>
      <c r="J92" s="789" t="s">
        <v>1756</v>
      </c>
      <c r="K92" s="793" t="s">
        <v>1893</v>
      </c>
    </row>
    <row r="93" spans="3:11" ht="16" x14ac:dyDescent="0.2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1" t="s">
        <v>1498</v>
      </c>
      <c r="I93" s="785" t="s">
        <v>1620</v>
      </c>
      <c r="J93" s="789" t="s">
        <v>1757</v>
      </c>
      <c r="K93" s="793" t="s">
        <v>1894</v>
      </c>
    </row>
    <row r="94" spans="3:11" ht="16" x14ac:dyDescent="0.2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1" t="s">
        <v>1499</v>
      </c>
      <c r="I94" s="785" t="s">
        <v>1621</v>
      </c>
      <c r="J94" s="789" t="s">
        <v>1758</v>
      </c>
      <c r="K94" s="793" t="s">
        <v>1895</v>
      </c>
    </row>
    <row r="95" spans="3:11" ht="16" x14ac:dyDescent="0.2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1" t="s">
        <v>1500</v>
      </c>
      <c r="I95" s="785" t="s">
        <v>1622</v>
      </c>
      <c r="J95" s="789" t="s">
        <v>1759</v>
      </c>
      <c r="K95" s="793" t="s">
        <v>1896</v>
      </c>
    </row>
    <row r="96" spans="3:11" ht="16" x14ac:dyDescent="0.2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1" t="s">
        <v>1501</v>
      </c>
      <c r="I96" s="785" t="s">
        <v>1623</v>
      </c>
      <c r="J96" s="789" t="s">
        <v>1760</v>
      </c>
      <c r="K96" s="793" t="s">
        <v>1897</v>
      </c>
    </row>
    <row r="97" spans="3:11" ht="16" x14ac:dyDescent="0.2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1" t="s">
        <v>1502</v>
      </c>
      <c r="I97" s="785" t="s">
        <v>1624</v>
      </c>
      <c r="J97" s="789" t="s">
        <v>1761</v>
      </c>
      <c r="K97" s="793" t="s">
        <v>1898</v>
      </c>
    </row>
    <row r="98" spans="3:11" ht="16" x14ac:dyDescent="0.2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1" t="s">
        <v>1503</v>
      </c>
      <c r="I98" s="785" t="s">
        <v>1625</v>
      </c>
      <c r="J98" s="789" t="s">
        <v>1762</v>
      </c>
      <c r="K98" s="793" t="s">
        <v>1899</v>
      </c>
    </row>
    <row r="99" spans="3:11" ht="16" x14ac:dyDescent="0.2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1" t="s">
        <v>1501</v>
      </c>
      <c r="I99" s="785" t="s">
        <v>1623</v>
      </c>
      <c r="J99" s="789" t="s">
        <v>1760</v>
      </c>
      <c r="K99" s="793" t="s">
        <v>1897</v>
      </c>
    </row>
    <row r="100" spans="3:11" ht="16" x14ac:dyDescent="0.2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1" t="s">
        <v>1504</v>
      </c>
      <c r="I100" s="785" t="s">
        <v>1626</v>
      </c>
      <c r="J100" s="789" t="s">
        <v>1763</v>
      </c>
      <c r="K100" s="793" t="s">
        <v>1900</v>
      </c>
    </row>
    <row r="101" spans="3:11" ht="16" x14ac:dyDescent="0.2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1" t="s">
        <v>1502</v>
      </c>
      <c r="I101" s="785" t="s">
        <v>1624</v>
      </c>
      <c r="J101" s="789" t="s">
        <v>1761</v>
      </c>
      <c r="K101" s="793" t="s">
        <v>1898</v>
      </c>
    </row>
    <row r="102" spans="3:11" ht="16" x14ac:dyDescent="0.2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1" t="s">
        <v>1505</v>
      </c>
      <c r="I102" s="785" t="s">
        <v>1627</v>
      </c>
      <c r="J102" s="789" t="s">
        <v>1764</v>
      </c>
      <c r="K102" s="793" t="s">
        <v>1901</v>
      </c>
    </row>
    <row r="103" spans="3:11" ht="16" x14ac:dyDescent="0.2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1" t="s">
        <v>1506</v>
      </c>
      <c r="I103" s="785" t="s">
        <v>1628</v>
      </c>
      <c r="J103" s="789" t="s">
        <v>1765</v>
      </c>
      <c r="K103" s="793" t="s">
        <v>1902</v>
      </c>
    </row>
    <row r="104" spans="3:11" ht="27.75" customHeight="1" x14ac:dyDescent="0.2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1" t="s">
        <v>1507</v>
      </c>
      <c r="I104" s="785" t="s">
        <v>1629</v>
      </c>
      <c r="J104" s="789" t="s">
        <v>1766</v>
      </c>
      <c r="K104" s="793" t="s">
        <v>1903</v>
      </c>
    </row>
    <row r="105" spans="3:11" ht="30" customHeight="1" x14ac:dyDescent="0.2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1" t="s">
        <v>1508</v>
      </c>
      <c r="I105" s="785" t="s">
        <v>1630</v>
      </c>
      <c r="J105" s="789" t="s">
        <v>1767</v>
      </c>
      <c r="K105" s="793" t="s">
        <v>1904</v>
      </c>
    </row>
    <row r="106" spans="3:11" ht="32" x14ac:dyDescent="0.2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1" t="s">
        <v>1509</v>
      </c>
      <c r="I106" s="785" t="s">
        <v>1631</v>
      </c>
      <c r="J106" s="789" t="s">
        <v>1768</v>
      </c>
      <c r="K106" s="793" t="s">
        <v>1905</v>
      </c>
    </row>
    <row r="107" spans="3:11" ht="16" x14ac:dyDescent="0.2">
      <c r="C107" s="503">
        <v>104</v>
      </c>
      <c r="D107" s="493" t="s">
        <v>538</v>
      </c>
      <c r="E107" s="494" t="s">
        <v>919</v>
      </c>
      <c r="F107" s="510" t="s">
        <v>805</v>
      </c>
      <c r="G107" s="516" t="s">
        <v>920</v>
      </c>
      <c r="H107" s="848" t="s">
        <v>2025</v>
      </c>
      <c r="I107" s="785" t="s">
        <v>1632</v>
      </c>
      <c r="J107" s="789" t="s">
        <v>1769</v>
      </c>
      <c r="K107" s="793" t="s">
        <v>1906</v>
      </c>
    </row>
    <row r="108" spans="3:11" ht="16" x14ac:dyDescent="0.2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1" t="s">
        <v>1443</v>
      </c>
      <c r="I108" s="785" t="s">
        <v>1546</v>
      </c>
      <c r="J108" s="789" t="s">
        <v>1682</v>
      </c>
      <c r="K108" s="793" t="s">
        <v>1819</v>
      </c>
    </row>
    <row r="109" spans="3:11" ht="16" x14ac:dyDescent="0.2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1" t="s">
        <v>1510</v>
      </c>
      <c r="I109" s="785" t="s">
        <v>1633</v>
      </c>
      <c r="J109" s="789" t="s">
        <v>1770</v>
      </c>
      <c r="K109" s="793" t="s">
        <v>1907</v>
      </c>
    </row>
    <row r="110" spans="3:11" ht="16" x14ac:dyDescent="0.2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1" t="s">
        <v>1511</v>
      </c>
      <c r="I110" s="785" t="s">
        <v>1634</v>
      </c>
      <c r="J110" s="789" t="s">
        <v>1771</v>
      </c>
      <c r="K110" s="793" t="s">
        <v>1908</v>
      </c>
    </row>
    <row r="111" spans="3:11" ht="16" x14ac:dyDescent="0.2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848" t="s">
        <v>2026</v>
      </c>
      <c r="I111" s="785" t="s">
        <v>1635</v>
      </c>
      <c r="J111" s="789" t="s">
        <v>1772</v>
      </c>
      <c r="K111" s="793" t="s">
        <v>1909</v>
      </c>
    </row>
    <row r="112" spans="3:11" ht="16" x14ac:dyDescent="0.2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848" t="s">
        <v>2027</v>
      </c>
      <c r="I112" s="785" t="s">
        <v>1636</v>
      </c>
      <c r="J112" s="789" t="s">
        <v>1773</v>
      </c>
      <c r="K112" s="793" t="s">
        <v>1910</v>
      </c>
    </row>
    <row r="113" spans="3:11" ht="16" x14ac:dyDescent="0.2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1" t="s">
        <v>1512</v>
      </c>
      <c r="I113" s="785" t="s">
        <v>1637</v>
      </c>
      <c r="J113" s="789" t="s">
        <v>1774</v>
      </c>
      <c r="K113" s="793" t="s">
        <v>1911</v>
      </c>
    </row>
    <row r="114" spans="3:11" ht="16" x14ac:dyDescent="0.2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1" t="s">
        <v>1513</v>
      </c>
      <c r="I114" s="785" t="s">
        <v>1638</v>
      </c>
      <c r="J114" s="789" t="s">
        <v>1775</v>
      </c>
      <c r="K114" s="793" t="s">
        <v>1912</v>
      </c>
    </row>
    <row r="115" spans="3:11" ht="16" x14ac:dyDescent="0.2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1" t="s">
        <v>1514</v>
      </c>
      <c r="I115" s="785" t="s">
        <v>1639</v>
      </c>
      <c r="J115" s="789" t="s">
        <v>1776</v>
      </c>
      <c r="K115" s="793" t="s">
        <v>1913</v>
      </c>
    </row>
    <row r="116" spans="3:11" ht="16" x14ac:dyDescent="0.2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1" t="s">
        <v>1515</v>
      </c>
      <c r="I116" s="785" t="s">
        <v>1640</v>
      </c>
      <c r="J116" s="789" t="s">
        <v>1777</v>
      </c>
      <c r="K116" s="793" t="s">
        <v>1914</v>
      </c>
    </row>
    <row r="117" spans="3:11" ht="32" x14ac:dyDescent="0.2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1" t="s">
        <v>1516</v>
      </c>
      <c r="I117" s="785" t="s">
        <v>1641</v>
      </c>
      <c r="J117" s="789" t="s">
        <v>1778</v>
      </c>
      <c r="K117" s="793" t="s">
        <v>1915</v>
      </c>
    </row>
    <row r="118" spans="3:11" ht="16" x14ac:dyDescent="0.2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848" t="s">
        <v>2028</v>
      </c>
      <c r="I118" s="785" t="s">
        <v>1642</v>
      </c>
      <c r="J118" s="789" t="s">
        <v>1779</v>
      </c>
      <c r="K118" s="793" t="s">
        <v>1916</v>
      </c>
    </row>
    <row r="119" spans="3:11" ht="16" x14ac:dyDescent="0.2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848" t="s">
        <v>2029</v>
      </c>
      <c r="I119" s="785" t="s">
        <v>1643</v>
      </c>
      <c r="J119" s="789" t="s">
        <v>1780</v>
      </c>
      <c r="K119" s="793" t="s">
        <v>1917</v>
      </c>
    </row>
    <row r="120" spans="3:11" ht="16" x14ac:dyDescent="0.2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1" t="s">
        <v>1512</v>
      </c>
      <c r="I120" s="785" t="s">
        <v>1637</v>
      </c>
      <c r="J120" s="789" t="s">
        <v>1774</v>
      </c>
      <c r="K120" s="793" t="s">
        <v>1911</v>
      </c>
    </row>
    <row r="121" spans="3:11" ht="16" x14ac:dyDescent="0.2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1" t="s">
        <v>1513</v>
      </c>
      <c r="I121" s="785" t="s">
        <v>1638</v>
      </c>
      <c r="J121" s="789" t="s">
        <v>1775</v>
      </c>
      <c r="K121" s="793" t="s">
        <v>1912</v>
      </c>
    </row>
    <row r="122" spans="3:11" ht="16" x14ac:dyDescent="0.2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1" t="s">
        <v>1517</v>
      </c>
      <c r="I122" s="785" t="s">
        <v>1644</v>
      </c>
      <c r="J122" s="789" t="s">
        <v>1781</v>
      </c>
      <c r="K122" s="793" t="s">
        <v>1918</v>
      </c>
    </row>
    <row r="123" spans="3:11" ht="16" x14ac:dyDescent="0.2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848" t="s">
        <v>2030</v>
      </c>
      <c r="I123" s="785" t="s">
        <v>1645</v>
      </c>
      <c r="J123" s="789" t="s">
        <v>1782</v>
      </c>
      <c r="K123" s="793" t="s">
        <v>1919</v>
      </c>
    </row>
    <row r="124" spans="3:11" ht="16" x14ac:dyDescent="0.2">
      <c r="C124" s="503">
        <v>121</v>
      </c>
      <c r="D124" s="493" t="s">
        <v>556</v>
      </c>
      <c r="E124" s="494" t="s">
        <v>704</v>
      </c>
      <c r="F124" s="510" t="s">
        <v>948</v>
      </c>
      <c r="G124" s="495" t="s">
        <v>949</v>
      </c>
      <c r="H124" s="781" t="s">
        <v>1518</v>
      </c>
      <c r="I124" s="785" t="s">
        <v>1646</v>
      </c>
      <c r="J124" s="789" t="s">
        <v>1783</v>
      </c>
      <c r="K124" s="793" t="s">
        <v>1920</v>
      </c>
    </row>
    <row r="125" spans="3:11" ht="16" x14ac:dyDescent="0.2">
      <c r="C125" s="503">
        <v>122</v>
      </c>
      <c r="D125" s="493" t="s">
        <v>501</v>
      </c>
      <c r="E125" s="494" t="s">
        <v>950</v>
      </c>
      <c r="F125" s="510" t="s">
        <v>815</v>
      </c>
      <c r="G125" s="516" t="s">
        <v>951</v>
      </c>
      <c r="H125" s="781" t="s">
        <v>1519</v>
      </c>
      <c r="I125" s="785" t="s">
        <v>1647</v>
      </c>
      <c r="J125" s="789" t="s">
        <v>1784</v>
      </c>
      <c r="K125" s="793" t="s">
        <v>1921</v>
      </c>
    </row>
    <row r="126" spans="3:11" ht="16" x14ac:dyDescent="0.2">
      <c r="C126" s="503">
        <v>123</v>
      </c>
      <c r="D126" s="754" t="s">
        <v>1339</v>
      </c>
      <c r="E126" s="755" t="s">
        <v>1355</v>
      </c>
      <c r="F126" s="510" t="s">
        <v>1356</v>
      </c>
      <c r="G126" s="756" t="s">
        <v>1357</v>
      </c>
      <c r="H126" s="781" t="s">
        <v>1520</v>
      </c>
      <c r="I126" s="785" t="s">
        <v>1648</v>
      </c>
      <c r="J126" s="789" t="s">
        <v>1785</v>
      </c>
      <c r="K126" s="793" t="s">
        <v>1922</v>
      </c>
    </row>
    <row r="127" spans="3:11" ht="16" x14ac:dyDescent="0.2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1" t="s">
        <v>1521</v>
      </c>
      <c r="I127" s="785" t="s">
        <v>1649</v>
      </c>
      <c r="J127" s="789" t="s">
        <v>1786</v>
      </c>
      <c r="K127" s="793" t="s">
        <v>1923</v>
      </c>
    </row>
    <row r="128" spans="3:11" ht="16" x14ac:dyDescent="0.2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1" t="s">
        <v>1522</v>
      </c>
      <c r="I128" s="785" t="s">
        <v>1650</v>
      </c>
      <c r="J128" s="789" t="s">
        <v>1787</v>
      </c>
      <c r="K128" s="793" t="s">
        <v>1924</v>
      </c>
    </row>
    <row r="129" spans="3:11" ht="32" x14ac:dyDescent="0.2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1" t="s">
        <v>1523</v>
      </c>
      <c r="I129" s="785" t="s">
        <v>1651</v>
      </c>
      <c r="J129" s="789" t="s">
        <v>1788</v>
      </c>
      <c r="K129" s="793" t="s">
        <v>1925</v>
      </c>
    </row>
    <row r="130" spans="3:11" ht="16" x14ac:dyDescent="0.2">
      <c r="C130" s="503">
        <v>127</v>
      </c>
      <c r="D130" s="493" t="s">
        <v>725</v>
      </c>
      <c r="E130" s="494" t="s">
        <v>726</v>
      </c>
      <c r="F130" s="513" t="s">
        <v>816</v>
      </c>
      <c r="G130" s="495" t="s">
        <v>958</v>
      </c>
      <c r="H130" s="781" t="s">
        <v>1524</v>
      </c>
      <c r="I130" s="785" t="s">
        <v>1652</v>
      </c>
      <c r="J130" s="789" t="s">
        <v>1789</v>
      </c>
      <c r="K130" s="793" t="s">
        <v>1926</v>
      </c>
    </row>
    <row r="131" spans="3:11" ht="16" x14ac:dyDescent="0.2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1" t="s">
        <v>1525</v>
      </c>
      <c r="I131" s="785" t="s">
        <v>1653</v>
      </c>
      <c r="J131" s="789" t="s">
        <v>1790</v>
      </c>
      <c r="K131" s="793" t="s">
        <v>1927</v>
      </c>
    </row>
    <row r="132" spans="3:11" ht="32" x14ac:dyDescent="0.2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1" t="s">
        <v>1526</v>
      </c>
      <c r="I132" s="785" t="s">
        <v>1654</v>
      </c>
      <c r="J132" s="789" t="s">
        <v>1791</v>
      </c>
      <c r="K132" s="793" t="s">
        <v>1928</v>
      </c>
    </row>
    <row r="133" spans="3:11" ht="16" x14ac:dyDescent="0.2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1" t="s">
        <v>1527</v>
      </c>
      <c r="I133" s="785" t="s">
        <v>1655</v>
      </c>
      <c r="J133" s="789" t="s">
        <v>1792</v>
      </c>
      <c r="K133" s="793" t="s">
        <v>1929</v>
      </c>
    </row>
    <row r="134" spans="3:11" ht="16" x14ac:dyDescent="0.2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1" t="s">
        <v>1528</v>
      </c>
      <c r="I134" s="785" t="s">
        <v>1656</v>
      </c>
      <c r="J134" s="789" t="s">
        <v>1793</v>
      </c>
      <c r="K134" s="793" t="s">
        <v>1930</v>
      </c>
    </row>
    <row r="135" spans="3:11" ht="16" x14ac:dyDescent="0.2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1" t="s">
        <v>1529</v>
      </c>
      <c r="I135" s="785" t="s">
        <v>1657</v>
      </c>
      <c r="J135" s="789" t="s">
        <v>1794</v>
      </c>
      <c r="K135" s="793" t="s">
        <v>1931</v>
      </c>
    </row>
    <row r="136" spans="3:11" ht="16" x14ac:dyDescent="0.2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1" t="s">
        <v>1530</v>
      </c>
      <c r="I136" s="785" t="s">
        <v>1658</v>
      </c>
      <c r="J136" s="789" t="s">
        <v>1795</v>
      </c>
      <c r="K136" s="793" t="s">
        <v>1932</v>
      </c>
    </row>
    <row r="137" spans="3:11" ht="16" x14ac:dyDescent="0.2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848" t="s">
        <v>2006</v>
      </c>
      <c r="I137" s="785" t="s">
        <v>1659</v>
      </c>
      <c r="J137" s="789" t="s">
        <v>1796</v>
      </c>
      <c r="K137" s="793" t="s">
        <v>1933</v>
      </c>
    </row>
    <row r="138" spans="3:11" ht="32" x14ac:dyDescent="0.2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848" t="s">
        <v>2007</v>
      </c>
      <c r="I138" s="785" t="s">
        <v>1660</v>
      </c>
      <c r="J138" s="789" t="s">
        <v>1797</v>
      </c>
      <c r="K138" s="793" t="s">
        <v>1934</v>
      </c>
    </row>
    <row r="139" spans="3:11" ht="16" x14ac:dyDescent="0.2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848" t="s">
        <v>2008</v>
      </c>
      <c r="I139" s="785" t="s">
        <v>1661</v>
      </c>
      <c r="J139" s="789" t="s">
        <v>1798</v>
      </c>
      <c r="K139" s="793" t="s">
        <v>1935</v>
      </c>
    </row>
    <row r="140" spans="3:11" ht="16" x14ac:dyDescent="0.2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848" t="s">
        <v>2009</v>
      </c>
      <c r="I140" s="785" t="s">
        <v>1662</v>
      </c>
      <c r="J140" s="789" t="s">
        <v>1799</v>
      </c>
      <c r="K140" s="793" t="s">
        <v>1936</v>
      </c>
    </row>
    <row r="141" spans="3:11" ht="16" x14ac:dyDescent="0.2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848" t="s">
        <v>2013</v>
      </c>
      <c r="I141" s="785" t="s">
        <v>1663</v>
      </c>
      <c r="J141" s="789" t="s">
        <v>1800</v>
      </c>
      <c r="K141" s="793" t="s">
        <v>1937</v>
      </c>
    </row>
    <row r="142" spans="3:11" ht="16" x14ac:dyDescent="0.2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1" t="s">
        <v>1531</v>
      </c>
      <c r="I142" s="785" t="s">
        <v>1664</v>
      </c>
      <c r="J142" s="789" t="s">
        <v>1801</v>
      </c>
      <c r="K142" s="793" t="s">
        <v>1938</v>
      </c>
    </row>
    <row r="143" spans="3:11" ht="16" x14ac:dyDescent="0.2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1" t="s">
        <v>1488</v>
      </c>
      <c r="I143" s="785" t="s">
        <v>1604</v>
      </c>
      <c r="J143" s="789" t="s">
        <v>1741</v>
      </c>
      <c r="K143" s="793" t="s">
        <v>1878</v>
      </c>
    </row>
    <row r="144" spans="3:11" ht="96" x14ac:dyDescent="0.2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1" t="s">
        <v>1473</v>
      </c>
      <c r="I144" s="785" t="s">
        <v>1587</v>
      </c>
      <c r="J144" s="789" t="s">
        <v>1723</v>
      </c>
      <c r="K144" s="793" t="s">
        <v>1860</v>
      </c>
    </row>
    <row r="145" spans="3:11" ht="16" x14ac:dyDescent="0.2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848" t="s">
        <v>2037</v>
      </c>
      <c r="I145" s="785" t="s">
        <v>1665</v>
      </c>
      <c r="J145" s="789" t="s">
        <v>1802</v>
      </c>
      <c r="K145" s="793" t="s">
        <v>1939</v>
      </c>
    </row>
    <row r="146" spans="3:11" ht="32" x14ac:dyDescent="0.2">
      <c r="C146" s="503">
        <v>143</v>
      </c>
      <c r="D146" s="667" t="s">
        <v>1199</v>
      </c>
      <c r="E146" s="668" t="s">
        <v>1200</v>
      </c>
      <c r="F146" s="513" t="s">
        <v>1208</v>
      </c>
      <c r="G146" s="669" t="s">
        <v>1201</v>
      </c>
      <c r="H146" s="848" t="s">
        <v>2012</v>
      </c>
      <c r="I146" s="785" t="s">
        <v>1666</v>
      </c>
      <c r="J146" s="789" t="s">
        <v>1803</v>
      </c>
      <c r="K146" s="793" t="s">
        <v>1940</v>
      </c>
    </row>
    <row r="147" spans="3:11" ht="16" x14ac:dyDescent="0.2">
      <c r="C147" s="503">
        <v>144</v>
      </c>
      <c r="D147" s="749" t="s">
        <v>1306</v>
      </c>
      <c r="E147" s="750" t="s">
        <v>1303</v>
      </c>
      <c r="F147" s="513" t="s">
        <v>1304</v>
      </c>
      <c r="G147" s="751" t="s">
        <v>1305</v>
      </c>
      <c r="H147" s="848" t="s">
        <v>2036</v>
      </c>
      <c r="I147" s="785" t="s">
        <v>1667</v>
      </c>
      <c r="J147" s="789" t="s">
        <v>1804</v>
      </c>
      <c r="K147" s="793" t="s">
        <v>1941</v>
      </c>
    </row>
    <row r="148" spans="3:11" ht="16" x14ac:dyDescent="0.2">
      <c r="C148" s="503">
        <v>145</v>
      </c>
      <c r="D148" s="749" t="s">
        <v>1299</v>
      </c>
      <c r="E148" s="750" t="s">
        <v>1300</v>
      </c>
      <c r="F148" s="513" t="s">
        <v>1301</v>
      </c>
      <c r="G148" s="751" t="s">
        <v>1302</v>
      </c>
      <c r="H148" s="781" t="s">
        <v>1532</v>
      </c>
      <c r="I148" s="785" t="s">
        <v>1668</v>
      </c>
      <c r="J148" s="789" t="s">
        <v>1805</v>
      </c>
      <c r="K148" s="793" t="s">
        <v>1942</v>
      </c>
    </row>
    <row r="149" spans="3:11" ht="16" x14ac:dyDescent="0.2">
      <c r="C149" s="503">
        <v>146</v>
      </c>
      <c r="D149" s="749" t="s">
        <v>1278</v>
      </c>
      <c r="E149" s="750" t="s">
        <v>1308</v>
      </c>
      <c r="F149" s="513" t="s">
        <v>1309</v>
      </c>
      <c r="G149" s="751" t="s">
        <v>1310</v>
      </c>
      <c r="H149" s="781" t="s">
        <v>1533</v>
      </c>
      <c r="I149" s="785" t="s">
        <v>1669</v>
      </c>
      <c r="J149" s="789" t="s">
        <v>1806</v>
      </c>
      <c r="K149" s="793" t="s">
        <v>1943</v>
      </c>
    </row>
    <row r="150" spans="3:11" ht="16" x14ac:dyDescent="0.2">
      <c r="C150" s="503">
        <v>147</v>
      </c>
      <c r="D150" s="749" t="s">
        <v>1283</v>
      </c>
      <c r="E150" s="750" t="s">
        <v>1307</v>
      </c>
      <c r="F150" s="513" t="s">
        <v>1311</v>
      </c>
      <c r="G150" s="751" t="s">
        <v>1315</v>
      </c>
      <c r="H150" s="781" t="s">
        <v>1534</v>
      </c>
      <c r="I150" s="785" t="s">
        <v>1670</v>
      </c>
      <c r="J150" s="789" t="s">
        <v>1807</v>
      </c>
      <c r="K150" s="793" t="s">
        <v>1944</v>
      </c>
    </row>
    <row r="151" spans="3:11" ht="16" x14ac:dyDescent="0.2">
      <c r="C151" s="503">
        <v>148</v>
      </c>
      <c r="D151" s="749" t="s">
        <v>1279</v>
      </c>
      <c r="E151" s="750" t="s">
        <v>1312</v>
      </c>
      <c r="F151" s="513" t="s">
        <v>1313</v>
      </c>
      <c r="G151" s="751" t="s">
        <v>1314</v>
      </c>
      <c r="H151" s="781" t="s">
        <v>1535</v>
      </c>
      <c r="I151" s="785" t="s">
        <v>1671</v>
      </c>
      <c r="J151" s="789" t="s">
        <v>1808</v>
      </c>
      <c r="K151" s="793" t="s">
        <v>1945</v>
      </c>
    </row>
    <row r="152" spans="3:11" ht="16" x14ac:dyDescent="0.2">
      <c r="C152" s="503">
        <v>149</v>
      </c>
      <c r="D152" s="749" t="s">
        <v>1271</v>
      </c>
      <c r="E152" s="750" t="s">
        <v>1319</v>
      </c>
      <c r="F152" s="513" t="s">
        <v>1320</v>
      </c>
      <c r="G152" s="751" t="s">
        <v>1321</v>
      </c>
      <c r="H152" s="781" t="s">
        <v>1536</v>
      </c>
      <c r="I152" s="785" t="s">
        <v>1672</v>
      </c>
      <c r="J152" s="789" t="s">
        <v>1809</v>
      </c>
      <c r="K152" s="793" t="s">
        <v>1946</v>
      </c>
    </row>
    <row r="153" spans="3:11" ht="16" x14ac:dyDescent="0.2">
      <c r="C153" s="503">
        <v>150</v>
      </c>
      <c r="D153" s="749" t="s">
        <v>1287</v>
      </c>
      <c r="E153" s="750" t="s">
        <v>1322</v>
      </c>
      <c r="F153" s="513" t="s">
        <v>1323</v>
      </c>
      <c r="G153" s="751" t="s">
        <v>1324</v>
      </c>
      <c r="H153" s="781" t="s">
        <v>1537</v>
      </c>
      <c r="I153" s="785" t="s">
        <v>1673</v>
      </c>
      <c r="J153" s="789" t="s">
        <v>1810</v>
      </c>
      <c r="K153" s="793" t="s">
        <v>1947</v>
      </c>
    </row>
    <row r="154" spans="3:11" ht="16" x14ac:dyDescent="0.2">
      <c r="C154" s="503">
        <v>151</v>
      </c>
      <c r="D154" s="749" t="s">
        <v>1325</v>
      </c>
      <c r="E154" s="750" t="s">
        <v>1326</v>
      </c>
      <c r="F154" s="513" t="s">
        <v>1327</v>
      </c>
      <c r="G154" s="751" t="s">
        <v>1328</v>
      </c>
      <c r="H154" s="781" t="s">
        <v>1538</v>
      </c>
      <c r="I154" s="785" t="s">
        <v>1674</v>
      </c>
      <c r="J154" s="789" t="s">
        <v>1811</v>
      </c>
      <c r="K154" s="793" t="s">
        <v>1948</v>
      </c>
    </row>
    <row r="155" spans="3:11" ht="16" x14ac:dyDescent="0.2">
      <c r="C155" s="503">
        <v>152</v>
      </c>
      <c r="D155" s="749" t="s">
        <v>1273</v>
      </c>
      <c r="E155" s="750" t="s">
        <v>1329</v>
      </c>
      <c r="F155" s="513" t="s">
        <v>1330</v>
      </c>
      <c r="G155" s="751" t="s">
        <v>1331</v>
      </c>
      <c r="H155" s="781" t="s">
        <v>1539</v>
      </c>
      <c r="I155" s="785" t="s">
        <v>1675</v>
      </c>
      <c r="J155" s="789" t="s">
        <v>1812</v>
      </c>
      <c r="K155" s="793" t="s">
        <v>1949</v>
      </c>
    </row>
    <row r="156" spans="3:11" ht="16" x14ac:dyDescent="0.2">
      <c r="C156" s="503">
        <v>153</v>
      </c>
      <c r="D156" s="1374" t="s">
        <v>224</v>
      </c>
      <c r="E156" s="1378" t="s">
        <v>2648</v>
      </c>
      <c r="F156" s="510" t="s">
        <v>2649</v>
      </c>
      <c r="G156" s="1383" t="s">
        <v>2649</v>
      </c>
      <c r="H156" s="1384" t="s">
        <v>2649</v>
      </c>
      <c r="I156" s="1385" t="s">
        <v>2649</v>
      </c>
      <c r="J156" s="1386" t="s">
        <v>2649</v>
      </c>
      <c r="K156" s="1387" t="s">
        <v>2649</v>
      </c>
    </row>
    <row r="157" spans="3:11" x14ac:dyDescent="0.2">
      <c r="C157" s="503">
        <v>154</v>
      </c>
      <c r="D157" s="754"/>
      <c r="E157" s="755"/>
      <c r="F157" s="510"/>
      <c r="G157" s="756"/>
      <c r="H157" s="762"/>
      <c r="I157" s="764"/>
      <c r="J157" s="766"/>
      <c r="K157" s="768"/>
    </row>
    <row r="158" spans="3:11" x14ac:dyDescent="0.2">
      <c r="C158" s="503">
        <v>155</v>
      </c>
      <c r="D158" s="754"/>
      <c r="E158" s="755"/>
      <c r="F158" s="510"/>
      <c r="G158" s="756"/>
      <c r="H158" s="762"/>
      <c r="I158" s="764"/>
      <c r="J158" s="766"/>
      <c r="K158" s="768"/>
    </row>
    <row r="159" spans="3:11" x14ac:dyDescent="0.2">
      <c r="C159" s="503">
        <v>156</v>
      </c>
      <c r="D159" s="754"/>
      <c r="E159" s="755"/>
      <c r="F159" s="510"/>
      <c r="G159" s="756"/>
      <c r="H159" s="762"/>
      <c r="I159" s="764"/>
      <c r="J159" s="766"/>
      <c r="K159" s="768"/>
    </row>
    <row r="160" spans="3:11" x14ac:dyDescent="0.2">
      <c r="C160" s="503">
        <v>157</v>
      </c>
      <c r="D160" s="754"/>
      <c r="E160" s="755"/>
      <c r="F160" s="510"/>
      <c r="G160" s="756"/>
      <c r="H160" s="762"/>
      <c r="I160" s="764"/>
      <c r="J160" s="766"/>
      <c r="K160" s="768"/>
    </row>
    <row r="161" spans="3:11" x14ac:dyDescent="0.2">
      <c r="C161" s="503">
        <v>158</v>
      </c>
      <c r="D161" s="754"/>
      <c r="E161" s="755"/>
      <c r="F161" s="510"/>
      <c r="G161" s="756"/>
      <c r="H161" s="762"/>
      <c r="I161" s="764"/>
      <c r="J161" s="766"/>
      <c r="K161" s="768"/>
    </row>
    <row r="162" spans="3:11" x14ac:dyDescent="0.2">
      <c r="C162" s="503">
        <v>159</v>
      </c>
      <c r="D162" s="754"/>
      <c r="E162" s="755"/>
      <c r="F162" s="510"/>
      <c r="G162" s="756"/>
      <c r="H162" s="762"/>
      <c r="I162" s="764"/>
      <c r="J162" s="766"/>
      <c r="K162" s="768"/>
    </row>
    <row r="163" spans="3:11" x14ac:dyDescent="0.2">
      <c r="C163" s="503">
        <v>160</v>
      </c>
      <c r="D163" s="754"/>
      <c r="E163" s="755"/>
      <c r="F163" s="510"/>
      <c r="G163" s="756"/>
      <c r="H163" s="762"/>
      <c r="I163" s="764"/>
      <c r="J163" s="766"/>
      <c r="K163" s="768"/>
    </row>
    <row r="164" spans="3:11" x14ac:dyDescent="0.2">
      <c r="C164" s="503">
        <v>161</v>
      </c>
      <c r="D164" s="754"/>
      <c r="E164" s="755"/>
      <c r="F164" s="510"/>
      <c r="G164" s="756"/>
      <c r="H164" s="762"/>
      <c r="I164" s="764"/>
      <c r="J164" s="766"/>
      <c r="K164" s="768"/>
    </row>
    <row r="165" spans="3:11" x14ac:dyDescent="0.2">
      <c r="C165" s="503">
        <v>162</v>
      </c>
      <c r="D165" s="754"/>
      <c r="E165" s="755"/>
      <c r="F165" s="510"/>
      <c r="G165" s="756"/>
      <c r="H165" s="762"/>
      <c r="I165" s="764"/>
      <c r="J165" s="766"/>
      <c r="K165" s="768"/>
    </row>
    <row r="166" spans="3:11" x14ac:dyDescent="0.2">
      <c r="C166" s="503">
        <v>163</v>
      </c>
      <c r="D166" s="754"/>
      <c r="E166" s="755"/>
      <c r="F166" s="510"/>
      <c r="G166" s="756"/>
      <c r="H166" s="762"/>
      <c r="I166" s="764"/>
      <c r="J166" s="766"/>
      <c r="K166" s="768"/>
    </row>
    <row r="167" spans="3:11" x14ac:dyDescent="0.2">
      <c r="C167" s="503">
        <v>164</v>
      </c>
      <c r="D167" s="754"/>
      <c r="E167" s="755"/>
      <c r="F167" s="510"/>
      <c r="G167" s="756"/>
      <c r="H167" s="762"/>
      <c r="I167" s="764"/>
      <c r="J167" s="766"/>
      <c r="K167" s="768"/>
    </row>
    <row r="168" spans="3:11" x14ac:dyDescent="0.2">
      <c r="C168" s="503">
        <v>165</v>
      </c>
      <c r="D168" s="754"/>
      <c r="E168" s="755"/>
      <c r="F168" s="510"/>
      <c r="G168" s="756"/>
      <c r="H168" s="762"/>
      <c r="I168" s="764"/>
      <c r="J168" s="766"/>
      <c r="K168" s="768"/>
    </row>
    <row r="169" spans="3:11" x14ac:dyDescent="0.2">
      <c r="C169" s="503">
        <v>166</v>
      </c>
      <c r="D169" s="754"/>
      <c r="E169" s="755"/>
      <c r="F169" s="510"/>
      <c r="G169" s="756"/>
      <c r="H169" s="762"/>
      <c r="I169" s="764"/>
      <c r="J169" s="766"/>
      <c r="K169" s="768"/>
    </row>
    <row r="170" spans="3:11" x14ac:dyDescent="0.2">
      <c r="C170" s="503">
        <v>167</v>
      </c>
      <c r="D170" s="754"/>
      <c r="E170" s="755"/>
      <c r="F170" s="510"/>
      <c r="G170" s="756"/>
      <c r="H170" s="762"/>
      <c r="I170" s="764"/>
      <c r="J170" s="766"/>
      <c r="K170" s="768"/>
    </row>
    <row r="171" spans="3:11" x14ac:dyDescent="0.2">
      <c r="C171" s="503">
        <v>168</v>
      </c>
      <c r="D171" s="754"/>
      <c r="E171" s="755"/>
      <c r="F171" s="510"/>
      <c r="G171" s="756"/>
      <c r="H171" s="762"/>
      <c r="I171" s="764"/>
      <c r="J171" s="766"/>
      <c r="K171" s="768"/>
    </row>
    <row r="172" spans="3:11" x14ac:dyDescent="0.2">
      <c r="C172" s="503">
        <v>169</v>
      </c>
      <c r="D172" s="754"/>
      <c r="E172" s="755"/>
      <c r="F172" s="510"/>
      <c r="G172" s="756"/>
      <c r="H172" s="762"/>
      <c r="I172" s="764"/>
      <c r="J172" s="766"/>
      <c r="K172" s="768"/>
    </row>
    <row r="173" spans="3:11" x14ac:dyDescent="0.2">
      <c r="C173" s="503">
        <v>170</v>
      </c>
      <c r="D173" s="754"/>
      <c r="E173" s="755"/>
      <c r="F173" s="510"/>
      <c r="G173" s="756"/>
      <c r="H173" s="762"/>
      <c r="I173" s="764"/>
      <c r="J173" s="766"/>
      <c r="K173" s="768"/>
    </row>
    <row r="174" spans="3:11" x14ac:dyDescent="0.2">
      <c r="C174" s="503">
        <v>171</v>
      </c>
      <c r="D174" s="754"/>
      <c r="E174" s="755"/>
      <c r="F174" s="510"/>
      <c r="G174" s="756"/>
      <c r="H174" s="762"/>
      <c r="I174" s="764"/>
      <c r="J174" s="766"/>
      <c r="K174" s="768"/>
    </row>
    <row r="175" spans="3:11" x14ac:dyDescent="0.2">
      <c r="C175" s="503">
        <v>172</v>
      </c>
      <c r="D175" s="754"/>
      <c r="E175" s="755"/>
      <c r="F175" s="510"/>
      <c r="G175" s="756"/>
      <c r="H175" s="762"/>
      <c r="I175" s="764"/>
      <c r="J175" s="766"/>
      <c r="K175" s="768"/>
    </row>
    <row r="176" spans="3:11" x14ac:dyDescent="0.2">
      <c r="C176" s="503">
        <v>173</v>
      </c>
      <c r="D176" s="754"/>
      <c r="E176" s="755"/>
      <c r="F176" s="510"/>
      <c r="G176" s="756"/>
      <c r="H176" s="762"/>
      <c r="I176" s="764"/>
      <c r="J176" s="766"/>
      <c r="K176" s="768"/>
    </row>
    <row r="177" spans="3:11" x14ac:dyDescent="0.2">
      <c r="C177" s="503">
        <v>174</v>
      </c>
      <c r="D177" s="754"/>
      <c r="E177" s="755"/>
      <c r="F177" s="510"/>
      <c r="G177" s="756"/>
      <c r="H177" s="762"/>
      <c r="I177" s="764"/>
      <c r="J177" s="766"/>
      <c r="K177" s="768"/>
    </row>
    <row r="178" spans="3:11" x14ac:dyDescent="0.2">
      <c r="C178" s="503">
        <v>175</v>
      </c>
      <c r="D178" s="754"/>
      <c r="E178" s="755"/>
      <c r="F178" s="510"/>
      <c r="G178" s="756"/>
      <c r="H178" s="762"/>
      <c r="I178" s="764"/>
      <c r="J178" s="766"/>
      <c r="K178" s="768"/>
    </row>
    <row r="179" spans="3:11" x14ac:dyDescent="0.2">
      <c r="C179" s="503">
        <v>176</v>
      </c>
      <c r="D179" s="754"/>
      <c r="E179" s="755"/>
      <c r="F179" s="510"/>
      <c r="G179" s="756"/>
      <c r="H179" s="762"/>
      <c r="I179" s="764"/>
      <c r="J179" s="766"/>
      <c r="K179" s="768"/>
    </row>
  </sheetData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C781-A665-499B-9988-C9D00386C793}">
  <dimension ref="A1:V225"/>
  <sheetViews>
    <sheetView showGridLines="0" zoomScale="70" zoomScaleNormal="70" workbookViewId="0">
      <selection activeCell="B126" sqref="B126"/>
    </sheetView>
  </sheetViews>
  <sheetFormatPr baseColWidth="10" defaultColWidth="9.1640625" defaultRowHeight="15" x14ac:dyDescent="0.2"/>
  <cols>
    <col min="1" max="3" width="9.1640625" style="492"/>
    <col min="4" max="4" width="66.1640625" style="502" customWidth="1"/>
    <col min="5" max="11" width="61.5" style="492" customWidth="1"/>
    <col min="12" max="12" width="9.1640625" style="492"/>
    <col min="13" max="13" width="10.6640625" style="492" bestFit="1" customWidth="1"/>
    <col min="14" max="16384" width="9.1640625" style="492"/>
  </cols>
  <sheetData>
    <row r="1" spans="1:22" x14ac:dyDescent="0.2">
      <c r="A1" s="503" t="s">
        <v>106</v>
      </c>
      <c r="B1" s="1096">
        <v>7.1</v>
      </c>
      <c r="H1" s="850" t="s">
        <v>2039</v>
      </c>
    </row>
    <row r="3" spans="1:22" ht="18" thickBot="1" x14ac:dyDescent="0.25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  <c r="M3" s="508" t="s">
        <v>727</v>
      </c>
      <c r="T3" s="757" t="s">
        <v>1358</v>
      </c>
    </row>
    <row r="4" spans="1:22" ht="16" x14ac:dyDescent="0.2">
      <c r="B4" s="589">
        <v>1</v>
      </c>
      <c r="C4" s="503">
        <v>1</v>
      </c>
      <c r="D4" s="987" t="str">
        <f>CONCATENATE("Versio ",B1)</f>
        <v>Versio 7.1</v>
      </c>
      <c r="E4" s="904" t="str">
        <f>CONCATENATE("Version ",B1)</f>
        <v>Version 7.1</v>
      </c>
      <c r="F4" s="509" t="str">
        <f>CONCATENATE("Version ",B1)</f>
        <v>Version 7.1</v>
      </c>
      <c r="G4" s="905" t="str">
        <f>CONCATENATE("Version ",B1)</f>
        <v>Version 7.1</v>
      </c>
      <c r="H4" s="906" t="str">
        <f>CONCATENATE("Wersja ",B1)</f>
        <v>Wersja 7.1</v>
      </c>
      <c r="I4" s="907" t="str">
        <f>CONCATENATE("Versioon ",B1)</f>
        <v>Versioon 7.1</v>
      </c>
      <c r="J4" s="908" t="str">
        <f>CONCATENATE("Versija ",B1)</f>
        <v>Versija 7.1</v>
      </c>
      <c r="K4" s="909" t="str">
        <f>CONCATENATE(B1," versija")</f>
        <v>7.1 versija</v>
      </c>
      <c r="M4" s="508"/>
    </row>
    <row r="5" spans="1:22" ht="16" x14ac:dyDescent="0.2">
      <c r="C5" s="503">
        <v>2</v>
      </c>
      <c r="D5" s="971" t="s">
        <v>2097</v>
      </c>
      <c r="E5" s="972" t="s">
        <v>2098</v>
      </c>
      <c r="F5" s="510" t="s">
        <v>731</v>
      </c>
      <c r="G5" s="495" t="s">
        <v>819</v>
      </c>
      <c r="H5" s="848" t="s">
        <v>2002</v>
      </c>
      <c r="I5" s="785" t="s">
        <v>1540</v>
      </c>
      <c r="J5" s="789" t="s">
        <v>1676</v>
      </c>
      <c r="K5" s="793" t="s">
        <v>1813</v>
      </c>
      <c r="M5" s="508" t="str" cm="1">
        <f t="array" ref="M5">INDEX(KirjastoC!D4:K130,18,KirjastoC!B4)</f>
        <v>Paine-ero [Pa]</v>
      </c>
      <c r="T5" s="757" t="s">
        <v>1359</v>
      </c>
      <c r="V5" s="492" t="b">
        <f>IF(B4=1,TRUE,FALSE)</f>
        <v>1</v>
      </c>
    </row>
    <row r="6" spans="1:22" ht="16" x14ac:dyDescent="0.2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1" t="s">
        <v>1439</v>
      </c>
      <c r="I6" s="785" t="s">
        <v>1541</v>
      </c>
      <c r="J6" s="789" t="s">
        <v>1677</v>
      </c>
      <c r="K6" s="793" t="s">
        <v>1814</v>
      </c>
      <c r="M6" s="508" t="str" cm="1">
        <f t="array" ref="M6">INDEX(KirjastoC!D4:K130,19,KirjastoC!B4)</f>
        <v>Ilman tilavuusvirta [dm³/s]</v>
      </c>
      <c r="T6" s="757" t="s">
        <v>1360</v>
      </c>
      <c r="V6" s="492" t="b">
        <f>IF(V5,FALSE,TRUE)</f>
        <v>0</v>
      </c>
    </row>
    <row r="7" spans="1:22" ht="16" x14ac:dyDescent="0.2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1" t="s">
        <v>1440</v>
      </c>
      <c r="I7" s="785" t="s">
        <v>1542</v>
      </c>
      <c r="J7" s="789" t="s">
        <v>1678</v>
      </c>
      <c r="K7" s="793" t="s">
        <v>1815</v>
      </c>
      <c r="M7" s="508" t="str" cm="1">
        <f t="array" ref="M7">INDEX(KirjastoC!D4:K135,132,KirjastoC!B4)</f>
        <v>Ilman tilavuusvirta [m³/h]</v>
      </c>
    </row>
    <row r="8" spans="1:22" ht="32" x14ac:dyDescent="0.2">
      <c r="C8" s="503">
        <v>5</v>
      </c>
      <c r="D8" s="978" t="s">
        <v>2099</v>
      </c>
      <c r="E8" s="1083" t="s">
        <v>2202</v>
      </c>
      <c r="F8" s="510" t="s">
        <v>2203</v>
      </c>
      <c r="G8" s="1084" t="s">
        <v>2204</v>
      </c>
      <c r="H8" s="1085" t="s">
        <v>2205</v>
      </c>
      <c r="I8" s="1086" t="s">
        <v>2206</v>
      </c>
      <c r="J8" s="1087" t="s">
        <v>2208</v>
      </c>
      <c r="K8" s="1088" t="s">
        <v>2207</v>
      </c>
      <c r="M8" s="508" t="str" cm="1">
        <f t="array" ref="M8">INDEX(KirjastoC!D4:K130,91,KirjastoC!B4)</f>
        <v>Tuloilman lämpötila LTO:n jälkeen</v>
      </c>
    </row>
    <row r="9" spans="1:22" ht="32" x14ac:dyDescent="0.2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1" t="s">
        <v>1442</v>
      </c>
      <c r="I9" s="785" t="s">
        <v>1544</v>
      </c>
      <c r="J9" s="789" t="s">
        <v>1680</v>
      </c>
      <c r="K9" s="793" t="s">
        <v>1817</v>
      </c>
      <c r="M9" s="492" t="str" cm="1">
        <f t="array" ref="M9">INDEX(KirjastoC!D4:K130,92,KirjastoC!B4)</f>
        <v>Tuloilman lämpötila [°C]</v>
      </c>
    </row>
    <row r="10" spans="1:22" ht="16" x14ac:dyDescent="0.2">
      <c r="C10" s="503">
        <v>7</v>
      </c>
      <c r="D10" s="493" t="s">
        <v>625</v>
      </c>
      <c r="E10" s="494" t="s">
        <v>824</v>
      </c>
      <c r="F10" s="510" t="s">
        <v>825</v>
      </c>
      <c r="G10" s="495" t="s">
        <v>826</v>
      </c>
      <c r="H10" s="848" t="s">
        <v>2003</v>
      </c>
      <c r="I10" s="785" t="s">
        <v>1545</v>
      </c>
      <c r="J10" s="789" t="s">
        <v>1681</v>
      </c>
      <c r="K10" s="793" t="s">
        <v>1818</v>
      </c>
      <c r="M10" s="492" t="str" cm="1">
        <f t="array" ref="M10">INDEX(KirjastoC!D4:K130,93,KirjastoC!B4)</f>
        <v>Ulkoilman lämpötila [°C]</v>
      </c>
    </row>
    <row r="11" spans="1:22" ht="16" x14ac:dyDescent="0.2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1" t="s">
        <v>1443</v>
      </c>
      <c r="I11" s="785" t="s">
        <v>1546</v>
      </c>
      <c r="J11" s="789" t="s">
        <v>1682</v>
      </c>
      <c r="K11" s="793" t="s">
        <v>1819</v>
      </c>
    </row>
    <row r="12" spans="1:22" ht="16" x14ac:dyDescent="0.2">
      <c r="C12" s="503">
        <v>9</v>
      </c>
      <c r="D12" s="754" t="s">
        <v>1337</v>
      </c>
      <c r="E12" s="755" t="s">
        <v>1344</v>
      </c>
      <c r="F12" s="510" t="s">
        <v>1345</v>
      </c>
      <c r="G12" s="756" t="s">
        <v>1349</v>
      </c>
      <c r="H12" s="781" t="s">
        <v>1444</v>
      </c>
      <c r="I12" s="785" t="s">
        <v>1547</v>
      </c>
      <c r="J12" s="789" t="s">
        <v>1683</v>
      </c>
      <c r="K12" s="793" t="s">
        <v>1820</v>
      </c>
      <c r="M12" s="508" t="str" cm="1">
        <f t="array" ref="M12">INDEX(KirjastoC!D4:K130,94,KirjastoC!B4)</f>
        <v>Jäteilman lämpötila</v>
      </c>
    </row>
    <row r="13" spans="1:22" ht="16" x14ac:dyDescent="0.2">
      <c r="C13" s="503">
        <v>10</v>
      </c>
      <c r="D13" s="839" t="s">
        <v>1337</v>
      </c>
      <c r="E13" s="840" t="s">
        <v>1344</v>
      </c>
      <c r="F13" s="510" t="s">
        <v>1345</v>
      </c>
      <c r="G13" s="841" t="s">
        <v>1349</v>
      </c>
      <c r="H13" s="781" t="s">
        <v>1444</v>
      </c>
      <c r="I13" s="785" t="s">
        <v>1547</v>
      </c>
      <c r="J13" s="789" t="s">
        <v>1683</v>
      </c>
      <c r="K13" s="793" t="s">
        <v>1820</v>
      </c>
      <c r="M13" s="492" t="str" cm="1">
        <f t="array" ref="M13">INDEX(KirjastoC!D4:K130,95,KirjastoC!B4)</f>
        <v>Jäteilman lämpötila [°C]</v>
      </c>
    </row>
    <row r="14" spans="1:22" ht="16" x14ac:dyDescent="0.2">
      <c r="C14" s="503">
        <v>11</v>
      </c>
      <c r="D14" s="754" t="s">
        <v>1335</v>
      </c>
      <c r="E14" s="755" t="s">
        <v>1343</v>
      </c>
      <c r="F14" s="510" t="s">
        <v>1347</v>
      </c>
      <c r="G14" s="756" t="s">
        <v>1351</v>
      </c>
      <c r="H14" s="781" t="s">
        <v>1446</v>
      </c>
      <c r="I14" s="785" t="s">
        <v>1549</v>
      </c>
      <c r="J14" s="789" t="s">
        <v>1685</v>
      </c>
      <c r="K14" s="793" t="s">
        <v>1822</v>
      </c>
      <c r="M14" s="492" t="str" cm="1">
        <f t="array" ref="M14">INDEX(KirjastoC!D4:K130,96,KirjastoC!B4)</f>
        <v>Ulkoilman lämpötila [°C]</v>
      </c>
    </row>
    <row r="15" spans="1:22" ht="16" x14ac:dyDescent="0.2">
      <c r="C15" s="503">
        <v>12</v>
      </c>
      <c r="D15" s="754" t="s">
        <v>1334</v>
      </c>
      <c r="E15" s="755" t="s">
        <v>1342</v>
      </c>
      <c r="F15" s="510" t="s">
        <v>1354</v>
      </c>
      <c r="G15" s="756" t="s">
        <v>1352</v>
      </c>
      <c r="H15" s="781" t="s">
        <v>1447</v>
      </c>
      <c r="I15" s="785" t="s">
        <v>1550</v>
      </c>
      <c r="J15" s="789" t="s">
        <v>1686</v>
      </c>
      <c r="K15" s="793" t="s">
        <v>1823</v>
      </c>
    </row>
    <row r="16" spans="1:22" ht="16" x14ac:dyDescent="0.2">
      <c r="C16" s="503">
        <v>13</v>
      </c>
      <c r="D16" s="754" t="s">
        <v>1338</v>
      </c>
      <c r="E16" s="755" t="s">
        <v>1341</v>
      </c>
      <c r="F16" s="510" t="s">
        <v>1348</v>
      </c>
      <c r="G16" s="756" t="s">
        <v>1353</v>
      </c>
      <c r="H16" s="781" t="s">
        <v>1448</v>
      </c>
      <c r="I16" s="785" t="s">
        <v>1551</v>
      </c>
      <c r="J16" s="789" t="s">
        <v>1687</v>
      </c>
      <c r="K16" s="793" t="s">
        <v>1824</v>
      </c>
      <c r="M16" s="492" t="str" cm="1">
        <f t="array" ref="M16">INDEX(KirjastoC!D4:K130,15,KirjastoC!B4)</f>
        <v>Ilman tiheys: 1,2 kg/m³</v>
      </c>
    </row>
    <row r="17" spans="3:13" ht="16" x14ac:dyDescent="0.2">
      <c r="C17" s="503">
        <v>14</v>
      </c>
      <c r="D17" s="754" t="s">
        <v>1336</v>
      </c>
      <c r="E17" s="755" t="s">
        <v>1340</v>
      </c>
      <c r="F17" s="510" t="s">
        <v>1346</v>
      </c>
      <c r="G17" s="756" t="s">
        <v>1350</v>
      </c>
      <c r="H17" s="781" t="s">
        <v>1445</v>
      </c>
      <c r="I17" s="785" t="s">
        <v>1548</v>
      </c>
      <c r="J17" s="789" t="s">
        <v>1684</v>
      </c>
      <c r="K17" s="793" t="s">
        <v>1821</v>
      </c>
      <c r="M17" s="492" t="str" cm="1">
        <f t="array" ref="M17">INDEX(KirjastoC!D4:K130,16,KirjastoC!B4)</f>
        <v>Tuloilma</v>
      </c>
    </row>
    <row r="18" spans="3:13" ht="16" x14ac:dyDescent="0.2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1" t="s">
        <v>1449</v>
      </c>
      <c r="I18" s="785" t="s">
        <v>1552</v>
      </c>
      <c r="J18" s="789" t="s">
        <v>1688</v>
      </c>
      <c r="K18" s="793" t="s">
        <v>1825</v>
      </c>
      <c r="M18" s="492" t="str" cm="1">
        <f t="array" ref="M18">INDEX(KirjastoC!D4:K130,17,KirjastoC!B4)</f>
        <v>Poistoilma</v>
      </c>
    </row>
    <row r="19" spans="3:13" ht="16" x14ac:dyDescent="0.2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848" t="s">
        <v>2004</v>
      </c>
      <c r="I19" s="785" t="s">
        <v>1553</v>
      </c>
      <c r="J19" s="789" t="s">
        <v>1689</v>
      </c>
      <c r="K19" s="793" t="s">
        <v>1826</v>
      </c>
    </row>
    <row r="20" spans="3:13" ht="16" x14ac:dyDescent="0.2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848" t="s">
        <v>2005</v>
      </c>
      <c r="I20" s="785" t="s">
        <v>1950</v>
      </c>
      <c r="J20" s="789" t="s">
        <v>1951</v>
      </c>
      <c r="K20" s="793" t="s">
        <v>1952</v>
      </c>
      <c r="M20" s="492" t="str" cm="1">
        <f t="array" ref="M20">INDEX(KirjastoC!D4:K130,6,KirjastoC!B4)</f>
        <v xml:space="preserve">Äänenvaimennuskotelo: 'dB-paketti' (Huom! Vaatii kaappirungon) </v>
      </c>
    </row>
    <row r="21" spans="3:13" ht="16" x14ac:dyDescent="0.2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1" t="s">
        <v>1450</v>
      </c>
      <c r="I21" s="785" t="s">
        <v>1555</v>
      </c>
      <c r="J21" s="789" t="s">
        <v>1691</v>
      </c>
      <c r="K21" s="793" t="s">
        <v>1828</v>
      </c>
      <c r="M21" s="492" t="str" cm="1">
        <f t="array" ref="M21">INDEX(KirjastoC!D4:K130,7,KirjastoC!B4)</f>
        <v>Vesikiertoinen lämmityspatteri</v>
      </c>
    </row>
    <row r="22" spans="3:13" ht="16" x14ac:dyDescent="0.2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1" t="s">
        <v>1451</v>
      </c>
      <c r="I22" s="785" t="s">
        <v>1556</v>
      </c>
      <c r="J22" s="789" t="s">
        <v>1692</v>
      </c>
      <c r="K22" s="793" t="s">
        <v>1829</v>
      </c>
    </row>
    <row r="23" spans="3:13" ht="16" x14ac:dyDescent="0.2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1" t="s">
        <v>1452</v>
      </c>
      <c r="I23" s="785" t="s">
        <v>1557</v>
      </c>
      <c r="J23" s="789" t="s">
        <v>1693</v>
      </c>
      <c r="K23" s="793" t="s">
        <v>1830</v>
      </c>
    </row>
    <row r="24" spans="3:13" ht="16" x14ac:dyDescent="0.2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1" t="s">
        <v>1453</v>
      </c>
      <c r="I24" s="785" t="s">
        <v>1558</v>
      </c>
      <c r="J24" s="789" t="s">
        <v>1694</v>
      </c>
      <c r="K24" s="793" t="s">
        <v>1831</v>
      </c>
    </row>
    <row r="25" spans="3:13" ht="16" x14ac:dyDescent="0.2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1" t="s">
        <v>1454</v>
      </c>
      <c r="I25" s="785" t="s">
        <v>1559</v>
      </c>
      <c r="J25" s="789" t="s">
        <v>1695</v>
      </c>
      <c r="K25" s="793" t="s">
        <v>1832</v>
      </c>
    </row>
    <row r="26" spans="3:13" ht="16" x14ac:dyDescent="0.2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1" t="s">
        <v>1455</v>
      </c>
      <c r="I26" s="785" t="s">
        <v>1560</v>
      </c>
      <c r="J26" s="789" t="s">
        <v>1696</v>
      </c>
      <c r="K26" s="793" t="s">
        <v>1833</v>
      </c>
    </row>
    <row r="27" spans="3:13" ht="16" x14ac:dyDescent="0.2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1" t="s">
        <v>1456</v>
      </c>
      <c r="I27" s="785" t="s">
        <v>1561</v>
      </c>
      <c r="J27" s="789" t="s">
        <v>1697</v>
      </c>
      <c r="K27" s="793" t="s">
        <v>1834</v>
      </c>
    </row>
    <row r="28" spans="3:13" ht="16" x14ac:dyDescent="0.2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848" t="s">
        <v>2010</v>
      </c>
      <c r="I28" s="785" t="s">
        <v>1562</v>
      </c>
      <c r="J28" s="789" t="s">
        <v>1698</v>
      </c>
      <c r="K28" s="793" t="s">
        <v>1835</v>
      </c>
    </row>
    <row r="29" spans="3:13" ht="16" x14ac:dyDescent="0.2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1" t="s">
        <v>1457</v>
      </c>
      <c r="I29" s="785" t="s">
        <v>1563</v>
      </c>
      <c r="J29" s="789" t="s">
        <v>1699</v>
      </c>
      <c r="K29" s="793" t="s">
        <v>1836</v>
      </c>
    </row>
    <row r="30" spans="3:13" ht="16" x14ac:dyDescent="0.2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848" t="s">
        <v>2011</v>
      </c>
      <c r="I30" s="785" t="s">
        <v>1564</v>
      </c>
      <c r="J30" s="789" t="s">
        <v>1700</v>
      </c>
      <c r="K30" s="793" t="s">
        <v>1837</v>
      </c>
    </row>
    <row r="31" spans="3:13" ht="16" x14ac:dyDescent="0.2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1" t="s">
        <v>1458</v>
      </c>
      <c r="I31" s="785" t="s">
        <v>1565</v>
      </c>
      <c r="J31" s="789" t="s">
        <v>1701</v>
      </c>
      <c r="K31" s="793" t="s">
        <v>1838</v>
      </c>
    </row>
    <row r="32" spans="3:13" ht="16" x14ac:dyDescent="0.2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1" t="s">
        <v>1459</v>
      </c>
      <c r="I32" s="785" t="s">
        <v>1566</v>
      </c>
      <c r="J32" s="789" t="s">
        <v>1702</v>
      </c>
      <c r="K32" s="793" t="s">
        <v>1839</v>
      </c>
    </row>
    <row r="33" spans="3:11" ht="16" x14ac:dyDescent="0.2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1" t="s">
        <v>76</v>
      </c>
      <c r="I33" s="785" t="s">
        <v>76</v>
      </c>
      <c r="J33" s="789" t="s">
        <v>76</v>
      </c>
      <c r="K33" s="793" t="s">
        <v>76</v>
      </c>
    </row>
    <row r="34" spans="3:11" ht="16" x14ac:dyDescent="0.2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1" t="s">
        <v>1460</v>
      </c>
      <c r="I34" s="785" t="s">
        <v>1567</v>
      </c>
      <c r="J34" s="789" t="s">
        <v>1703</v>
      </c>
      <c r="K34" s="793" t="s">
        <v>1840</v>
      </c>
    </row>
    <row r="35" spans="3:11" ht="16" x14ac:dyDescent="0.2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1" t="s">
        <v>1461</v>
      </c>
      <c r="I35" s="785" t="s">
        <v>1568</v>
      </c>
      <c r="J35" s="789" t="s">
        <v>1704</v>
      </c>
      <c r="K35" s="793" t="s">
        <v>1841</v>
      </c>
    </row>
    <row r="36" spans="3:11" ht="16" x14ac:dyDescent="0.2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848" t="s">
        <v>2014</v>
      </c>
      <c r="I36" s="785" t="s">
        <v>1553</v>
      </c>
      <c r="J36" s="789" t="s">
        <v>1689</v>
      </c>
      <c r="K36" s="793" t="s">
        <v>1826</v>
      </c>
    </row>
    <row r="37" spans="3:11" ht="16" x14ac:dyDescent="0.2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848" t="s">
        <v>2015</v>
      </c>
      <c r="I37" s="785" t="s">
        <v>1569</v>
      </c>
      <c r="J37" s="789" t="s">
        <v>1705</v>
      </c>
      <c r="K37" s="793" t="s">
        <v>1842</v>
      </c>
    </row>
    <row r="38" spans="3:11" ht="16" x14ac:dyDescent="0.2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848" t="s">
        <v>2016</v>
      </c>
      <c r="I38" s="785" t="s">
        <v>1554</v>
      </c>
      <c r="J38" s="789" t="s">
        <v>1690</v>
      </c>
      <c r="K38" s="793" t="s">
        <v>1827</v>
      </c>
    </row>
    <row r="39" spans="3:11" ht="16" x14ac:dyDescent="0.2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848" t="s">
        <v>2017</v>
      </c>
      <c r="I39" s="785" t="s">
        <v>1570</v>
      </c>
      <c r="J39" s="789" t="s">
        <v>1706</v>
      </c>
      <c r="K39" s="793" t="s">
        <v>1843</v>
      </c>
    </row>
    <row r="40" spans="3:11" ht="16" x14ac:dyDescent="0.2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848" t="s">
        <v>2018</v>
      </c>
      <c r="I40" s="785" t="s">
        <v>1571</v>
      </c>
      <c r="J40" s="789" t="s">
        <v>1707</v>
      </c>
      <c r="K40" s="793" t="s">
        <v>1844</v>
      </c>
    </row>
    <row r="41" spans="3:11" ht="18" x14ac:dyDescent="0.2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1" t="s">
        <v>1462</v>
      </c>
      <c r="I41" s="785" t="s">
        <v>1572</v>
      </c>
      <c r="J41" s="789" t="s">
        <v>1708</v>
      </c>
      <c r="K41" s="793" t="s">
        <v>1845</v>
      </c>
    </row>
    <row r="42" spans="3:11" ht="18" x14ac:dyDescent="0.2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1" t="s">
        <v>652</v>
      </c>
      <c r="I42" s="785" t="s">
        <v>652</v>
      </c>
      <c r="J42" s="789" t="s">
        <v>652</v>
      </c>
      <c r="K42" s="793" t="s">
        <v>652</v>
      </c>
    </row>
    <row r="43" spans="3:11" ht="18" x14ac:dyDescent="0.2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1" t="s">
        <v>653</v>
      </c>
      <c r="I43" s="785" t="s">
        <v>653</v>
      </c>
      <c r="J43" s="789" t="s">
        <v>653</v>
      </c>
      <c r="K43" s="793" t="s">
        <v>653</v>
      </c>
    </row>
    <row r="44" spans="3:11" ht="16" x14ac:dyDescent="0.2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848" t="s">
        <v>2019</v>
      </c>
      <c r="I44" s="785" t="s">
        <v>1573</v>
      </c>
      <c r="J44" s="789" t="s">
        <v>1709</v>
      </c>
      <c r="K44" s="793" t="s">
        <v>1846</v>
      </c>
    </row>
    <row r="45" spans="3:11" ht="16" x14ac:dyDescent="0.2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848" t="s">
        <v>2020</v>
      </c>
      <c r="I45" s="785" t="s">
        <v>1574</v>
      </c>
      <c r="J45" s="789" t="s">
        <v>1710</v>
      </c>
      <c r="K45" s="793" t="s">
        <v>1847</v>
      </c>
    </row>
    <row r="46" spans="3:11" ht="32" x14ac:dyDescent="0.2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1" t="s">
        <v>1463</v>
      </c>
      <c r="I46" s="785" t="s">
        <v>1575</v>
      </c>
      <c r="J46" s="789" t="s">
        <v>1711</v>
      </c>
      <c r="K46" s="793" t="s">
        <v>1848</v>
      </c>
    </row>
    <row r="47" spans="3:11" ht="32" x14ac:dyDescent="0.2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1" t="s">
        <v>1464</v>
      </c>
      <c r="I47" s="785" t="s">
        <v>1576</v>
      </c>
      <c r="J47" s="789" t="s">
        <v>1712</v>
      </c>
      <c r="K47" s="793" t="s">
        <v>1849</v>
      </c>
    </row>
    <row r="48" spans="3:11" ht="32" x14ac:dyDescent="0.2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1" t="s">
        <v>1465</v>
      </c>
      <c r="I48" s="785" t="s">
        <v>1577</v>
      </c>
      <c r="J48" s="789" t="s">
        <v>1713</v>
      </c>
      <c r="K48" s="793" t="s">
        <v>1850</v>
      </c>
    </row>
    <row r="49" spans="3:11" ht="32" x14ac:dyDescent="0.2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1" t="s">
        <v>1466</v>
      </c>
      <c r="I49" s="785" t="s">
        <v>1578</v>
      </c>
      <c r="J49" s="789" t="s">
        <v>1714</v>
      </c>
      <c r="K49" s="793" t="s">
        <v>1851</v>
      </c>
    </row>
    <row r="50" spans="3:11" ht="32" x14ac:dyDescent="0.2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1" t="s">
        <v>1467</v>
      </c>
      <c r="I50" s="785" t="s">
        <v>1579</v>
      </c>
      <c r="J50" s="789" t="s">
        <v>1715</v>
      </c>
      <c r="K50" s="793" t="s">
        <v>1852</v>
      </c>
    </row>
    <row r="51" spans="3:11" ht="16" x14ac:dyDescent="0.2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1" t="s">
        <v>1468</v>
      </c>
      <c r="I51" s="785" t="s">
        <v>1580</v>
      </c>
      <c r="J51" s="789" t="s">
        <v>1716</v>
      </c>
      <c r="K51" s="793" t="s">
        <v>1853</v>
      </c>
    </row>
    <row r="52" spans="3:11" ht="16" x14ac:dyDescent="0.2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1" t="s">
        <v>1469</v>
      </c>
      <c r="I52" s="785" t="s">
        <v>1581</v>
      </c>
      <c r="J52" s="789" t="s">
        <v>1717</v>
      </c>
      <c r="K52" s="793" t="s">
        <v>1854</v>
      </c>
    </row>
    <row r="53" spans="3:11" ht="16" x14ac:dyDescent="0.2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1" t="s">
        <v>1470</v>
      </c>
      <c r="I53" s="785" t="s">
        <v>1582</v>
      </c>
      <c r="J53" s="789" t="s">
        <v>1718</v>
      </c>
      <c r="K53" s="793" t="s">
        <v>1855</v>
      </c>
    </row>
    <row r="54" spans="3:11" ht="16" x14ac:dyDescent="0.2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1" t="s">
        <v>1471</v>
      </c>
      <c r="I54" s="785" t="s">
        <v>1583</v>
      </c>
      <c r="J54" s="789" t="s">
        <v>1719</v>
      </c>
      <c r="K54" s="793" t="s">
        <v>1856</v>
      </c>
    </row>
    <row r="55" spans="3:11" ht="16" x14ac:dyDescent="0.2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848" t="s">
        <v>2021</v>
      </c>
      <c r="I55" s="785" t="s">
        <v>1584</v>
      </c>
      <c r="J55" s="789" t="s">
        <v>1720</v>
      </c>
      <c r="K55" s="793" t="s">
        <v>1857</v>
      </c>
    </row>
    <row r="56" spans="3:11" ht="16" x14ac:dyDescent="0.2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1" t="s">
        <v>764</v>
      </c>
      <c r="I56" s="785" t="s">
        <v>1585</v>
      </c>
      <c r="J56" s="789" t="s">
        <v>1721</v>
      </c>
      <c r="K56" s="793" t="s">
        <v>1858</v>
      </c>
    </row>
    <row r="57" spans="3:11" ht="16" x14ac:dyDescent="0.2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1" t="s">
        <v>1472</v>
      </c>
      <c r="I57" s="785" t="s">
        <v>1586</v>
      </c>
      <c r="J57" s="789" t="s">
        <v>1722</v>
      </c>
      <c r="K57" s="793" t="s">
        <v>1859</v>
      </c>
    </row>
    <row r="58" spans="3:11" ht="96" x14ac:dyDescent="0.2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1" t="s">
        <v>1473</v>
      </c>
      <c r="I58" s="785" t="s">
        <v>1587</v>
      </c>
      <c r="J58" s="789" t="s">
        <v>1723</v>
      </c>
      <c r="K58" s="793" t="s">
        <v>1860</v>
      </c>
    </row>
    <row r="59" spans="3:11" ht="48" x14ac:dyDescent="0.2">
      <c r="C59" s="503">
        <v>56</v>
      </c>
      <c r="D59" s="493" t="s">
        <v>402</v>
      </c>
      <c r="E59" s="1371" t="s">
        <v>2603</v>
      </c>
      <c r="F59" s="511" t="s">
        <v>865</v>
      </c>
      <c r="G59" s="516" t="s">
        <v>866</v>
      </c>
      <c r="H59" s="781" t="s">
        <v>1474</v>
      </c>
      <c r="I59" s="785" t="s">
        <v>1588</v>
      </c>
      <c r="J59" s="789" t="s">
        <v>1724</v>
      </c>
      <c r="K59" s="793" t="s">
        <v>1861</v>
      </c>
    </row>
    <row r="60" spans="3:11" ht="16" x14ac:dyDescent="0.2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1" t="s">
        <v>1475</v>
      </c>
      <c r="I60" s="785" t="s">
        <v>1589</v>
      </c>
      <c r="J60" s="789" t="s">
        <v>1725</v>
      </c>
      <c r="K60" s="793" t="s">
        <v>1862</v>
      </c>
    </row>
    <row r="61" spans="3:11" ht="16" x14ac:dyDescent="0.2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1" t="s">
        <v>1476</v>
      </c>
      <c r="I61" s="785" t="s">
        <v>767</v>
      </c>
      <c r="J61" s="789" t="s">
        <v>1726</v>
      </c>
      <c r="K61" s="793" t="s">
        <v>1863</v>
      </c>
    </row>
    <row r="62" spans="3:11" x14ac:dyDescent="0.2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2" t="s">
        <v>1477</v>
      </c>
      <c r="I62" s="786" t="s">
        <v>1590</v>
      </c>
      <c r="J62" s="790" t="s">
        <v>1727</v>
      </c>
      <c r="K62" s="794" t="s">
        <v>1864</v>
      </c>
    </row>
    <row r="63" spans="3:11" x14ac:dyDescent="0.2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2" t="s">
        <v>1478</v>
      </c>
      <c r="I63" s="786" t="s">
        <v>1591</v>
      </c>
      <c r="J63" s="790" t="s">
        <v>1728</v>
      </c>
      <c r="K63" s="794" t="s">
        <v>1865</v>
      </c>
    </row>
    <row r="64" spans="3:11" x14ac:dyDescent="0.2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2" t="s">
        <v>1479</v>
      </c>
      <c r="I64" s="786" t="s">
        <v>1592</v>
      </c>
      <c r="J64" s="790" t="s">
        <v>1729</v>
      </c>
      <c r="K64" s="794" t="s">
        <v>1866</v>
      </c>
    </row>
    <row r="65" spans="3:11" x14ac:dyDescent="0.2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2" t="s">
        <v>1480</v>
      </c>
      <c r="I65" s="786" t="s">
        <v>1593</v>
      </c>
      <c r="J65" s="790" t="s">
        <v>1730</v>
      </c>
      <c r="K65" s="794" t="s">
        <v>1867</v>
      </c>
    </row>
    <row r="66" spans="3:11" x14ac:dyDescent="0.2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2" t="s">
        <v>1481</v>
      </c>
      <c r="I66" s="786" t="s">
        <v>1594</v>
      </c>
      <c r="J66" s="790" t="s">
        <v>1731</v>
      </c>
      <c r="K66" s="794" t="s">
        <v>1868</v>
      </c>
    </row>
    <row r="67" spans="3:11" x14ac:dyDescent="0.2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2" t="s">
        <v>1482</v>
      </c>
      <c r="I67" s="786" t="s">
        <v>1595</v>
      </c>
      <c r="J67" s="790" t="s">
        <v>1732</v>
      </c>
      <c r="K67" s="794" t="s">
        <v>1869</v>
      </c>
    </row>
    <row r="68" spans="3:11" x14ac:dyDescent="0.2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3" t="s">
        <v>1483</v>
      </c>
      <c r="I68" s="787" t="s">
        <v>1596</v>
      </c>
      <c r="J68" s="791" t="s">
        <v>1733</v>
      </c>
      <c r="K68" s="795" t="s">
        <v>1870</v>
      </c>
    </row>
    <row r="69" spans="3:11" x14ac:dyDescent="0.2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2" t="s">
        <v>1484</v>
      </c>
      <c r="I69" s="786" t="s">
        <v>1597</v>
      </c>
      <c r="J69" s="790" t="s">
        <v>1734</v>
      </c>
      <c r="K69" s="794" t="s">
        <v>1871</v>
      </c>
    </row>
    <row r="70" spans="3:11" x14ac:dyDescent="0.2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2" t="s">
        <v>1485</v>
      </c>
      <c r="I70" s="786" t="s">
        <v>1598</v>
      </c>
      <c r="J70" s="790" t="s">
        <v>1735</v>
      </c>
      <c r="K70" s="794" t="s">
        <v>1872</v>
      </c>
    </row>
    <row r="71" spans="3:11" x14ac:dyDescent="0.2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2" t="s">
        <v>1486</v>
      </c>
      <c r="I71" s="786" t="s">
        <v>1599</v>
      </c>
      <c r="J71" s="790" t="s">
        <v>1736</v>
      </c>
      <c r="K71" s="794" t="s">
        <v>1873</v>
      </c>
    </row>
    <row r="72" spans="3:11" x14ac:dyDescent="0.2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849" t="s">
        <v>2022</v>
      </c>
      <c r="I72" s="786" t="s">
        <v>1600</v>
      </c>
      <c r="J72" s="790" t="s">
        <v>1737</v>
      </c>
      <c r="K72" s="794" t="s">
        <v>1874</v>
      </c>
    </row>
    <row r="73" spans="3:11" x14ac:dyDescent="0.2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849" t="s">
        <v>2023</v>
      </c>
      <c r="I73" s="786" t="s">
        <v>1601</v>
      </c>
      <c r="J73" s="790" t="s">
        <v>1738</v>
      </c>
      <c r="K73" s="794" t="s">
        <v>1875</v>
      </c>
    </row>
    <row r="74" spans="3:11" x14ac:dyDescent="0.2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849" t="s">
        <v>2024</v>
      </c>
      <c r="I74" s="786" t="s">
        <v>1602</v>
      </c>
      <c r="J74" s="790" t="s">
        <v>1739</v>
      </c>
      <c r="K74" s="794" t="s">
        <v>1876</v>
      </c>
    </row>
    <row r="75" spans="3:11" ht="32" x14ac:dyDescent="0.2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1" t="s">
        <v>1487</v>
      </c>
      <c r="I75" s="785" t="s">
        <v>1603</v>
      </c>
      <c r="J75" s="789" t="s">
        <v>1740</v>
      </c>
      <c r="K75" s="793" t="s">
        <v>1877</v>
      </c>
    </row>
    <row r="76" spans="3:11" ht="32" x14ac:dyDescent="0.2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1" t="s">
        <v>1488</v>
      </c>
      <c r="I76" s="785" t="s">
        <v>1604</v>
      </c>
      <c r="J76" s="789" t="s">
        <v>1741</v>
      </c>
      <c r="K76" s="793" t="s">
        <v>1878</v>
      </c>
    </row>
    <row r="77" spans="3:11" ht="16" x14ac:dyDescent="0.2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4" t="s">
        <v>1489</v>
      </c>
      <c r="I77" s="788" t="s">
        <v>1605</v>
      </c>
      <c r="J77" s="792" t="s">
        <v>1742</v>
      </c>
      <c r="K77" s="796" t="s">
        <v>1879</v>
      </c>
    </row>
    <row r="78" spans="3:11" ht="16" x14ac:dyDescent="0.2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1" t="s">
        <v>1469</v>
      </c>
      <c r="I78" s="785" t="s">
        <v>1581</v>
      </c>
      <c r="J78" s="789" t="s">
        <v>1717</v>
      </c>
      <c r="K78" s="793" t="s">
        <v>1854</v>
      </c>
    </row>
    <row r="79" spans="3:11" ht="16" x14ac:dyDescent="0.2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848" t="s">
        <v>2031</v>
      </c>
      <c r="I79" s="785" t="s">
        <v>1606</v>
      </c>
      <c r="J79" s="789" t="s">
        <v>1743</v>
      </c>
      <c r="K79" s="793" t="s">
        <v>1880</v>
      </c>
    </row>
    <row r="80" spans="3:11" ht="16" x14ac:dyDescent="0.2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848" t="s">
        <v>2032</v>
      </c>
      <c r="I80" s="785" t="s">
        <v>1607</v>
      </c>
      <c r="J80" s="789" t="s">
        <v>1744</v>
      </c>
      <c r="K80" s="793" t="s">
        <v>1881</v>
      </c>
    </row>
    <row r="81" spans="3:11" ht="32" x14ac:dyDescent="0.2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848" t="s">
        <v>2033</v>
      </c>
      <c r="I81" s="785" t="s">
        <v>1608</v>
      </c>
      <c r="J81" s="789" t="s">
        <v>1745</v>
      </c>
      <c r="K81" s="793" t="s">
        <v>1882</v>
      </c>
    </row>
    <row r="82" spans="3:11" ht="32" x14ac:dyDescent="0.2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848" t="s">
        <v>2034</v>
      </c>
      <c r="I82" s="785" t="s">
        <v>1609</v>
      </c>
      <c r="J82" s="789" t="s">
        <v>1746</v>
      </c>
      <c r="K82" s="793" t="s">
        <v>1883</v>
      </c>
    </row>
    <row r="83" spans="3:11" ht="16" x14ac:dyDescent="0.2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1" t="s">
        <v>1490</v>
      </c>
      <c r="I83" s="785" t="s">
        <v>1610</v>
      </c>
      <c r="J83" s="789" t="s">
        <v>1747</v>
      </c>
      <c r="K83" s="793" t="s">
        <v>1884</v>
      </c>
    </row>
    <row r="84" spans="3:11" ht="32" x14ac:dyDescent="0.2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848" t="s">
        <v>2035</v>
      </c>
      <c r="I84" s="785" t="s">
        <v>1611</v>
      </c>
      <c r="J84" s="789" t="s">
        <v>1748</v>
      </c>
      <c r="K84" s="793" t="s">
        <v>1885</v>
      </c>
    </row>
    <row r="85" spans="3:11" ht="32" x14ac:dyDescent="0.2">
      <c r="C85" s="503">
        <v>82</v>
      </c>
      <c r="D85" s="749" t="s">
        <v>1295</v>
      </c>
      <c r="E85" s="750" t="s">
        <v>1296</v>
      </c>
      <c r="F85" s="510" t="s">
        <v>1297</v>
      </c>
      <c r="G85" s="751" t="s">
        <v>1298</v>
      </c>
      <c r="H85" s="781" t="s">
        <v>1491</v>
      </c>
      <c r="I85" s="785" t="s">
        <v>1612</v>
      </c>
      <c r="J85" s="789" t="s">
        <v>1749</v>
      </c>
      <c r="K85" s="793" t="s">
        <v>1886</v>
      </c>
    </row>
    <row r="86" spans="3:11" ht="16" x14ac:dyDescent="0.2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1" t="s">
        <v>1492</v>
      </c>
      <c r="I86" s="785" t="s">
        <v>1613</v>
      </c>
      <c r="J86" s="789" t="s">
        <v>1750</v>
      </c>
      <c r="K86" s="793" t="s">
        <v>1887</v>
      </c>
    </row>
    <row r="87" spans="3:11" ht="16" x14ac:dyDescent="0.2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1" t="s">
        <v>1493</v>
      </c>
      <c r="I87" s="785" t="s">
        <v>1614</v>
      </c>
      <c r="J87" s="789" t="s">
        <v>1751</v>
      </c>
      <c r="K87" s="793" t="s">
        <v>1888</v>
      </c>
    </row>
    <row r="88" spans="3:11" ht="16" x14ac:dyDescent="0.2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1" t="s">
        <v>1494</v>
      </c>
      <c r="I88" s="785" t="s">
        <v>1615</v>
      </c>
      <c r="J88" s="789" t="s">
        <v>1752</v>
      </c>
      <c r="K88" s="793" t="s">
        <v>1889</v>
      </c>
    </row>
    <row r="89" spans="3:11" ht="16" x14ac:dyDescent="0.2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848" t="s">
        <v>2038</v>
      </c>
      <c r="I89" s="785" t="s">
        <v>1616</v>
      </c>
      <c r="J89" s="789" t="s">
        <v>1753</v>
      </c>
      <c r="K89" s="793" t="s">
        <v>1890</v>
      </c>
    </row>
    <row r="90" spans="3:11" ht="16" x14ac:dyDescent="0.2">
      <c r="C90" s="503">
        <v>87</v>
      </c>
      <c r="D90" s="737" t="s">
        <v>1282</v>
      </c>
      <c r="E90" s="750" t="s">
        <v>1316</v>
      </c>
      <c r="F90" s="510" t="s">
        <v>1317</v>
      </c>
      <c r="G90" s="752" t="s">
        <v>1318</v>
      </c>
      <c r="H90" s="781" t="s">
        <v>1495</v>
      </c>
      <c r="I90" s="785" t="s">
        <v>1617</v>
      </c>
      <c r="J90" s="789" t="s">
        <v>1754</v>
      </c>
      <c r="K90" s="793" t="s">
        <v>1891</v>
      </c>
    </row>
    <row r="91" spans="3:11" ht="16" x14ac:dyDescent="0.2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1" t="s">
        <v>1496</v>
      </c>
      <c r="I91" s="785" t="s">
        <v>1618</v>
      </c>
      <c r="J91" s="789" t="s">
        <v>1755</v>
      </c>
      <c r="K91" s="793" t="s">
        <v>1892</v>
      </c>
    </row>
    <row r="92" spans="3:11" ht="16" x14ac:dyDescent="0.2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1" t="s">
        <v>1497</v>
      </c>
      <c r="I92" s="785" t="s">
        <v>1619</v>
      </c>
      <c r="J92" s="789" t="s">
        <v>1756</v>
      </c>
      <c r="K92" s="793" t="s">
        <v>1893</v>
      </c>
    </row>
    <row r="93" spans="3:11" ht="16" x14ac:dyDescent="0.2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1" t="s">
        <v>1498</v>
      </c>
      <c r="I93" s="785" t="s">
        <v>1620</v>
      </c>
      <c r="J93" s="789" t="s">
        <v>1757</v>
      </c>
      <c r="K93" s="793" t="s">
        <v>1894</v>
      </c>
    </row>
    <row r="94" spans="3:11" ht="16" x14ac:dyDescent="0.2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1" t="s">
        <v>1499</v>
      </c>
      <c r="I94" s="785" t="s">
        <v>1621</v>
      </c>
      <c r="J94" s="789" t="s">
        <v>1758</v>
      </c>
      <c r="K94" s="793" t="s">
        <v>1895</v>
      </c>
    </row>
    <row r="95" spans="3:11" ht="16" x14ac:dyDescent="0.2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1" t="s">
        <v>1500</v>
      </c>
      <c r="I95" s="785" t="s">
        <v>1622</v>
      </c>
      <c r="J95" s="789" t="s">
        <v>1759</v>
      </c>
      <c r="K95" s="793" t="s">
        <v>1896</v>
      </c>
    </row>
    <row r="96" spans="3:11" ht="16" x14ac:dyDescent="0.2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1" t="s">
        <v>1501</v>
      </c>
      <c r="I96" s="785" t="s">
        <v>1623</v>
      </c>
      <c r="J96" s="789" t="s">
        <v>1760</v>
      </c>
      <c r="K96" s="793" t="s">
        <v>1897</v>
      </c>
    </row>
    <row r="97" spans="3:11" ht="16" x14ac:dyDescent="0.2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1" t="s">
        <v>1502</v>
      </c>
      <c r="I97" s="785" t="s">
        <v>1624</v>
      </c>
      <c r="J97" s="789" t="s">
        <v>1761</v>
      </c>
      <c r="K97" s="793" t="s">
        <v>1898</v>
      </c>
    </row>
    <row r="98" spans="3:11" ht="16" x14ac:dyDescent="0.2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1" t="s">
        <v>1503</v>
      </c>
      <c r="I98" s="785" t="s">
        <v>1625</v>
      </c>
      <c r="J98" s="789" t="s">
        <v>1762</v>
      </c>
      <c r="K98" s="793" t="s">
        <v>1899</v>
      </c>
    </row>
    <row r="99" spans="3:11" ht="16" x14ac:dyDescent="0.2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1" t="s">
        <v>1501</v>
      </c>
      <c r="I99" s="785" t="s">
        <v>1623</v>
      </c>
      <c r="J99" s="789" t="s">
        <v>1760</v>
      </c>
      <c r="K99" s="793" t="s">
        <v>1897</v>
      </c>
    </row>
    <row r="100" spans="3:11" ht="16" x14ac:dyDescent="0.2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1" t="s">
        <v>1504</v>
      </c>
      <c r="I100" s="785" t="s">
        <v>1626</v>
      </c>
      <c r="J100" s="789" t="s">
        <v>1763</v>
      </c>
      <c r="K100" s="793" t="s">
        <v>1900</v>
      </c>
    </row>
    <row r="101" spans="3:11" ht="16" x14ac:dyDescent="0.2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1" t="s">
        <v>1502</v>
      </c>
      <c r="I101" s="785" t="s">
        <v>1624</v>
      </c>
      <c r="J101" s="789" t="s">
        <v>1761</v>
      </c>
      <c r="K101" s="793" t="s">
        <v>1898</v>
      </c>
    </row>
    <row r="102" spans="3:11" ht="16" x14ac:dyDescent="0.2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1" t="s">
        <v>1505</v>
      </c>
      <c r="I102" s="785" t="s">
        <v>1627</v>
      </c>
      <c r="J102" s="789" t="s">
        <v>1764</v>
      </c>
      <c r="K102" s="793" t="s">
        <v>1901</v>
      </c>
    </row>
    <row r="103" spans="3:11" ht="16" x14ac:dyDescent="0.2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1" t="s">
        <v>1506</v>
      </c>
      <c r="I103" s="785" t="s">
        <v>1628</v>
      </c>
      <c r="J103" s="789" t="s">
        <v>1765</v>
      </c>
      <c r="K103" s="793" t="s">
        <v>1902</v>
      </c>
    </row>
    <row r="104" spans="3:11" ht="27.75" customHeight="1" x14ac:dyDescent="0.2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1" t="s">
        <v>1507</v>
      </c>
      <c r="I104" s="785" t="s">
        <v>1629</v>
      </c>
      <c r="J104" s="789" t="s">
        <v>1766</v>
      </c>
      <c r="K104" s="793" t="s">
        <v>1903</v>
      </c>
    </row>
    <row r="105" spans="3:11" ht="30" customHeight="1" x14ac:dyDescent="0.2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1" t="s">
        <v>1508</v>
      </c>
      <c r="I105" s="785" t="s">
        <v>1630</v>
      </c>
      <c r="J105" s="789" t="s">
        <v>1767</v>
      </c>
      <c r="K105" s="793" t="s">
        <v>1904</v>
      </c>
    </row>
    <row r="106" spans="3:11" ht="32" x14ac:dyDescent="0.2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1" t="s">
        <v>1509</v>
      </c>
      <c r="I106" s="785" t="s">
        <v>1631</v>
      </c>
      <c r="J106" s="789" t="s">
        <v>1768</v>
      </c>
      <c r="K106" s="793" t="s">
        <v>1905</v>
      </c>
    </row>
    <row r="107" spans="3:11" ht="16" x14ac:dyDescent="0.2">
      <c r="C107" s="503">
        <v>104</v>
      </c>
      <c r="D107" s="493" t="s">
        <v>538</v>
      </c>
      <c r="E107" s="1370" t="s">
        <v>2610</v>
      </c>
      <c r="F107" s="510" t="s">
        <v>805</v>
      </c>
      <c r="G107" s="516" t="s">
        <v>920</v>
      </c>
      <c r="H107" s="848" t="s">
        <v>2025</v>
      </c>
      <c r="I107" s="785" t="s">
        <v>1632</v>
      </c>
      <c r="J107" s="789" t="s">
        <v>1769</v>
      </c>
      <c r="K107" s="793" t="s">
        <v>1906</v>
      </c>
    </row>
    <row r="108" spans="3:11" ht="16" x14ac:dyDescent="0.2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1" t="s">
        <v>1443</v>
      </c>
      <c r="I108" s="785" t="s">
        <v>1546</v>
      </c>
      <c r="J108" s="789" t="s">
        <v>1682</v>
      </c>
      <c r="K108" s="793" t="s">
        <v>1819</v>
      </c>
    </row>
    <row r="109" spans="3:11" ht="16" x14ac:dyDescent="0.2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1" t="s">
        <v>1510</v>
      </c>
      <c r="I109" s="785" t="s">
        <v>1633</v>
      </c>
      <c r="J109" s="789" t="s">
        <v>1770</v>
      </c>
      <c r="K109" s="793" t="s">
        <v>1907</v>
      </c>
    </row>
    <row r="110" spans="3:11" ht="16" x14ac:dyDescent="0.2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1" t="s">
        <v>1511</v>
      </c>
      <c r="I110" s="785" t="s">
        <v>1634</v>
      </c>
      <c r="J110" s="789" t="s">
        <v>1771</v>
      </c>
      <c r="K110" s="793" t="s">
        <v>1908</v>
      </c>
    </row>
    <row r="111" spans="3:11" ht="16" x14ac:dyDescent="0.2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848" t="s">
        <v>2026</v>
      </c>
      <c r="I111" s="785" t="s">
        <v>1635</v>
      </c>
      <c r="J111" s="789" t="s">
        <v>1772</v>
      </c>
      <c r="K111" s="793" t="s">
        <v>1909</v>
      </c>
    </row>
    <row r="112" spans="3:11" ht="16" x14ac:dyDescent="0.2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848" t="s">
        <v>2027</v>
      </c>
      <c r="I112" s="785" t="s">
        <v>1636</v>
      </c>
      <c r="J112" s="789" t="s">
        <v>1773</v>
      </c>
      <c r="K112" s="793" t="s">
        <v>1910</v>
      </c>
    </row>
    <row r="113" spans="3:11" ht="16" x14ac:dyDescent="0.2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1" t="s">
        <v>1512</v>
      </c>
      <c r="I113" s="785" t="s">
        <v>1637</v>
      </c>
      <c r="J113" s="789" t="s">
        <v>1774</v>
      </c>
      <c r="K113" s="793" t="s">
        <v>1911</v>
      </c>
    </row>
    <row r="114" spans="3:11" ht="16" x14ac:dyDescent="0.2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1" t="s">
        <v>1513</v>
      </c>
      <c r="I114" s="785" t="s">
        <v>1638</v>
      </c>
      <c r="J114" s="789" t="s">
        <v>1775</v>
      </c>
      <c r="K114" s="793" t="s">
        <v>1912</v>
      </c>
    </row>
    <row r="115" spans="3:11" ht="16" x14ac:dyDescent="0.2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1" t="s">
        <v>1514</v>
      </c>
      <c r="I115" s="785" t="s">
        <v>1639</v>
      </c>
      <c r="J115" s="789" t="s">
        <v>1776</v>
      </c>
      <c r="K115" s="793" t="s">
        <v>1913</v>
      </c>
    </row>
    <row r="116" spans="3:11" ht="16" x14ac:dyDescent="0.2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1" t="s">
        <v>1515</v>
      </c>
      <c r="I116" s="785" t="s">
        <v>1640</v>
      </c>
      <c r="J116" s="789" t="s">
        <v>1777</v>
      </c>
      <c r="K116" s="793" t="s">
        <v>1914</v>
      </c>
    </row>
    <row r="117" spans="3:11" ht="32" x14ac:dyDescent="0.2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1" t="s">
        <v>1516</v>
      </c>
      <c r="I117" s="785" t="s">
        <v>1641</v>
      </c>
      <c r="J117" s="789" t="s">
        <v>1778</v>
      </c>
      <c r="K117" s="793" t="s">
        <v>1915</v>
      </c>
    </row>
    <row r="118" spans="3:11" ht="16" x14ac:dyDescent="0.2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848" t="s">
        <v>2028</v>
      </c>
      <c r="I118" s="785" t="s">
        <v>1642</v>
      </c>
      <c r="J118" s="789" t="s">
        <v>1779</v>
      </c>
      <c r="K118" s="793" t="s">
        <v>1916</v>
      </c>
    </row>
    <row r="119" spans="3:11" ht="16" x14ac:dyDescent="0.2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848" t="s">
        <v>2029</v>
      </c>
      <c r="I119" s="785" t="s">
        <v>1643</v>
      </c>
      <c r="J119" s="789" t="s">
        <v>1780</v>
      </c>
      <c r="K119" s="793" t="s">
        <v>1917</v>
      </c>
    </row>
    <row r="120" spans="3:11" ht="16" x14ac:dyDescent="0.2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1" t="s">
        <v>1512</v>
      </c>
      <c r="I120" s="785" t="s">
        <v>1637</v>
      </c>
      <c r="J120" s="789" t="s">
        <v>1774</v>
      </c>
      <c r="K120" s="793" t="s">
        <v>1911</v>
      </c>
    </row>
    <row r="121" spans="3:11" ht="16" x14ac:dyDescent="0.2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1" t="s">
        <v>1513</v>
      </c>
      <c r="I121" s="785" t="s">
        <v>1638</v>
      </c>
      <c r="J121" s="789" t="s">
        <v>1775</v>
      </c>
      <c r="K121" s="793" t="s">
        <v>1912</v>
      </c>
    </row>
    <row r="122" spans="3:11" ht="16" x14ac:dyDescent="0.2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1" t="s">
        <v>1517</v>
      </c>
      <c r="I122" s="785" t="s">
        <v>1644</v>
      </c>
      <c r="J122" s="789" t="s">
        <v>1781</v>
      </c>
      <c r="K122" s="793" t="s">
        <v>1918</v>
      </c>
    </row>
    <row r="123" spans="3:11" ht="16" x14ac:dyDescent="0.2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848" t="s">
        <v>2030</v>
      </c>
      <c r="I123" s="785" t="s">
        <v>1645</v>
      </c>
      <c r="J123" s="789" t="s">
        <v>1782</v>
      </c>
      <c r="K123" s="793" t="s">
        <v>1919</v>
      </c>
    </row>
    <row r="124" spans="3:11" ht="16" x14ac:dyDescent="0.2">
      <c r="C124" s="503">
        <v>121</v>
      </c>
      <c r="D124" s="1374" t="s">
        <v>2631</v>
      </c>
      <c r="E124" s="1378" t="s">
        <v>2632</v>
      </c>
      <c r="F124" s="510" t="s">
        <v>948</v>
      </c>
      <c r="G124" s="495" t="s">
        <v>949</v>
      </c>
      <c r="H124" s="781" t="s">
        <v>1518</v>
      </c>
      <c r="I124" s="785" t="s">
        <v>1646</v>
      </c>
      <c r="J124" s="789" t="s">
        <v>1783</v>
      </c>
      <c r="K124" s="793" t="s">
        <v>1920</v>
      </c>
    </row>
    <row r="125" spans="3:11" ht="32" x14ac:dyDescent="0.2">
      <c r="C125" s="503">
        <v>122</v>
      </c>
      <c r="D125" s="1369" t="s">
        <v>2480</v>
      </c>
      <c r="E125" s="1371" t="s">
        <v>2611</v>
      </c>
      <c r="F125" s="510" t="s">
        <v>815</v>
      </c>
      <c r="G125" s="516" t="s">
        <v>951</v>
      </c>
      <c r="H125" s="781" t="s">
        <v>1519</v>
      </c>
      <c r="I125" s="785" t="s">
        <v>1647</v>
      </c>
      <c r="J125" s="789" t="s">
        <v>1784</v>
      </c>
      <c r="K125" s="793" t="s">
        <v>1921</v>
      </c>
    </row>
    <row r="126" spans="3:11" ht="16" x14ac:dyDescent="0.2">
      <c r="C126" s="503">
        <v>123</v>
      </c>
      <c r="D126" s="754" t="s">
        <v>1339</v>
      </c>
      <c r="E126" s="755" t="s">
        <v>1355</v>
      </c>
      <c r="F126" s="510" t="s">
        <v>1356</v>
      </c>
      <c r="G126" s="756" t="s">
        <v>1357</v>
      </c>
      <c r="H126" s="781" t="s">
        <v>1520</v>
      </c>
      <c r="I126" s="785" t="s">
        <v>1648</v>
      </c>
      <c r="J126" s="789" t="s">
        <v>1785</v>
      </c>
      <c r="K126" s="793" t="s">
        <v>1922</v>
      </c>
    </row>
    <row r="127" spans="3:11" ht="16" x14ac:dyDescent="0.2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1" t="s">
        <v>1521</v>
      </c>
      <c r="I127" s="785" t="s">
        <v>1649</v>
      </c>
      <c r="J127" s="789" t="s">
        <v>1786</v>
      </c>
      <c r="K127" s="793" t="s">
        <v>1923</v>
      </c>
    </row>
    <row r="128" spans="3:11" ht="16" x14ac:dyDescent="0.2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1" t="s">
        <v>1522</v>
      </c>
      <c r="I128" s="785" t="s">
        <v>1650</v>
      </c>
      <c r="J128" s="789" t="s">
        <v>1787</v>
      </c>
      <c r="K128" s="793" t="s">
        <v>1924</v>
      </c>
    </row>
    <row r="129" spans="3:11" ht="32" x14ac:dyDescent="0.2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1" t="s">
        <v>1523</v>
      </c>
      <c r="I129" s="785" t="s">
        <v>1651</v>
      </c>
      <c r="J129" s="789" t="s">
        <v>1788</v>
      </c>
      <c r="K129" s="793" t="s">
        <v>1925</v>
      </c>
    </row>
    <row r="130" spans="3:11" ht="16" x14ac:dyDescent="0.2">
      <c r="C130" s="503">
        <v>127</v>
      </c>
      <c r="D130" s="493" t="s">
        <v>725</v>
      </c>
      <c r="E130" s="1370" t="s">
        <v>2607</v>
      </c>
      <c r="F130" s="513" t="s">
        <v>816</v>
      </c>
      <c r="G130" s="495" t="s">
        <v>958</v>
      </c>
      <c r="H130" s="781" t="s">
        <v>1524</v>
      </c>
      <c r="I130" s="785" t="s">
        <v>1652</v>
      </c>
      <c r="J130" s="789" t="s">
        <v>1789</v>
      </c>
      <c r="K130" s="793" t="s">
        <v>1926</v>
      </c>
    </row>
    <row r="131" spans="3:11" ht="16" x14ac:dyDescent="0.2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1" t="s">
        <v>1525</v>
      </c>
      <c r="I131" s="785" t="s">
        <v>1653</v>
      </c>
      <c r="J131" s="789" t="s">
        <v>1790</v>
      </c>
      <c r="K131" s="793" t="s">
        <v>1927</v>
      </c>
    </row>
    <row r="132" spans="3:11" ht="32" x14ac:dyDescent="0.2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1" t="s">
        <v>1526</v>
      </c>
      <c r="I132" s="785" t="s">
        <v>1654</v>
      </c>
      <c r="J132" s="789" t="s">
        <v>1791</v>
      </c>
      <c r="K132" s="793" t="s">
        <v>1928</v>
      </c>
    </row>
    <row r="133" spans="3:11" ht="16" x14ac:dyDescent="0.2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1" t="s">
        <v>1527</v>
      </c>
      <c r="I133" s="785" t="s">
        <v>1655</v>
      </c>
      <c r="J133" s="789" t="s">
        <v>1792</v>
      </c>
      <c r="K133" s="793" t="s">
        <v>1929</v>
      </c>
    </row>
    <row r="134" spans="3:11" ht="16" x14ac:dyDescent="0.2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1" t="s">
        <v>1528</v>
      </c>
      <c r="I134" s="785" t="s">
        <v>1656</v>
      </c>
      <c r="J134" s="789" t="s">
        <v>1793</v>
      </c>
      <c r="K134" s="793" t="s">
        <v>1930</v>
      </c>
    </row>
    <row r="135" spans="3:11" ht="16" x14ac:dyDescent="0.2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1" t="s">
        <v>1529</v>
      </c>
      <c r="I135" s="785" t="s">
        <v>1657</v>
      </c>
      <c r="J135" s="789" t="s">
        <v>1794</v>
      </c>
      <c r="K135" s="793" t="s">
        <v>1931</v>
      </c>
    </row>
    <row r="136" spans="3:11" ht="16" x14ac:dyDescent="0.2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1" t="s">
        <v>1530</v>
      </c>
      <c r="I136" s="785" t="s">
        <v>1658</v>
      </c>
      <c r="J136" s="789" t="s">
        <v>1795</v>
      </c>
      <c r="K136" s="793" t="s">
        <v>1932</v>
      </c>
    </row>
    <row r="137" spans="3:11" ht="16" x14ac:dyDescent="0.2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848" t="s">
        <v>2006</v>
      </c>
      <c r="I137" s="785" t="s">
        <v>1659</v>
      </c>
      <c r="J137" s="789" t="s">
        <v>1796</v>
      </c>
      <c r="K137" s="793" t="s">
        <v>1933</v>
      </c>
    </row>
    <row r="138" spans="3:11" ht="32" x14ac:dyDescent="0.2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848" t="s">
        <v>2007</v>
      </c>
      <c r="I138" s="785" t="s">
        <v>1660</v>
      </c>
      <c r="J138" s="789" t="s">
        <v>1797</v>
      </c>
      <c r="K138" s="793" t="s">
        <v>1934</v>
      </c>
    </row>
    <row r="139" spans="3:11" ht="16" x14ac:dyDescent="0.2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848" t="s">
        <v>2008</v>
      </c>
      <c r="I139" s="785" t="s">
        <v>1661</v>
      </c>
      <c r="J139" s="789" t="s">
        <v>1798</v>
      </c>
      <c r="K139" s="793" t="s">
        <v>1935</v>
      </c>
    </row>
    <row r="140" spans="3:11" ht="16" x14ac:dyDescent="0.2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848" t="s">
        <v>2009</v>
      </c>
      <c r="I140" s="785" t="s">
        <v>1662</v>
      </c>
      <c r="J140" s="789" t="s">
        <v>1799</v>
      </c>
      <c r="K140" s="793" t="s">
        <v>1936</v>
      </c>
    </row>
    <row r="141" spans="3:11" ht="16" x14ac:dyDescent="0.2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848" t="s">
        <v>2013</v>
      </c>
      <c r="I141" s="785" t="s">
        <v>1663</v>
      </c>
      <c r="J141" s="789" t="s">
        <v>1800</v>
      </c>
      <c r="K141" s="793" t="s">
        <v>1937</v>
      </c>
    </row>
    <row r="142" spans="3:11" ht="16" x14ac:dyDescent="0.2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1" t="s">
        <v>1531</v>
      </c>
      <c r="I142" s="785" t="s">
        <v>1664</v>
      </c>
      <c r="J142" s="789" t="s">
        <v>1801</v>
      </c>
      <c r="K142" s="793" t="s">
        <v>1938</v>
      </c>
    </row>
    <row r="143" spans="3:11" ht="16" x14ac:dyDescent="0.2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1" t="s">
        <v>1488</v>
      </c>
      <c r="I143" s="785" t="s">
        <v>1604</v>
      </c>
      <c r="J143" s="789" t="s">
        <v>1741</v>
      </c>
      <c r="K143" s="793" t="s">
        <v>1878</v>
      </c>
    </row>
    <row r="144" spans="3:11" ht="96" x14ac:dyDescent="0.2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1" t="s">
        <v>1473</v>
      </c>
      <c r="I144" s="785" t="s">
        <v>1587</v>
      </c>
      <c r="J144" s="789" t="s">
        <v>1723</v>
      </c>
      <c r="K144" s="793" t="s">
        <v>1860</v>
      </c>
    </row>
    <row r="145" spans="3:11" ht="16" x14ac:dyDescent="0.2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848" t="s">
        <v>2037</v>
      </c>
      <c r="I145" s="785" t="s">
        <v>1665</v>
      </c>
      <c r="J145" s="789" t="s">
        <v>1802</v>
      </c>
      <c r="K145" s="793" t="s">
        <v>1939</v>
      </c>
    </row>
    <row r="146" spans="3:11" ht="32" x14ac:dyDescent="0.2">
      <c r="C146" s="503">
        <v>143</v>
      </c>
      <c r="D146" s="667" t="s">
        <v>1199</v>
      </c>
      <c r="E146" s="668" t="s">
        <v>1200</v>
      </c>
      <c r="F146" s="513" t="s">
        <v>1208</v>
      </c>
      <c r="G146" s="669" t="s">
        <v>1201</v>
      </c>
      <c r="H146" s="848" t="s">
        <v>2012</v>
      </c>
      <c r="I146" s="785" t="s">
        <v>1666</v>
      </c>
      <c r="J146" s="789" t="s">
        <v>1803</v>
      </c>
      <c r="K146" s="793" t="s">
        <v>1940</v>
      </c>
    </row>
    <row r="147" spans="3:11" ht="16" x14ac:dyDescent="0.2">
      <c r="C147" s="503">
        <v>144</v>
      </c>
      <c r="D147" s="749" t="s">
        <v>1306</v>
      </c>
      <c r="E147" s="750" t="s">
        <v>1303</v>
      </c>
      <c r="F147" s="513" t="s">
        <v>1304</v>
      </c>
      <c r="G147" s="751" t="s">
        <v>1305</v>
      </c>
      <c r="H147" s="848" t="s">
        <v>2036</v>
      </c>
      <c r="I147" s="785" t="s">
        <v>1667</v>
      </c>
      <c r="J147" s="789" t="s">
        <v>1804</v>
      </c>
      <c r="K147" s="793" t="s">
        <v>1941</v>
      </c>
    </row>
    <row r="148" spans="3:11" ht="16" x14ac:dyDescent="0.2">
      <c r="C148" s="503">
        <v>145</v>
      </c>
      <c r="D148" s="749" t="s">
        <v>1299</v>
      </c>
      <c r="E148" s="750" t="s">
        <v>1300</v>
      </c>
      <c r="F148" s="513" t="s">
        <v>1301</v>
      </c>
      <c r="G148" s="751" t="s">
        <v>1302</v>
      </c>
      <c r="H148" s="781" t="s">
        <v>1532</v>
      </c>
      <c r="I148" s="785" t="s">
        <v>1668</v>
      </c>
      <c r="J148" s="789" t="s">
        <v>1805</v>
      </c>
      <c r="K148" s="793" t="s">
        <v>1942</v>
      </c>
    </row>
    <row r="149" spans="3:11" ht="16" x14ac:dyDescent="0.2">
      <c r="C149" s="503">
        <v>146</v>
      </c>
      <c r="D149" s="749" t="s">
        <v>1278</v>
      </c>
      <c r="E149" s="750" t="s">
        <v>1308</v>
      </c>
      <c r="F149" s="513" t="s">
        <v>1309</v>
      </c>
      <c r="G149" s="751" t="s">
        <v>1310</v>
      </c>
      <c r="H149" s="781" t="s">
        <v>1533</v>
      </c>
      <c r="I149" s="785" t="s">
        <v>1669</v>
      </c>
      <c r="J149" s="789" t="s">
        <v>1806</v>
      </c>
      <c r="K149" s="793" t="s">
        <v>1943</v>
      </c>
    </row>
    <row r="150" spans="3:11" ht="16" x14ac:dyDescent="0.2">
      <c r="C150" s="503">
        <v>147</v>
      </c>
      <c r="D150" s="749" t="s">
        <v>1283</v>
      </c>
      <c r="E150" s="750" t="s">
        <v>1307</v>
      </c>
      <c r="F150" s="513" t="s">
        <v>1311</v>
      </c>
      <c r="G150" s="751" t="s">
        <v>1315</v>
      </c>
      <c r="H150" s="781" t="s">
        <v>1534</v>
      </c>
      <c r="I150" s="785" t="s">
        <v>1670</v>
      </c>
      <c r="J150" s="789" t="s">
        <v>1807</v>
      </c>
      <c r="K150" s="793" t="s">
        <v>1944</v>
      </c>
    </row>
    <row r="151" spans="3:11" ht="16" x14ac:dyDescent="0.2">
      <c r="C151" s="503">
        <v>148</v>
      </c>
      <c r="D151" s="749" t="s">
        <v>1279</v>
      </c>
      <c r="E151" s="750" t="s">
        <v>1312</v>
      </c>
      <c r="F151" s="513" t="s">
        <v>1313</v>
      </c>
      <c r="G151" s="751" t="s">
        <v>1314</v>
      </c>
      <c r="H151" s="781" t="s">
        <v>1535</v>
      </c>
      <c r="I151" s="785" t="s">
        <v>1671</v>
      </c>
      <c r="J151" s="789" t="s">
        <v>1808</v>
      </c>
      <c r="K151" s="793" t="s">
        <v>1945</v>
      </c>
    </row>
    <row r="152" spans="3:11" ht="16" x14ac:dyDescent="0.2">
      <c r="C152" s="503">
        <v>149</v>
      </c>
      <c r="D152" s="749" t="s">
        <v>1271</v>
      </c>
      <c r="E152" s="750" t="s">
        <v>1319</v>
      </c>
      <c r="F152" s="513" t="s">
        <v>1320</v>
      </c>
      <c r="G152" s="751" t="s">
        <v>1321</v>
      </c>
      <c r="H152" s="781" t="s">
        <v>1536</v>
      </c>
      <c r="I152" s="785" t="s">
        <v>1672</v>
      </c>
      <c r="J152" s="789" t="s">
        <v>1809</v>
      </c>
      <c r="K152" s="793" t="s">
        <v>1946</v>
      </c>
    </row>
    <row r="153" spans="3:11" ht="16" x14ac:dyDescent="0.2">
      <c r="C153" s="503">
        <v>150</v>
      </c>
      <c r="D153" s="749" t="s">
        <v>1287</v>
      </c>
      <c r="E153" s="750" t="s">
        <v>1322</v>
      </c>
      <c r="F153" s="513" t="s">
        <v>1323</v>
      </c>
      <c r="G153" s="751" t="s">
        <v>1324</v>
      </c>
      <c r="H153" s="781" t="s">
        <v>1537</v>
      </c>
      <c r="I153" s="785" t="s">
        <v>1673</v>
      </c>
      <c r="J153" s="789" t="s">
        <v>1810</v>
      </c>
      <c r="K153" s="793" t="s">
        <v>1947</v>
      </c>
    </row>
    <row r="154" spans="3:11" ht="16" x14ac:dyDescent="0.2">
      <c r="C154" s="503">
        <v>151</v>
      </c>
      <c r="D154" s="749" t="s">
        <v>1325</v>
      </c>
      <c r="E154" s="750" t="s">
        <v>1326</v>
      </c>
      <c r="F154" s="513" t="s">
        <v>1327</v>
      </c>
      <c r="G154" s="751" t="s">
        <v>1328</v>
      </c>
      <c r="H154" s="781" t="s">
        <v>1538</v>
      </c>
      <c r="I154" s="785" t="s">
        <v>1674</v>
      </c>
      <c r="J154" s="789" t="s">
        <v>1811</v>
      </c>
      <c r="K154" s="793" t="s">
        <v>1948</v>
      </c>
    </row>
    <row r="155" spans="3:11" ht="16" x14ac:dyDescent="0.2">
      <c r="C155" s="503">
        <v>152</v>
      </c>
      <c r="D155" s="749" t="s">
        <v>1273</v>
      </c>
      <c r="E155" s="750" t="s">
        <v>1329</v>
      </c>
      <c r="F155" s="513" t="s">
        <v>1330</v>
      </c>
      <c r="G155" s="751" t="s">
        <v>1331</v>
      </c>
      <c r="H155" s="781" t="s">
        <v>1539</v>
      </c>
      <c r="I155" s="785" t="s">
        <v>1675</v>
      </c>
      <c r="J155" s="789" t="s">
        <v>1812</v>
      </c>
      <c r="K155" s="793" t="s">
        <v>1949</v>
      </c>
    </row>
    <row r="156" spans="3:11" ht="16" x14ac:dyDescent="0.2">
      <c r="C156" s="503">
        <v>153</v>
      </c>
      <c r="D156" s="754" t="s">
        <v>2112</v>
      </c>
      <c r="E156" s="1370" t="s">
        <v>2628</v>
      </c>
      <c r="F156" s="510"/>
      <c r="G156" s="756"/>
      <c r="H156" s="762"/>
      <c r="I156" s="764"/>
      <c r="J156" s="766"/>
      <c r="K156" s="768"/>
    </row>
    <row r="157" spans="3:11" ht="16" x14ac:dyDescent="0.2">
      <c r="C157" s="503">
        <v>154</v>
      </c>
      <c r="D157" s="754" t="s">
        <v>2113</v>
      </c>
      <c r="E157" s="1370" t="s">
        <v>2567</v>
      </c>
      <c r="F157" s="510"/>
      <c r="G157" s="756"/>
      <c r="H157" s="762"/>
      <c r="I157" s="764"/>
      <c r="J157" s="766"/>
      <c r="K157" s="768"/>
    </row>
    <row r="158" spans="3:11" ht="16" x14ac:dyDescent="0.2">
      <c r="C158" s="503">
        <v>155</v>
      </c>
      <c r="D158" s="754" t="s">
        <v>2161</v>
      </c>
      <c r="E158" s="1370" t="s">
        <v>2568</v>
      </c>
      <c r="F158" s="510"/>
      <c r="G158" s="756"/>
      <c r="H158" s="762"/>
      <c r="I158" s="764"/>
      <c r="J158" s="766"/>
      <c r="K158" s="768"/>
    </row>
    <row r="159" spans="3:11" ht="16" x14ac:dyDescent="0.2">
      <c r="C159" s="503">
        <v>156</v>
      </c>
      <c r="D159" s="1369" t="s">
        <v>2162</v>
      </c>
      <c r="E159" s="1370" t="s">
        <v>2569</v>
      </c>
      <c r="F159" s="510"/>
      <c r="G159" s="756"/>
      <c r="H159" s="762"/>
      <c r="I159" s="764"/>
      <c r="J159" s="766"/>
      <c r="K159" s="768"/>
    </row>
    <row r="160" spans="3:11" ht="16" x14ac:dyDescent="0.2">
      <c r="C160" s="503">
        <v>157</v>
      </c>
      <c r="D160" s="754" t="s">
        <v>2153</v>
      </c>
      <c r="E160" s="1370" t="s">
        <v>2570</v>
      </c>
      <c r="F160" s="510"/>
      <c r="G160" s="756"/>
      <c r="H160" s="762"/>
      <c r="I160" s="764"/>
      <c r="J160" s="766"/>
      <c r="K160" s="768"/>
    </row>
    <row r="161" spans="3:11" ht="16" x14ac:dyDescent="0.2">
      <c r="C161" s="503">
        <v>158</v>
      </c>
      <c r="D161" s="1369" t="s">
        <v>2154</v>
      </c>
      <c r="E161" s="1370" t="s">
        <v>2571</v>
      </c>
      <c r="F161" s="510"/>
      <c r="G161" s="756"/>
      <c r="H161" s="762"/>
      <c r="I161" s="764"/>
      <c r="J161" s="766"/>
      <c r="K161" s="768"/>
    </row>
    <row r="162" spans="3:11" ht="16" x14ac:dyDescent="0.2">
      <c r="C162" s="503">
        <v>159</v>
      </c>
      <c r="D162" s="1369" t="s">
        <v>2155</v>
      </c>
      <c r="E162" s="1370" t="s">
        <v>2572</v>
      </c>
      <c r="F162" s="510"/>
      <c r="G162" s="756"/>
      <c r="H162" s="762"/>
      <c r="I162" s="764"/>
      <c r="J162" s="766"/>
      <c r="K162" s="768"/>
    </row>
    <row r="163" spans="3:11" ht="16" x14ac:dyDescent="0.2">
      <c r="C163" s="503">
        <v>160</v>
      </c>
      <c r="D163" s="1369" t="s">
        <v>2156</v>
      </c>
      <c r="E163" s="1370" t="s">
        <v>2573</v>
      </c>
      <c r="F163" s="510"/>
      <c r="G163" s="756"/>
      <c r="H163" s="762"/>
      <c r="I163" s="764"/>
      <c r="J163" s="766"/>
      <c r="K163" s="768"/>
    </row>
    <row r="164" spans="3:11" ht="16" x14ac:dyDescent="0.2">
      <c r="C164" s="503">
        <v>161</v>
      </c>
      <c r="D164" s="1369" t="s">
        <v>2157</v>
      </c>
      <c r="E164" s="1370" t="s">
        <v>2574</v>
      </c>
      <c r="F164" s="510"/>
      <c r="G164" s="756"/>
      <c r="H164" s="762"/>
      <c r="I164" s="764"/>
      <c r="J164" s="766"/>
      <c r="K164" s="768"/>
    </row>
    <row r="165" spans="3:11" ht="16" x14ac:dyDescent="0.2">
      <c r="C165" s="503">
        <v>162</v>
      </c>
      <c r="D165" s="1369" t="s">
        <v>2152</v>
      </c>
      <c r="E165" s="1370" t="s">
        <v>2575</v>
      </c>
      <c r="F165" s="510"/>
      <c r="G165" s="756"/>
      <c r="H165" s="762"/>
      <c r="I165" s="764"/>
      <c r="J165" s="766"/>
      <c r="K165" s="768"/>
    </row>
    <row r="166" spans="3:11" ht="16" x14ac:dyDescent="0.2">
      <c r="C166" s="503">
        <v>163</v>
      </c>
      <c r="D166" s="1369" t="s">
        <v>2163</v>
      </c>
      <c r="E166" s="1370" t="s">
        <v>2576</v>
      </c>
      <c r="F166" s="510"/>
      <c r="G166" s="756"/>
      <c r="H166" s="762"/>
      <c r="I166" s="764"/>
      <c r="J166" s="766"/>
      <c r="K166" s="768"/>
    </row>
    <row r="167" spans="3:11" ht="16" x14ac:dyDescent="0.2">
      <c r="C167" s="503">
        <v>164</v>
      </c>
      <c r="D167" s="1369" t="s">
        <v>2164</v>
      </c>
      <c r="E167" s="1370" t="s">
        <v>2577</v>
      </c>
      <c r="F167" s="510"/>
      <c r="G167" s="756"/>
      <c r="H167" s="762"/>
      <c r="I167" s="764"/>
      <c r="J167" s="766"/>
      <c r="K167" s="768"/>
    </row>
    <row r="168" spans="3:11" ht="16" x14ac:dyDescent="0.2">
      <c r="C168" s="503">
        <v>165</v>
      </c>
      <c r="D168" s="1369" t="s">
        <v>2165</v>
      </c>
      <c r="E168" s="1370" t="s">
        <v>2578</v>
      </c>
      <c r="F168" s="510"/>
      <c r="G168" s="756"/>
      <c r="H168" s="762"/>
      <c r="I168" s="764"/>
      <c r="J168" s="766"/>
      <c r="K168" s="768"/>
    </row>
    <row r="169" spans="3:11" ht="16" x14ac:dyDescent="0.2">
      <c r="C169" s="503">
        <v>166</v>
      </c>
      <c r="D169" s="1369" t="s">
        <v>2166</v>
      </c>
      <c r="E169" s="1370" t="s">
        <v>2579</v>
      </c>
      <c r="F169" s="510"/>
      <c r="G169" s="756"/>
      <c r="H169" s="762"/>
      <c r="I169" s="764"/>
      <c r="J169" s="766"/>
      <c r="K169" s="768"/>
    </row>
    <row r="170" spans="3:11" ht="16" x14ac:dyDescent="0.2">
      <c r="C170" s="503">
        <v>167</v>
      </c>
      <c r="D170" s="754" t="s">
        <v>1959</v>
      </c>
      <c r="E170" s="1370" t="s">
        <v>2580</v>
      </c>
      <c r="F170" s="510"/>
      <c r="G170" s="756"/>
      <c r="H170" s="762"/>
      <c r="I170" s="764"/>
      <c r="J170" s="766"/>
      <c r="K170" s="768"/>
    </row>
    <row r="171" spans="3:11" ht="16" x14ac:dyDescent="0.2">
      <c r="C171" s="503">
        <v>168</v>
      </c>
      <c r="D171" s="754" t="s">
        <v>1960</v>
      </c>
      <c r="E171" s="1370" t="s">
        <v>2581</v>
      </c>
      <c r="F171" s="510"/>
      <c r="G171" s="756"/>
      <c r="H171" s="762"/>
      <c r="I171" s="764"/>
      <c r="J171" s="766"/>
      <c r="K171" s="768"/>
    </row>
    <row r="172" spans="3:11" ht="16" x14ac:dyDescent="0.2">
      <c r="C172" s="503">
        <v>169</v>
      </c>
      <c r="D172" s="754" t="s">
        <v>2566</v>
      </c>
      <c r="E172" s="1370" t="s">
        <v>2594</v>
      </c>
      <c r="F172" s="510"/>
      <c r="G172" s="756"/>
      <c r="H172" s="762"/>
      <c r="I172" s="764"/>
      <c r="J172" s="766"/>
      <c r="K172" s="768"/>
    </row>
    <row r="173" spans="3:11" ht="16" x14ac:dyDescent="0.2">
      <c r="C173" s="503">
        <v>170</v>
      </c>
      <c r="D173" s="1369" t="s">
        <v>2595</v>
      </c>
      <c r="E173" s="1370" t="s">
        <v>2582</v>
      </c>
      <c r="F173" s="510"/>
      <c r="G173" s="756"/>
      <c r="H173" s="762"/>
      <c r="I173" s="764"/>
      <c r="J173" s="766"/>
      <c r="K173" s="768"/>
    </row>
    <row r="174" spans="3:11" ht="16" x14ac:dyDescent="0.2">
      <c r="C174" s="503">
        <v>171</v>
      </c>
      <c r="D174" s="754" t="s">
        <v>2050</v>
      </c>
      <c r="E174" s="1370" t="s">
        <v>2583</v>
      </c>
      <c r="F174" s="510"/>
      <c r="G174" s="756"/>
      <c r="H174" s="762"/>
      <c r="I174" s="764"/>
      <c r="J174" s="766"/>
      <c r="K174" s="768"/>
    </row>
    <row r="175" spans="3:11" ht="16" x14ac:dyDescent="0.2">
      <c r="C175" s="503">
        <v>172</v>
      </c>
      <c r="D175" s="754" t="s">
        <v>2051</v>
      </c>
      <c r="E175" s="1370" t="s">
        <v>2584</v>
      </c>
      <c r="F175" s="510"/>
      <c r="G175" s="756"/>
      <c r="H175" s="762"/>
      <c r="I175" s="764"/>
      <c r="J175" s="766"/>
      <c r="K175" s="768"/>
    </row>
    <row r="176" spans="3:11" ht="16" x14ac:dyDescent="0.2">
      <c r="C176" s="503">
        <v>173</v>
      </c>
      <c r="D176" s="754" t="s">
        <v>2052</v>
      </c>
      <c r="E176" s="1370" t="s">
        <v>2596</v>
      </c>
      <c r="F176" s="510"/>
      <c r="G176" s="756"/>
      <c r="H176" s="762"/>
      <c r="I176" s="764"/>
      <c r="J176" s="766"/>
      <c r="K176" s="768"/>
    </row>
    <row r="177" spans="3:11" ht="16" x14ac:dyDescent="0.2">
      <c r="C177" s="503">
        <v>174</v>
      </c>
      <c r="D177" s="754" t="s">
        <v>2053</v>
      </c>
      <c r="E177" s="1370" t="s">
        <v>2585</v>
      </c>
      <c r="F177" s="510"/>
      <c r="G177" s="756"/>
      <c r="H177" s="762"/>
      <c r="I177" s="764"/>
      <c r="J177" s="766"/>
      <c r="K177" s="768"/>
    </row>
    <row r="178" spans="3:11" ht="16" x14ac:dyDescent="0.2">
      <c r="C178" s="503">
        <v>175</v>
      </c>
      <c r="D178" s="754" t="s">
        <v>2054</v>
      </c>
      <c r="E178" s="1370" t="s">
        <v>2597</v>
      </c>
      <c r="F178" s="510"/>
      <c r="G178" s="756"/>
      <c r="H178" s="762"/>
      <c r="I178" s="764"/>
      <c r="J178" s="766"/>
      <c r="K178" s="768"/>
    </row>
    <row r="179" spans="3:11" ht="16" x14ac:dyDescent="0.2">
      <c r="C179" s="503">
        <v>176</v>
      </c>
      <c r="D179" s="754" t="s">
        <v>2055</v>
      </c>
      <c r="E179" s="1370" t="s">
        <v>2586</v>
      </c>
      <c r="F179" s="510"/>
      <c r="G179" s="756"/>
      <c r="H179" s="762"/>
      <c r="I179" s="764"/>
      <c r="J179" s="766"/>
      <c r="K179" s="768"/>
    </row>
    <row r="180" spans="3:11" ht="16" x14ac:dyDescent="0.2">
      <c r="C180" s="503">
        <v>177</v>
      </c>
      <c r="D180" s="754" t="s">
        <v>2056</v>
      </c>
      <c r="E180" s="1370" t="s">
        <v>2587</v>
      </c>
      <c r="F180" s="510"/>
      <c r="G180" s="756"/>
      <c r="H180" s="762"/>
      <c r="I180" s="764"/>
      <c r="J180" s="766"/>
      <c r="K180" s="768"/>
    </row>
    <row r="181" spans="3:11" ht="16" x14ac:dyDescent="0.2">
      <c r="C181" s="503">
        <v>178</v>
      </c>
      <c r="D181" s="754" t="s">
        <v>2057</v>
      </c>
      <c r="E181" s="1370" t="s">
        <v>2598</v>
      </c>
      <c r="F181" s="510"/>
      <c r="G181" s="756"/>
      <c r="H181" s="762"/>
      <c r="I181" s="764"/>
      <c r="J181" s="766"/>
      <c r="K181" s="768"/>
    </row>
    <row r="182" spans="3:11" ht="16" x14ac:dyDescent="0.2">
      <c r="C182" s="503">
        <v>179</v>
      </c>
      <c r="D182" s="754" t="s">
        <v>2058</v>
      </c>
      <c r="E182" s="1370" t="s">
        <v>2599</v>
      </c>
      <c r="F182" s="510"/>
      <c r="G182" s="756"/>
      <c r="H182" s="762"/>
      <c r="I182" s="764"/>
      <c r="J182" s="766"/>
      <c r="K182" s="768"/>
    </row>
    <row r="183" spans="3:11" ht="16" x14ac:dyDescent="0.2">
      <c r="C183" s="503">
        <v>180</v>
      </c>
      <c r="D183" s="754" t="s">
        <v>2059</v>
      </c>
      <c r="E183" s="1370" t="s">
        <v>2600</v>
      </c>
      <c r="F183" s="510"/>
      <c r="G183" s="756"/>
      <c r="H183" s="762"/>
      <c r="I183" s="764"/>
      <c r="J183" s="766"/>
      <c r="K183" s="768"/>
    </row>
    <row r="184" spans="3:11" ht="16" x14ac:dyDescent="0.2">
      <c r="C184" s="503">
        <v>181</v>
      </c>
      <c r="D184" s="754" t="s">
        <v>2060</v>
      </c>
      <c r="E184" s="1370" t="s">
        <v>2588</v>
      </c>
      <c r="F184" s="510"/>
      <c r="G184" s="756"/>
      <c r="H184" s="762"/>
      <c r="I184" s="764"/>
      <c r="J184" s="766"/>
      <c r="K184" s="768"/>
    </row>
    <row r="185" spans="3:11" ht="16" x14ac:dyDescent="0.2">
      <c r="C185" s="503">
        <v>182</v>
      </c>
      <c r="D185" s="754" t="s">
        <v>1993</v>
      </c>
      <c r="E185" s="1370" t="s">
        <v>2589</v>
      </c>
      <c r="F185" s="510"/>
      <c r="G185" s="756"/>
      <c r="H185" s="762"/>
      <c r="I185" s="764"/>
      <c r="J185" s="766"/>
      <c r="K185" s="768"/>
    </row>
    <row r="186" spans="3:11" ht="16" x14ac:dyDescent="0.2">
      <c r="C186" s="503">
        <v>183</v>
      </c>
      <c r="D186" s="754" t="s">
        <v>1995</v>
      </c>
      <c r="E186" s="1370" t="s">
        <v>2590</v>
      </c>
      <c r="F186" s="510"/>
      <c r="G186" s="756"/>
      <c r="H186" s="762"/>
      <c r="I186" s="764"/>
      <c r="J186" s="766"/>
      <c r="K186" s="768"/>
    </row>
    <row r="187" spans="3:11" ht="16" x14ac:dyDescent="0.2">
      <c r="C187" s="503">
        <v>184</v>
      </c>
      <c r="D187" s="754" t="s">
        <v>1996</v>
      </c>
      <c r="E187" s="1370" t="s">
        <v>2591</v>
      </c>
      <c r="F187" s="510"/>
      <c r="G187" s="756"/>
      <c r="H187" s="762"/>
      <c r="I187" s="764"/>
      <c r="J187" s="766"/>
      <c r="K187" s="768"/>
    </row>
    <row r="188" spans="3:11" ht="16" x14ac:dyDescent="0.2">
      <c r="C188" s="503">
        <v>185</v>
      </c>
      <c r="D188" s="754" t="s">
        <v>2001</v>
      </c>
      <c r="E188" s="1370" t="s">
        <v>2592</v>
      </c>
      <c r="F188" s="510"/>
      <c r="G188" s="756"/>
      <c r="H188" s="762"/>
      <c r="I188" s="764"/>
      <c r="J188" s="766"/>
      <c r="K188" s="768"/>
    </row>
    <row r="189" spans="3:11" ht="16" x14ac:dyDescent="0.2">
      <c r="C189" s="503">
        <v>186</v>
      </c>
      <c r="D189" s="1374" t="s">
        <v>2646</v>
      </c>
      <c r="E189" s="1378" t="s">
        <v>2647</v>
      </c>
      <c r="F189" s="510"/>
      <c r="G189" s="756"/>
      <c r="H189" s="762"/>
      <c r="I189" s="764"/>
      <c r="J189" s="766"/>
      <c r="K189" s="768"/>
    </row>
    <row r="190" spans="3:11" ht="16" x14ac:dyDescent="0.2">
      <c r="C190" s="503">
        <v>187</v>
      </c>
      <c r="D190" s="754" t="s">
        <v>2167</v>
      </c>
      <c r="E190" s="1370" t="s">
        <v>2601</v>
      </c>
      <c r="F190" s="510"/>
      <c r="G190" s="756"/>
      <c r="H190" s="762"/>
      <c r="I190" s="764"/>
      <c r="J190" s="766"/>
      <c r="K190" s="768"/>
    </row>
    <row r="191" spans="3:11" ht="16" x14ac:dyDescent="0.2">
      <c r="C191" s="503">
        <v>188</v>
      </c>
      <c r="D191" s="754" t="s">
        <v>2168</v>
      </c>
      <c r="E191" s="1370" t="s">
        <v>2602</v>
      </c>
      <c r="F191" s="510"/>
      <c r="G191" s="756"/>
      <c r="H191" s="762"/>
      <c r="I191" s="764"/>
      <c r="J191" s="766"/>
      <c r="K191" s="768"/>
    </row>
    <row r="192" spans="3:11" ht="16" x14ac:dyDescent="0.2">
      <c r="C192" s="503">
        <v>189</v>
      </c>
      <c r="D192" s="1369" t="s">
        <v>2608</v>
      </c>
      <c r="E192" s="1370" t="s">
        <v>2609</v>
      </c>
      <c r="F192" s="510"/>
      <c r="G192" s="756"/>
      <c r="H192" s="762"/>
      <c r="I192" s="764"/>
      <c r="J192" s="766"/>
      <c r="K192" s="768"/>
    </row>
    <row r="193" spans="3:11" ht="16" x14ac:dyDescent="0.2">
      <c r="C193" s="503">
        <v>190</v>
      </c>
      <c r="D193" s="754" t="s">
        <v>2452</v>
      </c>
      <c r="E193" s="1370" t="s">
        <v>2614</v>
      </c>
      <c r="F193" s="510"/>
      <c r="G193" s="756"/>
      <c r="H193" s="762"/>
      <c r="I193" s="764"/>
      <c r="J193" s="766"/>
      <c r="K193" s="768"/>
    </row>
    <row r="194" spans="3:11" ht="16" x14ac:dyDescent="0.2">
      <c r="C194" s="503">
        <v>191</v>
      </c>
      <c r="D194" s="1369" t="s">
        <v>2457</v>
      </c>
      <c r="E194" s="1370" t="s">
        <v>2615</v>
      </c>
      <c r="F194" s="510"/>
      <c r="G194" s="756"/>
      <c r="H194" s="762"/>
      <c r="I194" s="764"/>
      <c r="J194" s="766"/>
      <c r="K194" s="768"/>
    </row>
    <row r="195" spans="3:11" ht="16" x14ac:dyDescent="0.2">
      <c r="C195" s="503">
        <v>192</v>
      </c>
      <c r="D195" s="754" t="s">
        <v>2482</v>
      </c>
      <c r="E195" s="1370" t="s">
        <v>2616</v>
      </c>
      <c r="F195" s="510"/>
      <c r="G195" s="756"/>
      <c r="H195" s="762"/>
      <c r="I195" s="764"/>
      <c r="J195" s="766"/>
      <c r="K195" s="768"/>
    </row>
    <row r="196" spans="3:11" ht="16" x14ac:dyDescent="0.2">
      <c r="C196" s="503">
        <v>193</v>
      </c>
      <c r="D196" s="1369" t="s">
        <v>2481</v>
      </c>
      <c r="E196" s="1370" t="s">
        <v>2617</v>
      </c>
      <c r="F196" s="510"/>
      <c r="G196" s="756"/>
      <c r="H196" s="762"/>
      <c r="I196" s="764"/>
      <c r="J196" s="766"/>
      <c r="K196" s="768"/>
    </row>
    <row r="197" spans="3:11" ht="16" x14ac:dyDescent="0.2">
      <c r="C197" s="503">
        <v>194</v>
      </c>
      <c r="D197" s="754" t="s">
        <v>497</v>
      </c>
      <c r="E197" s="1370" t="s">
        <v>2612</v>
      </c>
      <c r="F197" s="510"/>
      <c r="G197" s="756"/>
      <c r="H197" s="762"/>
      <c r="I197" s="764"/>
      <c r="J197" s="766"/>
      <c r="K197" s="768"/>
    </row>
    <row r="198" spans="3:11" ht="16" x14ac:dyDescent="0.2">
      <c r="C198" s="503">
        <v>195</v>
      </c>
      <c r="D198" s="1369" t="s">
        <v>503</v>
      </c>
      <c r="E198" s="1370" t="s">
        <v>2613</v>
      </c>
      <c r="F198" s="510"/>
      <c r="G198" s="756"/>
      <c r="H198" s="762"/>
      <c r="I198" s="764"/>
      <c r="J198" s="766"/>
      <c r="K198" s="768"/>
    </row>
    <row r="199" spans="3:11" ht="16" x14ac:dyDescent="0.2">
      <c r="C199" s="503">
        <v>196</v>
      </c>
      <c r="D199" s="754" t="s">
        <v>2618</v>
      </c>
      <c r="E199" s="1370" t="s">
        <v>2620</v>
      </c>
      <c r="F199" s="510"/>
      <c r="G199" s="756"/>
      <c r="H199" s="762"/>
      <c r="I199" s="764"/>
      <c r="J199" s="766"/>
      <c r="K199" s="768"/>
    </row>
    <row r="200" spans="3:11" ht="16" x14ac:dyDescent="0.2">
      <c r="C200" s="503">
        <v>197</v>
      </c>
      <c r="D200" s="1369" t="s">
        <v>2619</v>
      </c>
      <c r="E200" s="1370" t="s">
        <v>2621</v>
      </c>
      <c r="F200" s="510"/>
      <c r="G200" s="756"/>
      <c r="H200" s="762"/>
      <c r="I200" s="764"/>
      <c r="J200" s="766"/>
      <c r="K200" s="768"/>
    </row>
    <row r="201" spans="3:11" ht="16" x14ac:dyDescent="0.2">
      <c r="C201" s="503">
        <v>198</v>
      </c>
      <c r="D201" s="1369" t="s">
        <v>2622</v>
      </c>
      <c r="E201" s="1370" t="s">
        <v>2623</v>
      </c>
      <c r="F201" s="510"/>
      <c r="G201" s="756"/>
      <c r="H201" s="762"/>
      <c r="I201" s="764"/>
      <c r="J201" s="766"/>
      <c r="K201" s="768"/>
    </row>
    <row r="202" spans="3:11" ht="16" x14ac:dyDescent="0.2">
      <c r="C202" s="503">
        <v>199</v>
      </c>
      <c r="D202" s="754" t="s">
        <v>2624</v>
      </c>
      <c r="E202" s="1370" t="s">
        <v>2625</v>
      </c>
      <c r="F202" s="510"/>
      <c r="G202" s="756"/>
      <c r="H202" s="762"/>
      <c r="I202" s="764"/>
      <c r="J202" s="766"/>
      <c r="K202" s="768"/>
    </row>
    <row r="203" spans="3:11" ht="16" x14ac:dyDescent="0.2">
      <c r="C203" s="503">
        <v>200</v>
      </c>
      <c r="D203" s="1369" t="s">
        <v>2626</v>
      </c>
      <c r="E203" s="1370" t="s">
        <v>2627</v>
      </c>
      <c r="F203" s="510"/>
      <c r="G203" s="756"/>
      <c r="H203" s="762"/>
      <c r="I203" s="764"/>
      <c r="J203" s="766"/>
      <c r="K203" s="768"/>
    </row>
    <row r="204" spans="3:11" ht="48" customHeight="1" x14ac:dyDescent="0.2">
      <c r="C204" s="503">
        <v>201</v>
      </c>
      <c r="D204" s="1376" t="s">
        <v>2629</v>
      </c>
      <c r="E204" s="1377" t="s">
        <v>2630</v>
      </c>
      <c r="F204" s="510"/>
      <c r="G204" s="756"/>
      <c r="H204" s="762"/>
      <c r="I204" s="764"/>
      <c r="J204" s="766"/>
      <c r="K204" s="768"/>
    </row>
    <row r="205" spans="3:11" ht="16" x14ac:dyDescent="0.2">
      <c r="C205" s="503">
        <v>202</v>
      </c>
      <c r="D205" s="1374" t="s">
        <v>2642</v>
      </c>
      <c r="E205" s="1378" t="s">
        <v>2639</v>
      </c>
      <c r="F205" s="510"/>
      <c r="G205" s="756"/>
      <c r="H205" s="762"/>
      <c r="I205" s="764"/>
      <c r="J205" s="766"/>
      <c r="K205" s="768"/>
    </row>
    <row r="206" spans="3:11" ht="32" x14ac:dyDescent="0.2">
      <c r="C206" s="503">
        <v>203</v>
      </c>
      <c r="D206" s="1392" t="s">
        <v>2652</v>
      </c>
      <c r="E206" s="1393" t="s">
        <v>2654</v>
      </c>
      <c r="F206" s="510"/>
      <c r="G206" s="756"/>
      <c r="H206" s="762"/>
      <c r="I206" s="764"/>
      <c r="J206" s="766"/>
      <c r="K206" s="768"/>
    </row>
    <row r="207" spans="3:11" ht="32" x14ac:dyDescent="0.2">
      <c r="C207" s="503">
        <v>204</v>
      </c>
      <c r="D207" s="1392" t="s">
        <v>2653</v>
      </c>
      <c r="E207" s="1393" t="s">
        <v>2655</v>
      </c>
      <c r="F207" s="510"/>
      <c r="G207" s="756"/>
      <c r="H207" s="762"/>
      <c r="I207" s="764"/>
      <c r="J207" s="766"/>
      <c r="K207" s="768"/>
    </row>
    <row r="208" spans="3:11" ht="32" x14ac:dyDescent="0.2">
      <c r="C208" s="503">
        <v>205</v>
      </c>
      <c r="D208" s="1392" t="s">
        <v>2651</v>
      </c>
      <c r="E208" s="1393" t="s">
        <v>2656</v>
      </c>
      <c r="F208" s="510"/>
      <c r="G208" s="756"/>
      <c r="H208" s="762"/>
      <c r="I208" s="764"/>
      <c r="J208" s="766"/>
      <c r="K208" s="768"/>
    </row>
    <row r="209" spans="3:11" ht="32" x14ac:dyDescent="0.2">
      <c r="C209" s="503">
        <v>206</v>
      </c>
      <c r="D209" s="1392" t="s">
        <v>2650</v>
      </c>
      <c r="E209" s="1393" t="s">
        <v>2657</v>
      </c>
      <c r="F209" s="510"/>
      <c r="G209" s="756"/>
      <c r="H209" s="762"/>
      <c r="I209" s="764"/>
      <c r="J209" s="766"/>
      <c r="K209" s="768"/>
    </row>
    <row r="210" spans="3:11" ht="16" x14ac:dyDescent="0.2">
      <c r="C210" s="503">
        <v>207</v>
      </c>
      <c r="D210" s="1374" t="s">
        <v>2643</v>
      </c>
      <c r="E210" s="1378" t="s">
        <v>2640</v>
      </c>
      <c r="F210" s="510"/>
      <c r="G210" s="756"/>
      <c r="H210" s="762"/>
      <c r="I210" s="764"/>
      <c r="J210" s="766"/>
      <c r="K210" s="768"/>
    </row>
    <row r="211" spans="3:11" ht="32" x14ac:dyDescent="0.2">
      <c r="C211" s="503">
        <v>208</v>
      </c>
      <c r="D211" s="1392" t="s">
        <v>2660</v>
      </c>
      <c r="E211" s="1393" t="s">
        <v>2658</v>
      </c>
      <c r="F211" s="510"/>
      <c r="G211" s="756"/>
      <c r="H211" s="762"/>
      <c r="I211" s="764"/>
      <c r="J211" s="766"/>
      <c r="K211" s="768"/>
    </row>
    <row r="212" spans="3:11" ht="32" x14ac:dyDescent="0.2">
      <c r="C212" s="503">
        <v>209</v>
      </c>
      <c r="D212" s="1392" t="s">
        <v>2661</v>
      </c>
      <c r="E212" s="1393" t="s">
        <v>2659</v>
      </c>
      <c r="F212" s="510"/>
      <c r="G212" s="756"/>
      <c r="H212" s="762"/>
      <c r="I212" s="764"/>
      <c r="J212" s="766"/>
      <c r="K212" s="768"/>
    </row>
    <row r="213" spans="3:11" ht="32" x14ac:dyDescent="0.2">
      <c r="C213" s="503">
        <v>210</v>
      </c>
      <c r="D213" s="1392" t="s">
        <v>2663</v>
      </c>
      <c r="E213" s="1393" t="s">
        <v>2664</v>
      </c>
      <c r="F213" s="510"/>
      <c r="G213" s="756"/>
      <c r="H213" s="762"/>
      <c r="I213" s="764"/>
      <c r="J213" s="766"/>
      <c r="K213" s="768"/>
    </row>
    <row r="214" spans="3:11" ht="32" x14ac:dyDescent="0.2">
      <c r="C214" s="503">
        <v>211</v>
      </c>
      <c r="D214" s="1392" t="s">
        <v>2662</v>
      </c>
      <c r="E214" s="1393" t="s">
        <v>2665</v>
      </c>
      <c r="F214" s="510"/>
      <c r="G214" s="756"/>
      <c r="H214" s="762"/>
      <c r="I214" s="764"/>
      <c r="J214" s="766"/>
      <c r="K214" s="768"/>
    </row>
    <row r="215" spans="3:11" ht="16" x14ac:dyDescent="0.2">
      <c r="C215" s="503">
        <v>212</v>
      </c>
      <c r="D215" s="1374" t="s">
        <v>224</v>
      </c>
      <c r="E215" s="1378" t="s">
        <v>2648</v>
      </c>
      <c r="F215" s="510"/>
      <c r="G215" s="756"/>
      <c r="H215" s="762"/>
      <c r="I215" s="764"/>
      <c r="J215" s="766"/>
      <c r="K215" s="768"/>
    </row>
    <row r="216" spans="3:11" x14ac:dyDescent="0.2">
      <c r="C216" s="503">
        <v>213</v>
      </c>
      <c r="D216" s="754"/>
      <c r="E216" s="755"/>
      <c r="F216" s="510"/>
      <c r="G216" s="756"/>
      <c r="H216" s="762"/>
      <c r="I216" s="764"/>
      <c r="J216" s="766"/>
      <c r="K216" s="768"/>
    </row>
    <row r="217" spans="3:11" x14ac:dyDescent="0.2">
      <c r="C217" s="503">
        <v>214</v>
      </c>
      <c r="D217" s="754"/>
      <c r="E217" s="755"/>
      <c r="F217" s="510"/>
      <c r="G217" s="756"/>
      <c r="H217" s="762"/>
      <c r="I217" s="764"/>
      <c r="J217" s="766"/>
      <c r="K217" s="768"/>
    </row>
    <row r="218" spans="3:11" x14ac:dyDescent="0.2">
      <c r="C218" s="503">
        <v>215</v>
      </c>
      <c r="D218" s="754"/>
      <c r="E218" s="755"/>
      <c r="F218" s="510"/>
      <c r="G218" s="756"/>
      <c r="H218" s="762"/>
      <c r="I218" s="764"/>
      <c r="J218" s="766"/>
      <c r="K218" s="768"/>
    </row>
    <row r="219" spans="3:11" x14ac:dyDescent="0.2">
      <c r="C219" s="503">
        <v>216</v>
      </c>
      <c r="D219" s="754"/>
      <c r="E219" s="755"/>
      <c r="F219" s="510"/>
      <c r="G219" s="756"/>
      <c r="H219" s="762"/>
      <c r="I219" s="764"/>
      <c r="J219" s="766"/>
      <c r="K219" s="768"/>
    </row>
    <row r="220" spans="3:11" x14ac:dyDescent="0.2">
      <c r="C220" s="503">
        <v>217</v>
      </c>
      <c r="D220" s="754"/>
      <c r="E220" s="755"/>
      <c r="F220" s="510"/>
      <c r="G220" s="756"/>
      <c r="H220" s="762"/>
      <c r="I220" s="764"/>
      <c r="J220" s="766"/>
      <c r="K220" s="768"/>
    </row>
    <row r="221" spans="3:11" x14ac:dyDescent="0.2">
      <c r="C221" s="503">
        <v>218</v>
      </c>
      <c r="D221" s="754"/>
      <c r="E221" s="755"/>
      <c r="F221" s="510"/>
      <c r="G221" s="756"/>
      <c r="H221" s="762"/>
      <c r="I221" s="764"/>
      <c r="J221" s="766"/>
      <c r="K221" s="768"/>
    </row>
    <row r="222" spans="3:11" x14ac:dyDescent="0.2">
      <c r="C222" s="503">
        <v>219</v>
      </c>
      <c r="D222" s="754"/>
      <c r="E222" s="755"/>
      <c r="F222" s="510"/>
      <c r="G222" s="756"/>
      <c r="H222" s="762"/>
      <c r="I222" s="764"/>
      <c r="J222" s="766"/>
      <c r="K222" s="768"/>
    </row>
    <row r="223" spans="3:11" x14ac:dyDescent="0.2">
      <c r="C223" s="503">
        <v>220</v>
      </c>
      <c r="D223" s="754"/>
      <c r="E223" s="755"/>
      <c r="F223" s="510"/>
      <c r="G223" s="756"/>
      <c r="H223" s="762"/>
      <c r="I223" s="764"/>
      <c r="J223" s="766"/>
      <c r="K223" s="768"/>
    </row>
    <row r="224" spans="3:11" x14ac:dyDescent="0.2">
      <c r="C224" s="503">
        <v>221</v>
      </c>
      <c r="D224" s="754"/>
      <c r="E224" s="755"/>
      <c r="F224" s="510"/>
      <c r="G224" s="756"/>
      <c r="H224" s="762"/>
      <c r="I224" s="764"/>
      <c r="J224" s="766"/>
      <c r="K224" s="768"/>
    </row>
    <row r="225" spans="3:11" x14ac:dyDescent="0.2">
      <c r="C225" s="503">
        <v>222</v>
      </c>
      <c r="D225" s="754"/>
      <c r="E225" s="755"/>
      <c r="F225" s="510"/>
      <c r="G225" s="756"/>
      <c r="H225" s="762"/>
      <c r="I225" s="764"/>
      <c r="J225" s="766"/>
      <c r="K225" s="7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4"/>
  <sheetViews>
    <sheetView topLeftCell="A39" zoomScale="85" zoomScaleNormal="85" workbookViewId="0">
      <selection activeCell="B126" sqref="B126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0.5" customWidth="1"/>
    <col min="25" max="25" width="8" customWidth="1"/>
    <col min="26" max="28" width="7" customWidth="1"/>
    <col min="29" max="29" width="8.5" customWidth="1"/>
    <col min="30" max="55" width="7" customWidth="1"/>
    <col min="90" max="90" width="23.16406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" thickBot="1" x14ac:dyDescent="0.2">
      <c r="C5" t="s">
        <v>116</v>
      </c>
      <c r="W5" s="486">
        <v>2</v>
      </c>
      <c r="AC5" s="486">
        <f>Kirjasto!B4</f>
        <v>1</v>
      </c>
      <c r="AD5" t="s">
        <v>1159</v>
      </c>
      <c r="AI5" t="s">
        <v>1168</v>
      </c>
      <c r="AK5" t="str">
        <f>IF($AC$7,Kirjasto!M7,Kirjasto!M6)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" thickBot="1" x14ac:dyDescent="0.2">
      <c r="C6" s="302">
        <f>W7</f>
        <v>2</v>
      </c>
      <c r="D6" t="s">
        <v>612</v>
      </c>
      <c r="W6" t="s">
        <v>613</v>
      </c>
      <c r="AI6" t="s">
        <v>1169</v>
      </c>
      <c r="AK6" t="str">
        <f>IF(AC7,Kirjasto!M6,Kirjasto!M7)</f>
        <v>Ilman tilavuusvirta [dm³/s]</v>
      </c>
      <c r="BD6" t="s">
        <v>183</v>
      </c>
      <c r="DG6" s="12"/>
      <c r="DK6" s="24"/>
    </row>
    <row r="7" spans="2:115" x14ac:dyDescent="0.15">
      <c r="W7" s="486" cm="1">
        <f t="array" ref="W7">INDEX(Y12:Y17,W5)</f>
        <v>2</v>
      </c>
      <c r="AC7" s="486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6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60'!AA4,IF($C$6=2,'Laskenta tulopuoli 100'!AA4,IF($C$6=3,'Laskenta tulopuoli 150'!AA4,IF($C$6=4,'Laskenta tulopuoli 250'!AA4,IF($C$6=5,'Laskenta tulopuoli 350'!AA4,'Laskenta tulopuoli 130'!AA4)))))</f>
        <v>10 V</v>
      </c>
      <c r="D10" s="24"/>
      <c r="E10" s="305" t="str">
        <f>IF($C$6=1,'Laskenta tulopuoli 60'!AC4,IF($C$6=2,'Laskenta tulopuoli 100'!AC4,IF($C$6=3,'Laskenta tulopuoli 150'!AC4,IF($C$6=4,'Laskenta tulopuoli 250'!AC4,IF($C$6=5,'Laskenta tulopuoli 350'!AC4,'Laskenta tulopuoli 130'!AC4)))))</f>
        <v>6,5 V</v>
      </c>
      <c r="F10" s="24"/>
      <c r="G10" s="305" t="str">
        <f>IF($C$6=1,'Laskenta tulopuoli 60'!AE4,IF($C$6=2,'Laskenta tulopuoli 100'!AE4,IF($C$6=3,'Laskenta tulopuoli 150'!AE4,IF($C$6=4,'Laskenta tulopuoli 250'!AE4,IF($C$6=5,'Laskenta tulopuoli 350'!AE4,'Laskenta tulopuoli 130'!AE4)))))</f>
        <v>5 V</v>
      </c>
      <c r="H10" s="24"/>
      <c r="I10" s="305" t="str">
        <f>IF($C$6=1,'Laskenta tulopuoli 60'!AG4,IF($C$6=2,'Laskenta tulopuoli 100'!AG4,IF($C$6=3,'Laskenta tulopuoli 150'!AG4,IF($C$6=4,'Laskenta tulopuoli 250'!AG4,IF($C$6=5,'Laskenta tulopuoli 350'!AG4,'Laskenta tulopuoli 130'!AG4)))))</f>
        <v>3 V</v>
      </c>
      <c r="J10" s="364"/>
      <c r="N10" s="304" t="str">
        <f>IF($C$6=1,'Laskenta poistopuoli 60'!AA4,IF($C$6=2,'Laskenta poistopuoli 100'!AA4,IF($C$6=3,'Laskenta poistopuoli 150'!AA4,IF($C$6=4,'Laskenta poistopuoli 250'!AA4,IF($C$6=5,'Laskenta poistopuoli 350'!AA4,'Laskenta poistopuoli 130'!AA4)))))</f>
        <v>10 V</v>
      </c>
      <c r="O10" s="24"/>
      <c r="P10" s="305" t="str">
        <f>IF($C$6=1,'Laskenta poistopuoli 60'!AC4,IF($C$6=2,'Laskenta poistopuoli 100'!AC4,IF($C$6=3,'Laskenta poistopuoli 150'!AC4,IF($C$6=4,'Laskenta poistopuoli 250'!AC4,IF($C$6=5,'Laskenta poistopuoli 350'!AC4,'Laskenta poistopuoli 130'!AC4)))))</f>
        <v>6,5 V</v>
      </c>
      <c r="Q10" s="24"/>
      <c r="R10" s="305" t="str">
        <f>IF($C$6=1,'Laskenta poistopuoli 60'!AE4,IF($C$6=2,'Laskenta poistopuoli 100'!AE4,IF($C$6=3,'Laskenta poistopuoli 150'!AE4,IF($C$6=4,'Laskenta poistopuoli 250'!AE4,IF($C$6=5,'Laskenta poistopuoli 350'!AE4,'Laskenta poistopuoli 130'!AE4)))))</f>
        <v>5 V</v>
      </c>
      <c r="S10" s="24"/>
      <c r="T10" s="305" t="str">
        <f>IF($C$6=1,'Laskenta poistopuoli 60'!AG4,IF($C$6=2,'Laskenta poistopuoli 100'!AG4,IF($C$6=3,'Laskenta poistopuoli 150'!AG4,IF($C$6=4,'Laskenta poistopuoli 250'!AG4,IF($C$6=5,'Laskenta poistopuoli 350'!AG4,'Laskenta poistopuoli 130'!AG4)))))</f>
        <v>3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6,5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6,5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2.9990019714750661E-2</v>
      </c>
      <c r="DA10" s="95" t="s">
        <v>1152</v>
      </c>
      <c r="DB10" s="279">
        <f>IF($AC$7,CX10,CX10*3.6)</f>
        <v>1</v>
      </c>
      <c r="DC10" s="279">
        <f>CY10</f>
        <v>2.9990019714750661E-2</v>
      </c>
      <c r="DG10" s="458">
        <v>17</v>
      </c>
      <c r="DH10" s="4">
        <v>21</v>
      </c>
      <c r="DJ10" s="742">
        <f>IF($DG$4,DG10,DH10)</f>
        <v>17</v>
      </c>
      <c r="DK10" s="153">
        <f>DJ10</f>
        <v>17</v>
      </c>
    </row>
    <row r="11" spans="2:115" ht="14" thickBot="1" x14ac:dyDescent="0.2">
      <c r="B11" s="596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m³/h</v>
      </c>
      <c r="N11" s="306" t="str">
        <f>IF($C$6=1,'Laskenta poistopuoli 60'!AA5,IF($C$6=2,'Laskenta poistopuoli 100'!AA5,IF($C$6=3,'Laskenta poistopuoli 150'!AA5,'Laskenta poistopuoli 350'!AA5)))</f>
        <v>Pa</v>
      </c>
      <c r="O11" s="464" t="str">
        <f>IF($C$6=1,'Laskenta poistopuoli 60'!AB5,IF($C$6=2,'Laskenta poistopuoli 100'!AB5,'Laskenta poistopuoli 150'!AB5))</f>
        <v>l/s</v>
      </c>
      <c r="P11" s="307" t="str">
        <f>IF($C$6=1,'Laskenta poistopuoli 60'!AC5,IF($C$6=2,'Laskenta poistopuoli 100'!AC5,IF($C$6=3,'Laskenta poistopuoli 150'!AC5,'Laskenta poistopuoli 350'!AC5)))</f>
        <v>Pa</v>
      </c>
      <c r="Q11" s="464" t="str">
        <f>IF($C$6=1,'Laskenta poistopuoli 60'!AD5,IF($C$6=2,'Laskenta poistopuoli 100'!AD5,'Laskenta poistopuoli 150'!AD5))</f>
        <v>l/s</v>
      </c>
      <c r="R11" s="307" t="str">
        <f>IF($C$6=1,'Laskenta poistopuoli 60'!AE5,IF($C$6=2,'Laskenta poistopuoli 100'!AE5,IF($C$6=3,'Laskenta poistopuoli 150'!AE5,'Laskenta poistopuoli 350'!AE5)))</f>
        <v>Pa</v>
      </c>
      <c r="S11" s="464" t="str">
        <f>IF($C$6=1,'Laskenta poistopuoli 60'!AF5,IF($C$6=2,'Laskenta poistopuoli 100'!AF5,'Laskenta poistopuoli 150'!AF5))</f>
        <v>l/s</v>
      </c>
      <c r="T11" s="307" t="str">
        <f>IF($C$6=1,'Laskenta poistopuoli 60'!AG5,IF($C$6=2,'Laskenta poistopuoli 100'!AG5,IF($C$6=3,'Laskenta poistopuoli 150'!AG5,'Laskenta poistopuoli 350'!AG5)))</f>
        <v>Pa</v>
      </c>
      <c r="U11" s="239" t="str">
        <f>IF($C$6=1,'Laskenta poistopuoli 60'!AH5,IF($C$6=2,'Laskenta poistopuoli 100'!AH5,'Laskenta poistopuoli 150'!AH5))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4" t="str">
        <f>AC10</f>
        <v>dm³/s</v>
      </c>
      <c r="AK11" s="307" t="str">
        <f t="shared" ref="AK11:AO18" si="0">E11</f>
        <v>Pa</v>
      </c>
      <c r="AL11" s="464" t="str">
        <f>AC10</f>
        <v>dm³/s</v>
      </c>
      <c r="AM11" s="307" t="str">
        <f t="shared" si="0"/>
        <v>Pa</v>
      </c>
      <c r="AN11" s="464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4" t="str">
        <f>$AC$10</f>
        <v>dm³/s</v>
      </c>
      <c r="AT11" s="307" t="str">
        <f t="shared" ref="AT11:AX18" si="1">P11</f>
        <v>Pa</v>
      </c>
      <c r="AU11" s="464" t="str">
        <f>$AC$10</f>
        <v>dm³/s</v>
      </c>
      <c r="AV11" s="307" t="str">
        <f t="shared" si="1"/>
        <v>Pa</v>
      </c>
      <c r="AW11" s="464" t="str">
        <f>$AC$10</f>
        <v>dm³/s</v>
      </c>
      <c r="AX11" s="307" t="str">
        <f t="shared" si="1"/>
        <v>Pa</v>
      </c>
      <c r="AY11" s="239" t="str">
        <f>$AC$10</f>
        <v>dm³/s</v>
      </c>
      <c r="CR11" s="620">
        <f>'R-series'!M40</f>
        <v>0.2</v>
      </c>
      <c r="CW11" s="95" t="s">
        <v>1150</v>
      </c>
      <c r="CX11" s="279">
        <f>'R-series'!E33</f>
        <v>45.1</v>
      </c>
      <c r="CY11" s="344">
        <f>'R-series'!E39</f>
        <v>61</v>
      </c>
      <c r="DA11" s="95" t="s">
        <v>1150</v>
      </c>
      <c r="DB11" s="279">
        <f t="shared" ref="DB11:DB12" si="2">IF($AC$7,CX11,CX11*3.6)</f>
        <v>45.1</v>
      </c>
      <c r="DC11" s="279">
        <f t="shared" ref="DC11:DC12" si="3">CY11</f>
        <v>61</v>
      </c>
      <c r="DG11" s="458">
        <v>18</v>
      </c>
      <c r="DH11" s="4">
        <v>22</v>
      </c>
      <c r="DJ11" s="742">
        <f t="shared" ref="DJ11:DJ14" si="4">IF($DG$4,DG11,DH11)</f>
        <v>18</v>
      </c>
      <c r="DK11" s="153">
        <f t="shared" ref="DK11:DK14" si="5">DJ11</f>
        <v>18</v>
      </c>
    </row>
    <row r="12" spans="2:115" x14ac:dyDescent="0.15">
      <c r="B12" s="597">
        <f>IF($AC$7,D12*3.6,D12)</f>
        <v>380.0157255100824</v>
      </c>
      <c r="C12" s="304">
        <f>IF($C$6=1,'Laskenta tulopuoli 60'!AA6,IF($C$6=2,'Laskenta tulopuoli 100'!AA6,IF($C$6=3,'Laskenta tulopuoli 150'!AA6,IF($C$6=4,'Laskenta tulopuoli 250'!AA6,IF($C$6=5,'Laskenta tulopuoli 350'!AA6,'Laskenta tulopuoli 130'!AA6)))))</f>
        <v>25</v>
      </c>
      <c r="D12" s="465">
        <f>IF($C$6=1,'Laskenta tulopuoli 60'!$AB$6,IF($C$6=2,'Laskenta tulopuoli 100'!$AB$6,IF($C$6=3,'Laskenta tulopuoli 150'!$AB$6,IF($C$6=4,'Laskenta tulopuoli 250'!$AB$6,IF($C$6=5,'Laskenta tulopuoli 350'!$AB$6,'Laskenta tulopuoli 130'!$AB$6)))))</f>
        <v>105.55992375280067</v>
      </c>
      <c r="E12" s="305">
        <f>IF($C$6=1,'Laskenta tulopuoli 60'!AC6,IF($C$6=2,'Laskenta tulopuoli 100'!AC6,IF($C$6=3,'Laskenta tulopuoli 150'!AC6,IF($C$6=4,'Laskenta tulopuoli 250'!AC6,IF($C$6=5,'Laskenta tulopuoli 350'!AC6,'Laskenta tulopuoli 130'!AC6)))))</f>
        <v>20</v>
      </c>
      <c r="F12" s="465">
        <f>IF($C$6=1,'Laskenta tulopuoli 60'!AD6,IF($C$6=2,'Laskenta tulopuoli 100'!AD6,IF($C$6=3,'Laskenta tulopuoli 150'!AD6,IF($C$6=4,'Laskenta tulopuoli 250'!AD6,IF($C$6=5,'Laskenta tulopuoli 350'!AD6,'Laskenta tulopuoli 130'!AD6)))))</f>
        <v>80.704641716435873</v>
      </c>
      <c r="G12" s="305">
        <f>IF($C$6=1,'Laskenta tulopuoli 60'!AE6,IF($C$6=2,'Laskenta tulopuoli 100'!AE6,IF($C$6=3,'Laskenta tulopuoli 150'!AE6,IF($C$6=4,'Laskenta tulopuoli 250'!AE6,IF($C$6=5,'Laskenta tulopuoli 350'!AE6,'Laskenta tulopuoli 130'!AE6)))))</f>
        <v>10</v>
      </c>
      <c r="H12" s="465">
        <f>IF($C$6=1,'Laskenta tulopuoli 60'!AF6,IF($C$6=2,'Laskenta tulopuoli 100'!AF6,IF($C$6=3,'Laskenta tulopuoli 150'!AF6,IF($C$6=4,'Laskenta tulopuoli 250'!AF6,IF($C$6=5,'Laskenta tulopuoli 350'!AF6,'Laskenta tulopuoli 130'!AF6)))))</f>
        <v>54.339001915022031</v>
      </c>
      <c r="I12" s="305">
        <f>IF($C$6=1,'Laskenta tulopuoli 60'!AG6,IF($C$6=2,'Laskenta tulopuoli 100'!AG6,IF($C$6=3,'Laskenta tulopuoli 150'!AG6,IF($C$6=4,'Laskenta tulopuoli 250'!AG6,IF($C$6=5,'Laskenta tulopuoli 350'!AG6,'Laskenta tulopuoli 130'!AG6)))))</f>
        <v>10</v>
      </c>
      <c r="J12" s="462">
        <f>IF($C$6=1,'Laskenta tulopuoli 60'!AH6,IF($C$6=2,'Laskenta tulopuoli 100'!AH6,IF($C$6=3,'Laskenta tulopuoli 150'!AH6,IF($C$6=4,'Laskenta tulopuoli 250'!AH6,IF($C$6=5,'Laskenta tulopuoli 350'!AH6,'Laskenta tulopuoli 130'!AH6)))))</f>
        <v>20.411043893478237</v>
      </c>
      <c r="M12" s="597">
        <f>IF($AC$7,O12*3.6,O12)</f>
        <v>416.44370576797638</v>
      </c>
      <c r="N12" s="304">
        <f>IF($C$6=1,'Laskenta poistopuoli 60'!AA6,IF($C$6=2,'Laskenta poistopuoli 100'!AA6,IF($C$6=3,'Laskenta poistopuoli 150'!AA6,IF($C$6=4,'Laskenta poistopuoli 250'!AA6,IF($C$6=5,'Laskenta poistopuoli 350'!AA6,'Laskenta poistopuoli 130'!AA6)))))</f>
        <v>25</v>
      </c>
      <c r="O12" s="465">
        <f>IF($C$6=1,'Laskenta poistopuoli 60'!AB6,IF($C$6=2,'Laskenta poistopuoli 100'!AB6,IF($C$6=3,'Laskenta poistopuoli 150'!AB6,IF($C$6=4,'Laskenta poistopuoli 250'!AB6,IF($C$6=5,'Laskenta poistopuoli 350'!AB6,'Laskenta poistopuoli 130'!AB6)))))</f>
        <v>115.67880715777122</v>
      </c>
      <c r="P12" s="305">
        <f>IF($C$6=1,'Laskenta poistopuoli 60'!AC6,IF($C$6=2,'Laskenta poistopuoli 100'!AC6,IF($C$6=3,'Laskenta poistopuoli 150'!AC6,IF($C$6=4,'Laskenta poistopuoli 250'!AC6,IF($C$6=5,'Laskenta poistopuoli 350'!AC6,'Laskenta poistopuoli 130'!AC6)))))</f>
        <v>20</v>
      </c>
      <c r="Q12" s="465">
        <f>IF($C$6=1,'Laskenta poistopuoli 60'!AD6,IF($C$6=2,'Laskenta poistopuoli 100'!AD6,IF($C$6=3,'Laskenta poistopuoli 150'!AD6,IF($C$6=4,'Laskenta poistopuoli 250'!AD6,IF($C$6=5,'Laskenta poistopuoli 350'!AD6,'Laskenta poistopuoli 130'!AD6)))))</f>
        <v>91.988373586551461</v>
      </c>
      <c r="R12" s="305">
        <f>IF($C$6=1,'Laskenta poistopuoli 60'!AE6,IF($C$6=2,'Laskenta poistopuoli 100'!AE6,IF($C$6=3,'Laskenta poistopuoli 150'!AE6,IF($C$6=4,'Laskenta poistopuoli 250'!AE6,IF($C$6=5,'Laskenta poistopuoli 350'!AE6,'Laskenta poistopuoli 130'!AE6)))))</f>
        <v>15</v>
      </c>
      <c r="S12" s="465">
        <f>IF($C$6=1,'Laskenta poistopuoli 60'!AF6,IF($C$6=2,'Laskenta poistopuoli 100'!AF6,IF($C$6=3,'Laskenta poistopuoli 150'!AF6,IF($C$6=4,'Laskenta poistopuoli 250'!AF6,IF($C$6=5,'Laskenta poistopuoli 350'!AF6,'Laskenta poistopuoli 130'!AF6)))))</f>
        <v>63.494874015749062</v>
      </c>
      <c r="T12" s="305">
        <f>IF($C$6=1,'Laskenta poistopuoli 60'!AG6,IF($C$6=2,'Laskenta poistopuoli 100'!AG6,IF($C$6=3,'Laskenta poistopuoli 150'!AG6,IF($C$6=4,'Laskenta poistopuoli 250'!AG6,IF($C$6=5,'Laskenta poistopuoli 350'!AG6,'Laskenta poistopuoli 130'!AG6)))))</f>
        <v>10</v>
      </c>
      <c r="U12" s="462">
        <f>IF($C$6=1,'Laskenta poistopuoli 60'!AH6,IF($C$6=2,'Laskenta poistopuoli 100'!AH6,IF($C$6=3,'Laskenta poistopuoli 150'!AH6,IF($C$6=4,'Laskenta poistopuoli 250'!AH6,IF($C$6=5,'Laskenta poistopuoli 350'!AH6,'Laskenta poistopuoli 130'!AH6)))))</f>
        <v>29.670491870313402</v>
      </c>
      <c r="W12" s="485">
        <v>1</v>
      </c>
      <c r="X12" s="485" t="s">
        <v>115</v>
      </c>
      <c r="Y12" s="485">
        <v>1</v>
      </c>
      <c r="AI12" s="304">
        <f>C12</f>
        <v>25</v>
      </c>
      <c r="AJ12" s="465">
        <f>IF($AC$7,D12,D12*3.6)</f>
        <v>105.55992375280067</v>
      </c>
      <c r="AK12" s="305">
        <f t="shared" si="0"/>
        <v>20</v>
      </c>
      <c r="AL12" s="465">
        <f>IF($AC$7,F12,F12*3.6)</f>
        <v>80.704641716435873</v>
      </c>
      <c r="AM12" s="305">
        <f t="shared" si="0"/>
        <v>10</v>
      </c>
      <c r="AN12" s="465">
        <f>IF($AC$7,H12,H12*3.6)</f>
        <v>54.339001915022031</v>
      </c>
      <c r="AO12" s="305">
        <f t="shared" si="0"/>
        <v>10</v>
      </c>
      <c r="AP12" s="462">
        <f>IF($AC$7,J12,J12*3.6)</f>
        <v>20.411043893478237</v>
      </c>
      <c r="AR12" s="304">
        <f>N12</f>
        <v>25</v>
      </c>
      <c r="AS12" s="465">
        <f>IF($AC$7,O12,O12*3.6)</f>
        <v>115.67880715777122</v>
      </c>
      <c r="AT12" s="305">
        <f t="shared" si="1"/>
        <v>20</v>
      </c>
      <c r="AU12" s="465">
        <f>IF($AC$7,Q12,Q12*3.6)</f>
        <v>91.988373586551461</v>
      </c>
      <c r="AV12" s="305">
        <f t="shared" si="1"/>
        <v>15</v>
      </c>
      <c r="AW12" s="465">
        <f>IF($AC$7,S12,S12*3.6)</f>
        <v>63.494874015749062</v>
      </c>
      <c r="AX12" s="305">
        <f t="shared" si="1"/>
        <v>10</v>
      </c>
      <c r="AY12" s="462">
        <f>IF($AC$7,U12,U12*3.6)</f>
        <v>29.670491870313402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54.12</v>
      </c>
      <c r="CY12" s="279">
        <f>CR17</f>
        <v>87.839999999999975</v>
      </c>
      <c r="DA12" s="95" t="s">
        <v>1151</v>
      </c>
      <c r="DB12" s="279">
        <f t="shared" si="2"/>
        <v>54.12</v>
      </c>
      <c r="DC12" s="279">
        <f t="shared" si="3"/>
        <v>87.839999999999975</v>
      </c>
      <c r="DG12" s="458">
        <v>19</v>
      </c>
      <c r="DH12" s="4">
        <v>23</v>
      </c>
      <c r="DJ12" s="742">
        <f t="shared" si="4"/>
        <v>19</v>
      </c>
      <c r="DK12" s="153">
        <f t="shared" si="5"/>
        <v>19</v>
      </c>
    </row>
    <row r="13" spans="2:115" x14ac:dyDescent="0.15">
      <c r="B13" s="597">
        <f t="shared" ref="B13:B18" si="6">IF($AC$7,D13*3.6,D13)</f>
        <v>328.80270539028169</v>
      </c>
      <c r="C13" s="304">
        <f>IF($C$6=1,'Laskenta tulopuoli 60'!AA7,IF($C$6=2,'Laskenta tulopuoli 100'!AA7,IF($C$6=3,'Laskenta tulopuoli 150'!AA7,IF($C$6=4,'Laskenta tulopuoli 250'!AA7,IF($C$6=5,'Laskenta tulopuoli 350'!AA7,'Laskenta tulopuoli 130'!AA7)))))</f>
        <v>120</v>
      </c>
      <c r="D13" s="465">
        <f>IF($C$6=1,'Laskenta tulopuoli 60'!$AB$7,IF($C$6=2,'Laskenta tulopuoli 100'!$AB$7,IF($C$6=3,'Laskenta tulopuoli 150'!$AB$7,IF($C$6=4,'Laskenta tulopuoli 250'!$AB$7,IF($C$6=5,'Laskenta tulopuoli 350'!$AB$7,'Laskenta tulopuoli 130'!$AB$7)))))</f>
        <v>91.334084830633799</v>
      </c>
      <c r="E13" s="305">
        <f>IF($C$6=1,'Laskenta tulopuoli 60'!AC7,IF($C$6=2,'Laskenta tulopuoli 100'!AC7,IF($C$6=3,'Laskenta tulopuoli 150'!AC7,IF($C$6=4,'Laskenta tulopuoli 250'!AC7,IF($C$6=5,'Laskenta tulopuoli 350'!AC7,'Laskenta tulopuoli 130'!AC7)))))</f>
        <v>50</v>
      </c>
      <c r="F13" s="465">
        <f>IF($C$6=1,'Laskenta tulopuoli 60'!AD7,IF($C$6=2,'Laskenta tulopuoli 100'!AD7,IF($C$6=3,'Laskenta tulopuoli 150'!AD7,IF($C$6=4,'Laskenta tulopuoli 250'!AD7,IF($C$6=5,'Laskenta tulopuoli 350'!AD7,'Laskenta tulopuoli 130'!AD7)))))</f>
        <v>73.838694391688321</v>
      </c>
      <c r="G13" s="305">
        <f>IF($C$6=1,'Laskenta tulopuoli 60'!AE7,IF($C$6=2,'Laskenta tulopuoli 100'!AE7,IF($C$6=3,'Laskenta tulopuoli 150'!AE7,IF($C$6=4,'Laskenta tulopuoli 250'!AE7,IF($C$6=5,'Laskenta tulopuoli 350'!AE7,'Laskenta tulopuoli 130'!AE7)))))</f>
        <v>40</v>
      </c>
      <c r="H13" s="465">
        <f>IF($C$6=1,'Laskenta tulopuoli 60'!AF7,IF($C$6=2,'Laskenta tulopuoli 100'!AF7,IF($C$6=3,'Laskenta tulopuoli 150'!AF7,IF($C$6=4,'Laskenta tulopuoli 250'!AF7,IF($C$6=5,'Laskenta tulopuoli 350'!AF7,'Laskenta tulopuoli 130'!AF7)))))</f>
        <v>44.807769064929076</v>
      </c>
      <c r="I13" s="305">
        <f>IF($C$6=1,'Laskenta tulopuoli 60'!AG7,IF($C$6=2,'Laskenta tulopuoli 100'!AG7,IF($C$6=3,'Laskenta tulopuoli 150'!AG7,IF($C$6=4,'Laskenta tulopuoli 250'!AG7,IF($C$6=5,'Laskenta tulopuoli 350'!AG7,'Laskenta tulopuoli 130'!AG7)))))</f>
        <v>20</v>
      </c>
      <c r="J13" s="462">
        <f>IF($C$6=1,'Laskenta tulopuoli 60'!AH7,IF($C$6=2,'Laskenta tulopuoli 100'!AH7,IF($C$6=3,'Laskenta tulopuoli 150'!AH7,IF($C$6=4,'Laskenta tulopuoli 250'!AH7,IF($C$6=5,'Laskenta tulopuoli 350'!AH7,'Laskenta tulopuoli 130'!AH7)))))</f>
        <v>15.414623288200497</v>
      </c>
      <c r="M13" s="597">
        <f t="shared" ref="M13:M18" si="7">IF($AC$7,O13*3.6,O13)</f>
        <v>372.5784765343725</v>
      </c>
      <c r="N13" s="304">
        <f>IF($C$6=1,'Laskenta poistopuoli 60'!AA7,IF($C$6=2,'Laskenta poistopuoli 100'!AA7,IF($C$6=3,'Laskenta poistopuoli 150'!AA7,IF($C$6=4,'Laskenta poistopuoli 250'!AA7,IF($C$6=5,'Laskenta poistopuoli 350'!AA7,'Laskenta poistopuoli 130'!AA7)))))</f>
        <v>120</v>
      </c>
      <c r="O13" s="465">
        <f>IF($C$6=1,'Laskenta poistopuoli 60'!AB7,IF($C$6=2,'Laskenta poistopuoli 100'!AB7,IF($C$6=3,'Laskenta poistopuoli 150'!AB7,IF($C$6=4,'Laskenta poistopuoli 250'!AB7,IF($C$6=5,'Laskenta poistopuoli 350'!AB7,'Laskenta poistopuoli 130'!AB7)))))</f>
        <v>103.49402125954791</v>
      </c>
      <c r="P13" s="305">
        <f>IF($C$6=1,'Laskenta poistopuoli 60'!AC7,IF($C$6=2,'Laskenta poistopuoli 100'!AC7,IF($C$6=3,'Laskenta poistopuoli 150'!AC7,IF($C$6=4,'Laskenta poistopuoli 250'!AC7,IF($C$6=5,'Laskenta poistopuoli 350'!AC7,'Laskenta poistopuoli 130'!AC7)))))</f>
        <v>50</v>
      </c>
      <c r="Q13" s="465">
        <f>IF($C$6=1,'Laskenta poistopuoli 60'!AD7,IF($C$6=2,'Laskenta poistopuoli 100'!AD7,IF($C$6=3,'Laskenta poistopuoli 150'!AD7,IF($C$6=4,'Laskenta poistopuoli 250'!AD7,IF($C$6=5,'Laskenta poistopuoli 350'!AD7,'Laskenta poistopuoli 130'!AD7)))))</f>
        <v>86.286536155517794</v>
      </c>
      <c r="R13" s="305">
        <f>IF($C$6=1,'Laskenta poistopuoli 60'!AE7,IF($C$6=2,'Laskenta poistopuoli 100'!AE7,IF($C$6=3,'Laskenta poistopuoli 150'!AE7,IF($C$6=4,'Laskenta poistopuoli 250'!AE7,IF($C$6=5,'Laskenta poistopuoli 350'!AE7,'Laskenta poistopuoli 130'!AE7)))))</f>
        <v>40</v>
      </c>
      <c r="S13" s="465">
        <f>IF($C$6=1,'Laskenta poistopuoli 60'!AF7,IF($C$6=2,'Laskenta poistopuoli 100'!AF7,IF($C$6=3,'Laskenta poistopuoli 150'!AF7,IF($C$6=4,'Laskenta poistopuoli 250'!AF7,IF($C$6=5,'Laskenta poistopuoli 350'!AF7,'Laskenta poistopuoli 130'!AF7)))))</f>
        <v>56.973770904089747</v>
      </c>
      <c r="T13" s="305">
        <f>IF($C$6=1,'Laskenta poistopuoli 60'!AG7,IF($C$6=2,'Laskenta poistopuoli 100'!AG7,IF($C$6=3,'Laskenta poistopuoli 150'!AG7,IF($C$6=4,'Laskenta poistopuoli 250'!AG7,IF($C$6=5,'Laskenta poistopuoli 350'!AG7,'Laskenta poistopuoli 130'!AG7)))))</f>
        <v>20</v>
      </c>
      <c r="U13" s="462">
        <f>IF($C$6=1,'Laskenta poistopuoli 60'!AH7,IF($C$6=2,'Laskenta poistopuoli 100'!AH7,IF($C$6=3,'Laskenta poistopuoli 150'!AH7,IF($C$6=4,'Laskenta poistopuoli 250'!AH7,IF($C$6=5,'Laskenta poistopuoli 350'!AH7,'Laskenta poistopuoli 130'!AH7)))))</f>
        <v>22.578901953211147</v>
      </c>
      <c r="W13" s="485">
        <v>2</v>
      </c>
      <c r="X13" s="485" t="s">
        <v>116</v>
      </c>
      <c r="Y13" s="485">
        <v>2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120</v>
      </c>
      <c r="AJ13" s="465">
        <f t="shared" ref="AJ13:AP18" si="9">IF($AC$7,D13,D13*3.6)</f>
        <v>91.334084830633799</v>
      </c>
      <c r="AK13" s="305">
        <f t="shared" si="0"/>
        <v>50</v>
      </c>
      <c r="AL13" s="465">
        <f t="shared" si="9"/>
        <v>73.838694391688321</v>
      </c>
      <c r="AM13" s="305">
        <f t="shared" si="0"/>
        <v>40</v>
      </c>
      <c r="AN13" s="465">
        <f t="shared" si="9"/>
        <v>44.807769064929076</v>
      </c>
      <c r="AO13" s="305">
        <f t="shared" si="0"/>
        <v>20</v>
      </c>
      <c r="AP13" s="462">
        <f t="shared" si="9"/>
        <v>15.414623288200497</v>
      </c>
      <c r="AR13" s="304">
        <f t="shared" ref="AR13:AR18" si="10">N13</f>
        <v>120</v>
      </c>
      <c r="AS13" s="465">
        <f t="shared" ref="AS13:AY18" si="11">IF($AC$7,O13,O13*3.6)</f>
        <v>103.49402125954791</v>
      </c>
      <c r="AT13" s="305">
        <f t="shared" si="1"/>
        <v>50</v>
      </c>
      <c r="AU13" s="465">
        <f t="shared" si="11"/>
        <v>86.286536155517794</v>
      </c>
      <c r="AV13" s="305">
        <f t="shared" si="1"/>
        <v>40</v>
      </c>
      <c r="AW13" s="465">
        <f t="shared" si="11"/>
        <v>56.973770904089747</v>
      </c>
      <c r="AX13" s="305">
        <f t="shared" si="1"/>
        <v>20</v>
      </c>
      <c r="AY13" s="462">
        <f t="shared" si="11"/>
        <v>22.578901953211147</v>
      </c>
      <c r="BB13" s="129" t="str">
        <f>C23</f>
        <v>Model 60</v>
      </c>
      <c r="BC13" s="80">
        <f t="shared" ref="BC13:BJ14" si="12">BD23-BD$8</f>
        <v>42.26181180292869</v>
      </c>
      <c r="BD13" s="80">
        <f t="shared" si="12"/>
        <v>43.26181180292869</v>
      </c>
      <c r="BE13" s="80">
        <f t="shared" si="12"/>
        <v>36.26181180292869</v>
      </c>
      <c r="BF13" s="80">
        <f t="shared" si="12"/>
        <v>28.26181180292869</v>
      </c>
      <c r="BG13" s="80">
        <f t="shared" si="12"/>
        <v>21.26181180292869</v>
      </c>
      <c r="BH13" s="80">
        <f t="shared" si="12"/>
        <v>15.26181180292869</v>
      </c>
      <c r="BI13" s="80">
        <f t="shared" si="12"/>
        <v>6.2618118029286904</v>
      </c>
      <c r="BJ13" s="80">
        <f t="shared" si="12"/>
        <v>7.2618118029286904</v>
      </c>
      <c r="BK13" s="80">
        <f t="array" ref="BK13">10*LOG10(SUM(10^(BC13:BJ13/10)))</f>
        <v>46.34494211722189</v>
      </c>
      <c r="BL13" s="80">
        <f t="array" ref="BL13">10*LOG10(SUM(10^((BC13:BJ13+BC9:BJ9)/10)))</f>
        <v>32.181393043849987</v>
      </c>
      <c r="BM13" s="80">
        <f>BL13+10*LOG10(4/10)</f>
        <v>28.201992957129612</v>
      </c>
      <c r="BN13" s="80">
        <f>BL13+10*LOG10(4/2.5)</f>
        <v>34.222592870409237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20</v>
      </c>
      <c r="DK13" s="153">
        <f t="shared" si="5"/>
        <v>20</v>
      </c>
    </row>
    <row r="14" spans="2:115" x14ac:dyDescent="0.15">
      <c r="B14" s="597">
        <f t="shared" si="6"/>
        <v>287.50130678704107</v>
      </c>
      <c r="C14" s="304">
        <f>IF($C$6=1,'Laskenta tulopuoli 60'!AA8,IF($C$6=2,'Laskenta tulopuoli 100'!AA8,IF($C$6=3,'Laskenta tulopuoli 150'!AA8,IF($C$6=4,'Laskenta tulopuoli 250'!AA8,IF($C$6=5,'Laskenta tulopuoli 350'!AA8,'Laskenta tulopuoli 130'!AA8)))))</f>
        <v>190</v>
      </c>
      <c r="D14" s="465">
        <f>IF($C$6=1,'Laskenta tulopuoli 60'!$AB$8,IF($C$6=2,'Laskenta tulopuoli 100'!$AB$8,IF($C$6=3,'Laskenta tulopuoli 150'!$AB$8,IF($C$6=4,'Laskenta tulopuoli 250'!$AB$8,IF($C$6=5,'Laskenta tulopuoli 350'!$AB$8,'Laskenta tulopuoli 130'!$AB$8)))))</f>
        <v>79.861474107511413</v>
      </c>
      <c r="E14" s="305">
        <f>IF($C$6=1,'Laskenta tulopuoli 60'!AC8,IF($C$6=2,'Laskenta tulopuoli 100'!AC8,IF($C$6=3,'Laskenta tulopuoli 150'!AC8,IF($C$6=4,'Laskenta tulopuoli 250'!AC8,IF($C$6=5,'Laskenta tulopuoli 350'!AC8,'Laskenta tulopuoli 130'!AC8)))))</f>
        <v>100</v>
      </c>
      <c r="F14" s="465">
        <f>IF($C$6=1,'Laskenta tulopuoli 60'!AD8,IF($C$6=2,'Laskenta tulopuoli 100'!AD8,IF($C$6=3,'Laskenta tulopuoli 150'!AD8,IF($C$6=4,'Laskenta tulopuoli 250'!AD8,IF($C$6=5,'Laskenta tulopuoli 350'!AD8,'Laskenta tulopuoli 130'!AD8)))))</f>
        <v>61.665564184927057</v>
      </c>
      <c r="G14" s="305">
        <f>IF($C$6=1,'Laskenta tulopuoli 60'!AE8,IF($C$6=2,'Laskenta tulopuoli 100'!AE8,IF($C$6=3,'Laskenta tulopuoli 150'!AE8,IF($C$6=4,'Laskenta tulopuoli 250'!AE8,IF($C$6=5,'Laskenta tulopuoli 350'!AE8,'Laskenta tulopuoli 130'!AE8)))))</f>
        <v>60</v>
      </c>
      <c r="H14" s="465">
        <f>IF($C$6=1,'Laskenta tulopuoli 60'!AF8,IF($C$6=2,'Laskenta tulopuoli 100'!AF8,IF($C$6=3,'Laskenta tulopuoli 150'!AF8,IF($C$6=4,'Laskenta tulopuoli 250'!AF8,IF($C$6=5,'Laskenta tulopuoli 350'!AF8,'Laskenta tulopuoli 130'!AF8)))))</f>
        <v>38.065608935044438</v>
      </c>
      <c r="I14" s="305">
        <f>IF($C$6=1,'Laskenta tulopuoli 60'!AG8,IF($C$6=2,'Laskenta tulopuoli 100'!AG8,IF($C$6=3,'Laskenta tulopuoli 150'!AG8,IF($C$6=4,'Laskenta tulopuoli 250'!AG8,IF($C$6=5,'Laskenta tulopuoli 350'!AG8,'Laskenta tulopuoli 130'!AG8)))))</f>
        <v>25</v>
      </c>
      <c r="J14" s="462">
        <f>IF($C$6=1,'Laskenta tulopuoli 60'!AH8,IF($C$6=2,'Laskenta tulopuoli 100'!AH8,IF($C$6=3,'Laskenta tulopuoli 150'!AH8,IF($C$6=4,'Laskenta tulopuoli 250'!AH8,IF($C$6=5,'Laskenta tulopuoli 350'!AH8,'Laskenta tulopuoli 130'!AH8)))))</f>
        <v>12.814599421780468</v>
      </c>
      <c r="M14" s="597">
        <f t="shared" si="7"/>
        <v>336.21190125221176</v>
      </c>
      <c r="N14" s="304">
        <f>IF($C$6=1,'Laskenta poistopuoli 60'!AA8,IF($C$6=2,'Laskenta poistopuoli 100'!AA8,IF($C$6=3,'Laskenta poistopuoli 150'!AA8,IF($C$6=4,'Laskenta poistopuoli 250'!AA8,IF($C$6=5,'Laskenta poistopuoli 350'!AA8,'Laskenta poistopuoli 130'!AA8)))))</f>
        <v>190</v>
      </c>
      <c r="O14" s="465">
        <f>IF($C$6=1,'Laskenta poistopuoli 60'!AB8,IF($C$6=2,'Laskenta poistopuoli 100'!AB8,IF($C$6=3,'Laskenta poistopuoli 150'!AB8,IF($C$6=4,'Laskenta poistopuoli 250'!AB8,IF($C$6=5,'Laskenta poistopuoli 350'!AB8,'Laskenta poistopuoli 130'!AB8)))))</f>
        <v>93.392194792281046</v>
      </c>
      <c r="P14" s="305">
        <f>IF($C$6=1,'Laskenta poistopuoli 60'!AC8,IF($C$6=2,'Laskenta poistopuoli 100'!AC8,IF($C$6=3,'Laskenta poistopuoli 150'!AC8,IF($C$6=4,'Laskenta poistopuoli 250'!AC8,IF($C$6=5,'Laskenta poistopuoli 350'!AC8,'Laskenta poistopuoli 130'!AC8)))))</f>
        <v>100</v>
      </c>
      <c r="Q14" s="465">
        <f>IF($C$6=1,'Laskenta poistopuoli 60'!AD8,IF($C$6=2,'Laskenta poistopuoli 100'!AD8,IF($C$6=3,'Laskenta poistopuoli 150'!AD8,IF($C$6=4,'Laskenta poistopuoli 250'!AD8,IF($C$6=5,'Laskenta poistopuoli 350'!AD8,'Laskenta poistopuoli 130'!AD8)))))</f>
        <v>75.900637350102883</v>
      </c>
      <c r="R14" s="305">
        <f>IF($C$6=1,'Laskenta poistopuoli 60'!AE8,IF($C$6=2,'Laskenta poistopuoli 100'!AE8,IF($C$6=3,'Laskenta poistopuoli 150'!AE8,IF($C$6=4,'Laskenta poistopuoli 250'!AE8,IF($C$6=5,'Laskenta poistopuoli 350'!AE8,'Laskenta poistopuoli 130'!AE8)))))</f>
        <v>60</v>
      </c>
      <c r="S14" s="465">
        <f>IF($C$6=1,'Laskenta poistopuoli 60'!AF8,IF($C$6=2,'Laskenta poistopuoli 100'!AF8,IF($C$6=3,'Laskenta poistopuoli 150'!AF8,IF($C$6=4,'Laskenta poistopuoli 250'!AF8,IF($C$6=5,'Laskenta poistopuoli 350'!AF8,'Laskenta poistopuoli 130'!AF8)))))</f>
        <v>51.145153604780376</v>
      </c>
      <c r="T14" s="305">
        <f>IF($C$6=1,'Laskenta poistopuoli 60'!AG8,IF($C$6=2,'Laskenta poistopuoli 100'!AG8,IF($C$6=3,'Laskenta poistopuoli 150'!AG8,IF($C$6=4,'Laskenta poistopuoli 250'!AG8,IF($C$6=5,'Laskenta poistopuoli 350'!AG8,'Laskenta poistopuoli 130'!AG8)))))</f>
        <v>30</v>
      </c>
      <c r="U14" s="462">
        <f>IF($C$6=1,'Laskenta poistopuoli 60'!AH8,IF($C$6=2,'Laskenta poistopuoli 100'!AH8,IF($C$6=3,'Laskenta poistopuoli 150'!AH8,IF($C$6=4,'Laskenta poistopuoli 250'!AH8,IF($C$6=5,'Laskenta poistopuoli 350'!AH8,'Laskenta poistopuoli 130'!AH8)))))</f>
        <v>16.488965411522997</v>
      </c>
      <c r="W14" s="485">
        <v>3</v>
      </c>
      <c r="X14" s="485" t="s">
        <v>585</v>
      </c>
      <c r="Y14" s="485">
        <v>6</v>
      </c>
      <c r="AC14" t="s">
        <v>7</v>
      </c>
      <c r="AD14" t="s">
        <v>8</v>
      </c>
      <c r="AI14" s="304">
        <f t="shared" si="8"/>
        <v>190</v>
      </c>
      <c r="AJ14" s="465">
        <f t="shared" si="9"/>
        <v>79.861474107511413</v>
      </c>
      <c r="AK14" s="305">
        <f t="shared" si="0"/>
        <v>100</v>
      </c>
      <c r="AL14" s="465">
        <f t="shared" si="9"/>
        <v>61.665564184927057</v>
      </c>
      <c r="AM14" s="305">
        <f t="shared" si="0"/>
        <v>60</v>
      </c>
      <c r="AN14" s="465">
        <f t="shared" si="9"/>
        <v>38.065608935044438</v>
      </c>
      <c r="AO14" s="305">
        <f t="shared" si="0"/>
        <v>25</v>
      </c>
      <c r="AP14" s="462">
        <f t="shared" si="9"/>
        <v>12.814599421780468</v>
      </c>
      <c r="AR14" s="304">
        <f t="shared" si="10"/>
        <v>190</v>
      </c>
      <c r="AS14" s="465">
        <f t="shared" si="11"/>
        <v>93.392194792281046</v>
      </c>
      <c r="AT14" s="305">
        <f t="shared" si="1"/>
        <v>100</v>
      </c>
      <c r="AU14" s="465">
        <f t="shared" si="11"/>
        <v>75.900637350102883</v>
      </c>
      <c r="AV14" s="305">
        <f t="shared" si="1"/>
        <v>60</v>
      </c>
      <c r="AW14" s="465">
        <f t="shared" si="11"/>
        <v>51.145153604780376</v>
      </c>
      <c r="AX14" s="305">
        <f t="shared" si="1"/>
        <v>30</v>
      </c>
      <c r="AY14" s="462">
        <f t="shared" si="11"/>
        <v>16.488965411522997</v>
      </c>
      <c r="BB14" s="129" t="str">
        <f t="shared" ref="BB14:BB15" si="13">C24</f>
        <v>Model 100</v>
      </c>
      <c r="BC14" s="80">
        <f t="shared" si="12"/>
        <v>44.059608416600945</v>
      </c>
      <c r="BD14" s="80">
        <f t="shared" si="12"/>
        <v>44.059608416600945</v>
      </c>
      <c r="BE14" s="80">
        <f t="shared" si="12"/>
        <v>37.059608416600945</v>
      </c>
      <c r="BF14" s="80">
        <f t="shared" si="12"/>
        <v>28.059608416600945</v>
      </c>
      <c r="BG14" s="80">
        <f t="shared" si="12"/>
        <v>20.059608416600945</v>
      </c>
      <c r="BH14" s="80">
        <f t="shared" si="12"/>
        <v>14.059608416600945</v>
      </c>
      <c r="BI14" s="80">
        <f t="shared" si="12"/>
        <v>6.0596084166009447</v>
      </c>
      <c r="BJ14" s="80">
        <f t="shared" si="12"/>
        <v>4.0596084166009447</v>
      </c>
      <c r="BK14" s="80">
        <f t="array" ref="BK14">10*LOG10(SUM(10^(BC14:BJ14/10)))</f>
        <v>47.542432409437495</v>
      </c>
      <c r="BL14" s="80">
        <f t="array" ref="BL14">10*LOG10(SUM(10^((BC14:BJ14+BC9:BJ9)/10)))</f>
        <v>32.638197990308463</v>
      </c>
      <c r="BM14" s="80">
        <f>BL14+10*LOG10(4/10)</f>
        <v>28.658797903588088</v>
      </c>
      <c r="BN14" s="80">
        <f>BL14+10*LOG10(4/2.5)</f>
        <v>34.679397816867713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0.10858854994067847</v>
      </c>
      <c r="DA14" s="95" t="s">
        <v>1152</v>
      </c>
      <c r="DB14" s="279">
        <f>IF($AC$7,CX14,CX14*3.6)</f>
        <v>2</v>
      </c>
      <c r="DC14" s="279">
        <f>CY14</f>
        <v>0.10858854994067847</v>
      </c>
      <c r="DG14" s="47">
        <v>21</v>
      </c>
      <c r="DH14" s="50">
        <v>25</v>
      </c>
      <c r="DI14" s="25"/>
      <c r="DJ14" s="743">
        <f t="shared" si="4"/>
        <v>21</v>
      </c>
      <c r="DK14" s="48">
        <f t="shared" si="5"/>
        <v>21</v>
      </c>
    </row>
    <row r="15" spans="2:115" x14ac:dyDescent="0.15">
      <c r="B15" s="597">
        <f t="shared" si="6"/>
        <v>248.95693941830314</v>
      </c>
      <c r="C15" s="304">
        <f>IF($C$6=1,'Laskenta tulopuoli 60'!AA9,IF($C$6=2,'Laskenta tulopuoli 100'!AA9,IF($C$6=3,'Laskenta tulopuoli 150'!AA9,IF($C$6=4,'Laskenta tulopuoli 250'!AA9,IF($C$6=5,'Laskenta tulopuoli 350'!AA9,'Laskenta tulopuoli 130'!AA9)))))</f>
        <v>250</v>
      </c>
      <c r="D15" s="465">
        <f>IF($C$6=1,'Laskenta tulopuoli 60'!$AB$9,IF($C$6=2,'Laskenta tulopuoli 100'!$AB$9,IF($C$6=3,'Laskenta tulopuoli 150'!$AB$9,IF($C$6=4,'Laskenta tulopuoli 250'!$AB$9,IF($C$6=5,'Laskenta tulopuoli 350'!$AB$9,'Laskenta tulopuoli 130'!$AB$9)))))</f>
        <v>69.154705393973089</v>
      </c>
      <c r="E15" s="305">
        <f>IF($C$6=1,'Laskenta tulopuoli 60'!AC9,IF($C$6=2,'Laskenta tulopuoli 100'!AC9,IF($C$6=3,'Laskenta tulopuoli 150'!AC9,IF($C$6=4,'Laskenta tulopuoli 250'!AC9,IF($C$6=5,'Laskenta tulopuoli 350'!AC9,'Laskenta tulopuoli 130'!AC9)))))</f>
        <v>150</v>
      </c>
      <c r="F15" s="465">
        <f>IF($C$6=1,'Laskenta tulopuoli 60'!AD9,IF($C$6=2,'Laskenta tulopuoli 100'!AD9,IF($C$6=3,'Laskenta tulopuoli 150'!AD9,IF($C$6=4,'Laskenta tulopuoli 250'!AD9,IF($C$6=5,'Laskenta tulopuoli 350'!AD9,'Laskenta tulopuoli 130'!AD9)))))</f>
        <v>48.356228284154241</v>
      </c>
      <c r="G15" s="305">
        <f>IF($C$6=1,'Laskenta tulopuoli 60'!AE9,IF($C$6=2,'Laskenta tulopuoli 100'!AE9,IF($C$6=3,'Laskenta tulopuoli 150'!AE9,IF($C$6=4,'Laskenta tulopuoli 250'!AE9,IF($C$6=5,'Laskenta tulopuoli 350'!AE9,'Laskenta tulopuoli 130'!AE9)))))</f>
        <v>80</v>
      </c>
      <c r="H15" s="465">
        <f>IF($C$6=1,'Laskenta tulopuoli 60'!AF9,IF($C$6=2,'Laskenta tulopuoli 100'!AF9,IF($C$6=3,'Laskenta tulopuoli 150'!AF9,IF($C$6=4,'Laskenta tulopuoli 250'!AF9,IF($C$6=5,'Laskenta tulopuoli 350'!AF9,'Laskenta tulopuoli 130'!AF9)))))</f>
        <v>30.953738781884212</v>
      </c>
      <c r="I15" s="305">
        <f>IF($C$6=1,'Laskenta tulopuoli 60'!AG9,IF($C$6=2,'Laskenta tulopuoli 100'!AG9,IF($C$6=3,'Laskenta tulopuoli 150'!AG9,IF($C$6=4,'Laskenta tulopuoli 250'!AG9,IF($C$6=5,'Laskenta tulopuoli 350'!AG9,'Laskenta tulopuoli 130'!AG9)))))</f>
        <v>30</v>
      </c>
      <c r="J15" s="462">
        <f>IF($C$6=1,'Laskenta tulopuoli 60'!AH9,IF($C$6=2,'Laskenta tulopuoli 100'!AH9,IF($C$6=3,'Laskenta tulopuoli 150'!AH9,IF($C$6=4,'Laskenta tulopuoli 250'!AH9,IF($C$6=5,'Laskenta tulopuoli 350'!AH9,'Laskenta tulopuoli 130'!AH9)))))</f>
        <v>10.138839913756215</v>
      </c>
      <c r="M15" s="597">
        <f t="shared" si="7"/>
        <v>301.13111495908106</v>
      </c>
      <c r="N15" s="304">
        <f>IF($C$6=1,'Laskenta poistopuoli 60'!AA9,IF($C$6=2,'Laskenta poistopuoli 100'!AA9,IF($C$6=3,'Laskenta poistopuoli 150'!AA9,IF($C$6=4,'Laskenta poistopuoli 250'!AA9,IF($C$6=5,'Laskenta poistopuoli 350'!AA9,'Laskenta poistopuoli 130'!AA9)))))</f>
        <v>250</v>
      </c>
      <c r="O15" s="465">
        <f>IF($C$6=1,'Laskenta poistopuoli 60'!AB9,IF($C$6=2,'Laskenta poistopuoli 100'!AB9,IF($C$6=3,'Laskenta poistopuoli 150'!AB9,IF($C$6=4,'Laskenta poistopuoli 250'!AB9,IF($C$6=5,'Laskenta poistopuoli 350'!AB9,'Laskenta poistopuoli 130'!AB9)))))</f>
        <v>83.647531933078071</v>
      </c>
      <c r="P15" s="305">
        <f>IF($C$6=1,'Laskenta poistopuoli 60'!AC9,IF($C$6=2,'Laskenta poistopuoli 100'!AC9,IF($C$6=3,'Laskenta poistopuoli 150'!AC9,IF($C$6=4,'Laskenta poistopuoli 250'!AC9,IF($C$6=5,'Laskenta poistopuoli 350'!AC9,'Laskenta poistopuoli 130'!AC9)))))</f>
        <v>150</v>
      </c>
      <c r="Q15" s="465">
        <f>IF($C$6=1,'Laskenta poistopuoli 60'!AD9,IF($C$6=2,'Laskenta poistopuoli 100'!AD9,IF($C$6=3,'Laskenta poistopuoli 150'!AD9,IF($C$6=4,'Laskenta poistopuoli 250'!AD9,IF($C$6=5,'Laskenta poistopuoli 350'!AD9,'Laskenta poistopuoli 130'!AD9)))))</f>
        <v>63.979035472792781</v>
      </c>
      <c r="R15" s="305">
        <f>IF($C$6=1,'Laskenta poistopuoli 60'!AE9,IF($C$6=2,'Laskenta poistopuoli 100'!AE9,IF($C$6=3,'Laskenta poistopuoli 150'!AE9,IF($C$6=4,'Laskenta poistopuoli 250'!AE9,IF($C$6=5,'Laskenta poistopuoli 350'!AE9,'Laskenta poistopuoli 130'!AE9)))))</f>
        <v>80</v>
      </c>
      <c r="S15" s="465">
        <f>IF($C$6=1,'Laskenta poistopuoli 60'!AF9,IF($C$6=2,'Laskenta poistopuoli 100'!AF9,IF($C$6=3,'Laskenta poistopuoli 150'!AF9,IF($C$6=4,'Laskenta poistopuoli 250'!AF9,IF($C$6=5,'Laskenta poistopuoli 350'!AF9,'Laskenta poistopuoli 130'!AF9)))))</f>
        <v>44.536021272153903</v>
      </c>
      <c r="T15" s="305">
        <f>IF($C$6=1,'Laskenta poistopuoli 60'!AG9,IF($C$6=2,'Laskenta poistopuoli 100'!AG9,IF($C$6=3,'Laskenta poistopuoli 150'!AG9,IF($C$6=4,'Laskenta poistopuoli 250'!AG9,IF($C$6=5,'Laskenta poistopuoli 350'!AG9,'Laskenta poistopuoli 130'!AG9)))))</f>
        <v>35</v>
      </c>
      <c r="U15" s="462">
        <f>IF($C$6=1,'Laskenta poistopuoli 60'!AH9,IF($C$6=2,'Laskenta poistopuoli 100'!AH9,IF($C$6=3,'Laskenta poistopuoli 150'!AH9,IF($C$6=4,'Laskenta poistopuoli 250'!AH9,IF($C$6=5,'Laskenta poistopuoli 350'!AH9,'Laskenta poistopuoli 130'!AH9)))))</f>
        <v>13.708304384736721</v>
      </c>
      <c r="W15" s="485">
        <v>4</v>
      </c>
      <c r="X15" s="485" t="s">
        <v>129</v>
      </c>
      <c r="Y15" s="485">
        <v>3</v>
      </c>
      <c r="AC15" s="4">
        <f>IF($AC$7,'R-series'!E37*3.6,'R-series'!E37/3.6)</f>
        <v>162.36000000000001</v>
      </c>
      <c r="AD15" s="4">
        <f>IF($AC$7,'R-series'!G37*3.6,'R-series'!G37/3.6)</f>
        <v>160.56</v>
      </c>
      <c r="AI15" s="304">
        <f t="shared" si="8"/>
        <v>250</v>
      </c>
      <c r="AJ15" s="465">
        <f t="shared" si="9"/>
        <v>69.154705393973089</v>
      </c>
      <c r="AK15" s="305">
        <f t="shared" si="0"/>
        <v>150</v>
      </c>
      <c r="AL15" s="465">
        <f t="shared" si="9"/>
        <v>48.356228284154241</v>
      </c>
      <c r="AM15" s="305">
        <f t="shared" si="0"/>
        <v>80</v>
      </c>
      <c r="AN15" s="465">
        <f t="shared" si="9"/>
        <v>30.953738781884212</v>
      </c>
      <c r="AO15" s="305">
        <f t="shared" si="0"/>
        <v>30</v>
      </c>
      <c r="AP15" s="462">
        <f t="shared" si="9"/>
        <v>10.138839913756215</v>
      </c>
      <c r="AR15" s="304">
        <f t="shared" si="10"/>
        <v>250</v>
      </c>
      <c r="AS15" s="465">
        <f t="shared" si="11"/>
        <v>83.647531933078071</v>
      </c>
      <c r="AT15" s="305">
        <f t="shared" si="1"/>
        <v>150</v>
      </c>
      <c r="AU15" s="465">
        <f t="shared" si="11"/>
        <v>63.979035472792781</v>
      </c>
      <c r="AV15" s="305">
        <f t="shared" si="1"/>
        <v>80</v>
      </c>
      <c r="AW15" s="465">
        <f t="shared" si="11"/>
        <v>44.536021272153903</v>
      </c>
      <c r="AX15" s="305">
        <f t="shared" si="1"/>
        <v>35</v>
      </c>
      <c r="AY15" s="462">
        <f t="shared" si="11"/>
        <v>13.708304384736721</v>
      </c>
      <c r="BB15" s="91" t="str">
        <f t="shared" si="13"/>
        <v>Model 150</v>
      </c>
      <c r="BC15" s="271">
        <f>BD25</f>
        <v>50.476485909460024</v>
      </c>
      <c r="BD15" s="271">
        <f t="shared" ref="BD15:BJ15" si="14">BE25</f>
        <v>45.476485909460024</v>
      </c>
      <c r="BE15" s="271">
        <f t="shared" si="14"/>
        <v>45.476485909460024</v>
      </c>
      <c r="BF15" s="271">
        <f t="shared" si="14"/>
        <v>35.476485909460024</v>
      </c>
      <c r="BG15" s="271">
        <f t="shared" si="14"/>
        <v>23.476485909460024</v>
      </c>
      <c r="BH15" s="271">
        <f t="shared" si="14"/>
        <v>21.476485909460024</v>
      </c>
      <c r="BI15" s="271">
        <f t="shared" si="14"/>
        <v>16.476485909460024</v>
      </c>
      <c r="BJ15" s="271">
        <f t="shared" si="14"/>
        <v>15.476485909460024</v>
      </c>
      <c r="BK15" s="271">
        <f t="array" ref="BK15">10*LOG10(SUM(10^(BC15:BJ15/10)))</f>
        <v>52.698568304666018</v>
      </c>
      <c r="BL15" s="271">
        <f t="array" ref="BL15">10*LOG10(SUM(10^((BC15:BJ15+BC9:BJ9)/10)))</f>
        <v>39.130487514078062</v>
      </c>
      <c r="BM15" s="271">
        <f>BL15+10*LOG10(4/10)</f>
        <v>35.151087427357687</v>
      </c>
      <c r="BN15" s="271">
        <f>BL15+10*LOG10(4/2.5)</f>
        <v>41.171687340637313</v>
      </c>
      <c r="BO15" s="272" t="s">
        <v>358</v>
      </c>
      <c r="BT15" t="b">
        <v>0</v>
      </c>
      <c r="BW15" t="str" cm="1">
        <f t="array" ref="BW15">CONCATENATE(INDEX(Kirjasto!D4:K125,37,Kirjasto!B4),"*")</f>
        <v>Keittiöohitus*</v>
      </c>
      <c r="BY15" t="str" cm="1">
        <f t="array" ref="BY15">INDEX(Kirjasto!D4:K135,129,Kirjasto!B4)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'R-series'!G33</f>
        <v>44.6</v>
      </c>
      <c r="CY15" s="344">
        <f>'R-series'!G39</f>
        <v>54</v>
      </c>
      <c r="DA15" s="96" t="s">
        <v>1150</v>
      </c>
      <c r="DB15" s="279">
        <f t="shared" ref="DB15:DB16" si="15">IF($AC$7,CX15,CX15*3.6)</f>
        <v>44.6</v>
      </c>
      <c r="DC15" s="279">
        <f t="shared" ref="DC15:DC16" si="16">CY15</f>
        <v>54</v>
      </c>
    </row>
    <row r="16" spans="2:115" x14ac:dyDescent="0.15">
      <c r="B16" s="597">
        <f t="shared" si="6"/>
        <v>199.08527616152125</v>
      </c>
      <c r="C16" s="304">
        <f>IF($C$6=1,'Laskenta tulopuoli 60'!AA10,IF($C$6=2,'Laskenta tulopuoli 100'!AA10,IF($C$6=3,'Laskenta tulopuoli 150'!AA10,IF($C$6=4,'Laskenta tulopuoli 250'!AA10,IF($C$6=5,'Laskenta tulopuoli 350'!AA10,'Laskenta tulopuoli 130'!AA10)))))</f>
        <v>320</v>
      </c>
      <c r="D16" s="465">
        <f>IF($C$6=1,'Laskenta tulopuoli 60'!$AB$10,IF($C$6=2,'Laskenta tulopuoli 100'!$AB$10,IF($C$6=3,'Laskenta tulopuoli 150'!$AB$10,IF($C$6=4,'Laskenta tulopuoli 250'!$AB$10,IF($C$6=5,'Laskenta tulopuoli 350'!$AB$10,'Laskenta tulopuoli 130'!$AB$10)))))</f>
        <v>55.301465600422567</v>
      </c>
      <c r="E16" s="305">
        <f>IF($C$6=1,'Laskenta tulopuoli 60'!AC10,IF($C$6=2,'Laskenta tulopuoli 100'!AC10,IF($C$6=3,'Laskenta tulopuoli 150'!AC10,IF($C$6=4,'Laskenta tulopuoli 250'!AC10,IF($C$6=5,'Laskenta tulopuoli 350'!AC10,'Laskenta tulopuoli 130'!AC10)))))</f>
        <v>170</v>
      </c>
      <c r="F16" s="465">
        <f>IF($C$6=1,'Laskenta tulopuoli 60'!AD10,IF($C$6=2,'Laskenta tulopuoli 100'!AD10,IF($C$6=3,'Laskenta tulopuoli 150'!AD10,IF($C$6=4,'Laskenta tulopuoli 250'!AD10,IF($C$6=5,'Laskenta tulopuoli 350'!AD10,'Laskenta tulopuoli 130'!AD10)))))</f>
        <v>42.633564679818207</v>
      </c>
      <c r="G16" s="305">
        <f>IF($C$6=1,'Laskenta tulopuoli 60'!AE10,IF($C$6=2,'Laskenta tulopuoli 100'!AE10,IF($C$6=3,'Laskenta tulopuoli 150'!AE10,IF($C$6=4,'Laskenta tulopuoli 250'!AE10,IF($C$6=5,'Laskenta tulopuoli 350'!AE10,'Laskenta tulopuoli 130'!AE10)))))</f>
        <v>100</v>
      </c>
      <c r="H16" s="465">
        <f>IF($C$6=1,'Laskenta tulopuoli 60'!AF10,IF($C$6=2,'Laskenta tulopuoli 100'!AF10,IF($C$6=3,'Laskenta tulopuoli 150'!AF10,IF($C$6=4,'Laskenta tulopuoli 250'!AF10,IF($C$6=5,'Laskenta tulopuoli 350'!AF10,'Laskenta tulopuoli 130'!AF10)))))</f>
        <v>23.403717201633526</v>
      </c>
      <c r="I16" s="305">
        <f>IF($C$6=1,'Laskenta tulopuoli 60'!AG10,IF($C$6=2,'Laskenta tulopuoli 100'!AG10,IF($C$6=3,'Laskenta tulopuoli 150'!AG10,IF($C$6=4,'Laskenta tulopuoli 250'!AG10,IF($C$6=5,'Laskenta tulopuoli 350'!AG10,'Laskenta tulopuoli 130'!AG10)))))</f>
        <v>34</v>
      </c>
      <c r="J16" s="462">
        <f>IF($C$6=1,'Laskenta tulopuoli 60'!AH10,IF($C$6=2,'Laskenta tulopuoli 100'!AH10,IF($C$6=3,'Laskenta tulopuoli 150'!AH10,IF($C$6=4,'Laskenta tulopuoli 250'!AH10,IF($C$6=5,'Laskenta tulopuoli 350'!AH10,'Laskenta tulopuoli 130'!AH10)))))</f>
        <v>7.9390146933981729</v>
      </c>
      <c r="M16" s="597">
        <f t="shared" si="7"/>
        <v>253.22481652597779</v>
      </c>
      <c r="N16" s="304">
        <f>IF($C$6=1,'Laskenta poistopuoli 60'!AA10,IF($C$6=2,'Laskenta poistopuoli 100'!AA10,IF($C$6=3,'Laskenta poistopuoli 150'!AA10,IF($C$6=4,'Laskenta poistopuoli 250'!AA10,IF($C$6=5,'Laskenta poistopuoli 350'!AA10,'Laskenta poistopuoli 130'!AA10)))))</f>
        <v>320</v>
      </c>
      <c r="O16" s="465">
        <f>IF($C$6=1,'Laskenta poistopuoli 60'!AB10,IF($C$6=2,'Laskenta poistopuoli 100'!AB10,IF($C$6=3,'Laskenta poistopuoli 150'!AB10,IF($C$6=4,'Laskenta poistopuoli 250'!AB10,IF($C$6=5,'Laskenta poistopuoli 350'!AB10,'Laskenta poistopuoli 130'!AB10)))))</f>
        <v>70.340226812771604</v>
      </c>
      <c r="P16" s="305">
        <f>IF($C$6=1,'Laskenta poistopuoli 60'!AC10,IF($C$6=2,'Laskenta poistopuoli 100'!AC10,IF($C$6=3,'Laskenta poistopuoli 150'!AC10,IF($C$6=4,'Laskenta poistopuoli 250'!AC10,IF($C$6=5,'Laskenta poistopuoli 350'!AC10,'Laskenta poistopuoli 130'!AC10)))))</f>
        <v>170</v>
      </c>
      <c r="Q16" s="465">
        <f>IF($C$6=1,'Laskenta poistopuoli 60'!AD10,IF($C$6=2,'Laskenta poistopuoli 100'!AD10,IF($C$6=3,'Laskenta poistopuoli 150'!AD10,IF($C$6=4,'Laskenta poistopuoli 250'!AD10,IF($C$6=5,'Laskenta poistopuoli 350'!AD10,'Laskenta poistopuoli 130'!AD10)))))</f>
        <v>58.592403493552204</v>
      </c>
      <c r="R16" s="305">
        <f>IF($C$6=1,'Laskenta poistopuoli 60'!AE10,IF($C$6=2,'Laskenta poistopuoli 100'!AE10,IF($C$6=3,'Laskenta poistopuoli 150'!AE10,IF($C$6=4,'Laskenta poistopuoli 250'!AE10,IF($C$6=5,'Laskenta poistopuoli 350'!AE10,'Laskenta poistopuoli 130'!AE10)))))</f>
        <v>100</v>
      </c>
      <c r="S16" s="465">
        <f>IF($C$6=1,'Laskenta poistopuoli 60'!AF10,IF($C$6=2,'Laskenta poistopuoli 100'!AF10,IF($C$6=3,'Laskenta poistopuoli 150'!AF10,IF($C$6=4,'Laskenta poistopuoli 250'!AF10,IF($C$6=5,'Laskenta poistopuoli 350'!AF10,'Laskenta poistopuoli 130'!AF10)))))</f>
        <v>36.710790610696051</v>
      </c>
      <c r="T16" s="305">
        <f>IF($C$6=1,'Laskenta poistopuoli 60'!AG10,IF($C$6=2,'Laskenta poistopuoli 100'!AG10,IF($C$6=3,'Laskenta poistopuoli 150'!AG10,IF($C$6=4,'Laskenta poistopuoli 250'!AG10,IF($C$6=5,'Laskenta poistopuoli 350'!AG10,'Laskenta poistopuoli 130'!AG10)))))</f>
        <v>40</v>
      </c>
      <c r="U16" s="462">
        <f>IF($C$6=1,'Laskenta poistopuoli 60'!AH10,IF($C$6=2,'Laskenta poistopuoli 100'!AH10,IF($C$6=3,'Laskenta poistopuoli 150'!AH10,IF($C$6=4,'Laskenta poistopuoli 250'!AH10,IF($C$6=5,'Laskenta poistopuoli 350'!AH10,'Laskenta poistopuoli 130'!AH10)))))</f>
        <v>11.06772203702376</v>
      </c>
      <c r="W16" s="485">
        <v>5</v>
      </c>
      <c r="X16" s="485" t="s">
        <v>561</v>
      </c>
      <c r="Y16" s="485">
        <v>4</v>
      </c>
      <c r="AI16" s="304">
        <f t="shared" si="8"/>
        <v>320</v>
      </c>
      <c r="AJ16" s="465">
        <f t="shared" si="9"/>
        <v>55.301465600422567</v>
      </c>
      <c r="AK16" s="305">
        <f t="shared" si="0"/>
        <v>170</v>
      </c>
      <c r="AL16" s="465">
        <f t="shared" si="9"/>
        <v>42.633564679818207</v>
      </c>
      <c r="AM16" s="305">
        <f t="shared" si="0"/>
        <v>100</v>
      </c>
      <c r="AN16" s="465">
        <f t="shared" si="9"/>
        <v>23.403717201633526</v>
      </c>
      <c r="AO16" s="305">
        <f t="shared" si="0"/>
        <v>34</v>
      </c>
      <c r="AP16" s="462">
        <f t="shared" si="9"/>
        <v>7.9390146933981729</v>
      </c>
      <c r="AR16" s="304">
        <f t="shared" si="10"/>
        <v>320</v>
      </c>
      <c r="AS16" s="465">
        <f t="shared" si="11"/>
        <v>70.340226812771604</v>
      </c>
      <c r="AT16" s="305">
        <f t="shared" si="1"/>
        <v>170</v>
      </c>
      <c r="AU16" s="465">
        <f t="shared" si="11"/>
        <v>58.592403493552204</v>
      </c>
      <c r="AV16" s="305">
        <f t="shared" si="1"/>
        <v>100</v>
      </c>
      <c r="AW16" s="465">
        <f t="shared" si="11"/>
        <v>36.710790610696051</v>
      </c>
      <c r="AX16" s="305">
        <f t="shared" si="1"/>
        <v>40</v>
      </c>
      <c r="AY16" s="462">
        <f t="shared" si="11"/>
        <v>11.06772203702376</v>
      </c>
      <c r="BB16" s="129" t="s">
        <v>561</v>
      </c>
      <c r="BC16" s="299">
        <f>BD26</f>
        <v>55.738003130214246</v>
      </c>
      <c r="BD16" s="299">
        <f t="shared" ref="BD16:BN17" si="17">BE26</f>
        <v>49.738003130214246</v>
      </c>
      <c r="BE16" s="299">
        <f t="shared" si="17"/>
        <v>40.738003130214246</v>
      </c>
      <c r="BF16" s="299">
        <f t="shared" si="17"/>
        <v>27.738003130214246</v>
      </c>
      <c r="BG16" s="299">
        <f t="shared" si="17"/>
        <v>23.738003130214246</v>
      </c>
      <c r="BH16" s="299">
        <f t="shared" si="17"/>
        <v>19.738003130214246</v>
      </c>
      <c r="BI16" s="299">
        <f t="shared" si="17"/>
        <v>19.738003130214246</v>
      </c>
      <c r="BJ16" s="299">
        <f t="shared" si="17"/>
        <v>18.738003130214246</v>
      </c>
      <c r="BK16" s="299">
        <f t="shared" si="17"/>
        <v>56.829498113859039</v>
      </c>
      <c r="BL16" s="299">
        <f t="shared" si="17"/>
        <v>37.738003130214246</v>
      </c>
      <c r="BM16" s="299">
        <f t="shared" si="17"/>
        <v>33.758603043493871</v>
      </c>
      <c r="BN16" s="299">
        <f t="shared" si="17"/>
        <v>39.779202956773496</v>
      </c>
      <c r="BO16" s="286" t="s">
        <v>577</v>
      </c>
      <c r="BW16" t="str" cm="1">
        <f t="array" ref="BW16">INDEX(Kirjasto!D4:K125,37,Kirjasto!B4)</f>
        <v>Keittiöohitus</v>
      </c>
      <c r="BY16" t="str" cm="1">
        <f t="array" ref="BY16">CONCATENATE("* ",INDEX(Kirjasto!D4:K125,8,Kirjasto!B4))</f>
        <v>* Ei käytettävissä tässä mallissa</v>
      </c>
      <c r="CR16" s="611">
        <f>(1+CR11)*'R-series'!E33</f>
        <v>54.12</v>
      </c>
      <c r="CS16" s="611">
        <f>(1+CR11)*'R-series'!G33</f>
        <v>53.52</v>
      </c>
      <c r="CT16" t="s">
        <v>13</v>
      </c>
      <c r="CW16" s="95" t="s">
        <v>1151</v>
      </c>
      <c r="CX16" s="279">
        <f>CS16</f>
        <v>53.52</v>
      </c>
      <c r="CY16" s="279">
        <f>CS17</f>
        <v>77.760000000000005</v>
      </c>
      <c r="DA16" s="95" t="s">
        <v>1151</v>
      </c>
      <c r="DB16" s="279">
        <f t="shared" si="15"/>
        <v>53.52</v>
      </c>
      <c r="DC16" s="279">
        <f t="shared" si="16"/>
        <v>77.760000000000005</v>
      </c>
    </row>
    <row r="17" spans="1:118" x14ac:dyDescent="0.15">
      <c r="B17" s="597">
        <f t="shared" si="6"/>
        <v>141.60352209998788</v>
      </c>
      <c r="C17" s="304">
        <f>IF($C$6=1,'Laskenta tulopuoli 60'!AA11,IF($C$6=2,'Laskenta tulopuoli 100'!AA11,IF($C$6=3,'Laskenta tulopuoli 150'!AA11,IF($C$6=4,'Laskenta tulopuoli 250'!AA11,IF($C$6=5,'Laskenta tulopuoli 350'!AA11,'Laskenta tulopuoli 130'!AA11)))))</f>
        <v>390</v>
      </c>
      <c r="D17" s="465">
        <f>IF($C$6=1,'Laskenta tulopuoli 60'!$AB$11,IF($C$6=2,'Laskenta tulopuoli 100'!$AB$11,IF($C$6=3,'Laskenta tulopuoli 150'!$AB$11,IF($C$6=4,'Laskenta tulopuoli 250'!$AB$11,IF($C$6=5,'Laskenta tulopuoli 350'!$AB$11,'Laskenta tulopuoli 130'!$AB$11)))))</f>
        <v>39.334311694441077</v>
      </c>
      <c r="E17" s="305">
        <f>IF($C$6=1,'Laskenta tulopuoli 60'!AC11,IF($C$6=2,'Laskenta tulopuoli 100'!AC11,IF($C$6=3,'Laskenta tulopuoli 150'!AC11,IF($C$6=4,'Laskenta tulopuoli 250'!AC11,IF($C$6=5,'Laskenta tulopuoli 350'!AC11,'Laskenta tulopuoli 130'!AC11)))))</f>
        <v>190</v>
      </c>
      <c r="F17" s="465">
        <f>IF($C$6=1,'Laskenta tulopuoli 60'!AD11,IF($C$6=2,'Laskenta tulopuoli 100'!AD11,IF($C$6=3,'Laskenta tulopuoli 150'!AD11,IF($C$6=4,'Laskenta tulopuoli 250'!AD11,IF($C$6=5,'Laskenta tulopuoli 350'!AD11,'Laskenta tulopuoli 130'!AD11)))))</f>
        <v>36.633999759441082</v>
      </c>
      <c r="G17" s="305">
        <f>IF($C$6=1,'Laskenta tulopuoli 60'!AE11,IF($C$6=2,'Laskenta tulopuoli 100'!AE11,IF($C$6=3,'Laskenta tulopuoli 150'!AE11,IF($C$6=4,'Laskenta tulopuoli 250'!AE11,IF($C$6=5,'Laskenta tulopuoli 350'!AE11,'Laskenta tulopuoli 130'!AE11)))))</f>
        <v>110</v>
      </c>
      <c r="H17" s="465">
        <f>IF($C$6=1,'Laskenta tulopuoli 60'!AF11,IF($C$6=2,'Laskenta tulopuoli 100'!AF11,IF($C$6=3,'Laskenta tulopuoli 150'!AF11,IF($C$6=4,'Laskenta tulopuoli 250'!AF11,IF($C$6=5,'Laskenta tulopuoli 350'!AF11,'Laskenta tulopuoli 130'!AF11)))))</f>
        <v>19.436728566723829</v>
      </c>
      <c r="I17" s="305"/>
      <c r="J17" s="462"/>
      <c r="M17" s="597">
        <f t="shared" si="7"/>
        <v>191.36787784844645</v>
      </c>
      <c r="N17" s="304">
        <f>IF($C$6=1,'Laskenta poistopuoli 60'!AA11,IF($C$6=2,'Laskenta poistopuoli 100'!AA11,IF($C$6=3,'Laskenta poistopuoli 150'!AA11,IF($C$6=4,'Laskenta poistopuoli 250'!AA11,IF($C$6=5,'Laskenta poistopuoli 350'!AA11,'Laskenta poistopuoli 130'!AA11)))))</f>
        <v>390</v>
      </c>
      <c r="O17" s="465">
        <f>IF($C$6=1,'Laskenta poistopuoli 60'!AB11,IF($C$6=2,'Laskenta poistopuoli 100'!AB11,IF($C$6=3,'Laskenta poistopuoli 150'!AB11,IF($C$6=4,'Laskenta poistopuoli 250'!AB11,IF($C$6=5,'Laskenta poistopuoli 350'!AB11,'Laskenta poistopuoli 130'!AB11)))))</f>
        <v>53.15774384679068</v>
      </c>
      <c r="P17" s="305">
        <f>IF($C$6=1,'Laskenta poistopuoli 60'!AC11,IF($C$6=2,'Laskenta poistopuoli 100'!AC11,IF($C$6=3,'Laskenta poistopuoli 150'!AC11,IF($C$6=4,'Laskenta poistopuoli 250'!AC11,IF($C$6=5,'Laskenta poistopuoli 350'!AC11,'Laskenta poistopuoli 130'!AC11)))))</f>
        <v>190</v>
      </c>
      <c r="Q17" s="465">
        <f>IF($C$6=1,'Laskenta poistopuoli 60'!AD11,IF($C$6=2,'Laskenta poistopuoli 100'!AD11,IF($C$6=3,'Laskenta poistopuoli 150'!AD11,IF($C$6=4,'Laskenta poistopuoli 250'!AD11,IF($C$6=5,'Laskenta poistopuoli 350'!AD11,'Laskenta poistopuoli 130'!AD11)))))</f>
        <v>52.709351379206979</v>
      </c>
      <c r="R17" s="305">
        <f>IF($C$6=1,'Laskenta poistopuoli 60'!AE11,IF($C$6=2,'Laskenta poistopuoli 100'!AE11,IF($C$6=3,'Laskenta poistopuoli 150'!AE11,IF($C$6=4,'Laskenta poistopuoli 250'!AE11,IF($C$6=5,'Laskenta poistopuoli 350'!AE11,'Laskenta poistopuoli 130'!AE11)))))</f>
        <v>125</v>
      </c>
      <c r="S17" s="465">
        <f>IF($C$6=1,'Laskenta poistopuoli 60'!AF11,IF($C$6=2,'Laskenta poistopuoli 100'!AF11,IF($C$6=3,'Laskenta poistopuoli 150'!AF11,IF($C$6=4,'Laskenta poistopuoli 250'!AF11,IF($C$6=5,'Laskenta poistopuoli 350'!AF11,'Laskenta poistopuoli 130'!AF11)))))</f>
        <v>23.297949159489587</v>
      </c>
      <c r="T17" s="305"/>
      <c r="U17" s="462"/>
      <c r="W17" s="485">
        <v>6</v>
      </c>
      <c r="X17" s="485" t="s">
        <v>560</v>
      </c>
      <c r="Y17" s="485">
        <v>5</v>
      </c>
      <c r="AI17" s="304">
        <f t="shared" si="8"/>
        <v>390</v>
      </c>
      <c r="AJ17" s="465">
        <f t="shared" si="9"/>
        <v>39.334311694441077</v>
      </c>
      <c r="AK17" s="305">
        <f t="shared" si="0"/>
        <v>190</v>
      </c>
      <c r="AL17" s="465">
        <f t="shared" si="9"/>
        <v>36.633999759441082</v>
      </c>
      <c r="AM17" s="305">
        <f t="shared" si="0"/>
        <v>110</v>
      </c>
      <c r="AN17" s="465">
        <f t="shared" si="9"/>
        <v>19.436728566723829</v>
      </c>
      <c r="AO17" s="305"/>
      <c r="AP17" s="462"/>
      <c r="AR17" s="304">
        <f t="shared" si="10"/>
        <v>390</v>
      </c>
      <c r="AS17" s="465">
        <f t="shared" si="11"/>
        <v>53.15774384679068</v>
      </c>
      <c r="AT17" s="305">
        <f t="shared" si="1"/>
        <v>190</v>
      </c>
      <c r="AU17" s="465">
        <f t="shared" si="11"/>
        <v>52.709351379206979</v>
      </c>
      <c r="AV17" s="305">
        <f t="shared" si="1"/>
        <v>125</v>
      </c>
      <c r="AW17" s="465">
        <f t="shared" si="11"/>
        <v>23.297949159489587</v>
      </c>
      <c r="AX17" s="305"/>
      <c r="AY17" s="462"/>
      <c r="BB17" s="129" t="s">
        <v>560</v>
      </c>
      <c r="BC17" s="299">
        <f>BD27</f>
        <v>55.738003130214246</v>
      </c>
      <c r="BD17" s="299">
        <f t="shared" si="17"/>
        <v>49.738003130214246</v>
      </c>
      <c r="BE17" s="299">
        <f t="shared" si="17"/>
        <v>40.738003130214246</v>
      </c>
      <c r="BF17" s="299">
        <f t="shared" si="17"/>
        <v>27.738003130214246</v>
      </c>
      <c r="BG17" s="299">
        <f t="shared" si="17"/>
        <v>23.738003130214246</v>
      </c>
      <c r="BH17" s="299">
        <f t="shared" si="17"/>
        <v>19.738003130214246</v>
      </c>
      <c r="BI17" s="299">
        <f t="shared" si="17"/>
        <v>19.738003130214246</v>
      </c>
      <c r="BJ17" s="299">
        <f t="shared" si="17"/>
        <v>18.738003130214246</v>
      </c>
      <c r="BK17" s="299">
        <f t="shared" si="17"/>
        <v>56.829498113859039</v>
      </c>
      <c r="BL17" s="299">
        <f t="shared" si="17"/>
        <v>37.738003130214246</v>
      </c>
      <c r="BM17" s="299">
        <f t="shared" si="17"/>
        <v>33.758603043493871</v>
      </c>
      <c r="BN17" s="299">
        <f t="shared" si="17"/>
        <v>39.779202956773496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11">
        <f>('R-series'!E39/'R-series'!E33^2)*Tulokset!CR16^2</f>
        <v>87.839999999999975</v>
      </c>
      <c r="CS17" s="611">
        <f>('R-series'!G39/'R-series'!G33^2)*Tulokset!CS16^2</f>
        <v>77.760000000000005</v>
      </c>
      <c r="CT17" t="s">
        <v>14</v>
      </c>
      <c r="DN17" t="s">
        <v>1333</v>
      </c>
    </row>
    <row r="18" spans="1:118" ht="14" thickBot="1" x14ac:dyDescent="0.2">
      <c r="B18" s="597">
        <f t="shared" si="6"/>
        <v>132.53388243444172</v>
      </c>
      <c r="C18" s="306">
        <f>IF($C$6=1,'Laskenta tulopuoli 60'!AA12,IF($C$6=2,'Laskenta tulopuoli 100'!AA12,IF($C$6=3,'Laskenta tulopuoli 150'!AA12,IF($C$6=4,'Laskenta tulopuoli 250'!AA12,IF($C$6=5,'Laskenta tulopuoli 350'!AA12,'Laskenta tulopuoli 130'!AA12)))))</f>
        <v>400</v>
      </c>
      <c r="D18" s="466">
        <f>IF($C$6=1,'Laskenta tulopuoli 60'!$AB$12,IF($C$6=2,'Laskenta tulopuoli 100'!$AB$12,IF($C$6=3,'Laskenta tulopuoli 150'!$AB$12,IF($C$6=4,'Laskenta tulopuoli 250'!$AB$12,IF($C$6=5,'Laskenta tulopuoli 350'!$AB$12,'Laskenta tulopuoli 130'!$AB$12)))))</f>
        <v>36.814967342900474</v>
      </c>
      <c r="E18" s="307">
        <f>IF($C$6=1,'Laskenta tulopuoli 60'!AC12,IF($C$6=2,'Laskenta tulopuoli 100'!AC12,IF($C$6=3,'Laskenta tulopuoli 150'!AC12,IF($C$6=4,'Laskenta tulopuoli 250'!AC12,IF($C$6=5,'Laskenta tulopuoli 350'!AC12,'Laskenta tulopuoli 130'!AC12)))))</f>
        <v>220</v>
      </c>
      <c r="F18" s="466">
        <f>IF($C$6=1,'Laskenta tulopuoli 60'!AD12,IF($C$6=2,'Laskenta tulopuoli 100'!AD12,IF($C$6=3,'Laskenta tulopuoli 150'!AD12,IF($C$6=4,'Laskenta tulopuoli 250'!AD12,IF($C$6=5,'Laskenta tulopuoli 350'!AD12,'Laskenta tulopuoli 130'!AD12)))))</f>
        <v>27.014459006801598</v>
      </c>
      <c r="G18" s="307"/>
      <c r="H18" s="466"/>
      <c r="I18" s="307"/>
      <c r="J18" s="463"/>
      <c r="M18" s="597">
        <f t="shared" si="7"/>
        <v>148.54767392837306</v>
      </c>
      <c r="N18" s="306">
        <f>IF($C$6=1,'Laskenta poistopuoli 60'!AA12,IF($C$6=2,'Laskenta poistopuoli 100'!AA12,IF($C$6=3,'Laskenta poistopuoli 150'!AA12,IF($C$6=4,'Laskenta poistopuoli 250'!AA12,IF($C$6=5,'Laskenta poistopuoli 350'!AA12,'Laskenta poistopuoli 130'!AA12)))))</f>
        <v>425</v>
      </c>
      <c r="O18" s="466">
        <f>IF($C$6=1,'Laskenta poistopuoli 60'!AB12,IF($C$6=2,'Laskenta poistopuoli 100'!AB12,IF($C$6=3,'Laskenta poistopuoli 150'!AB12,IF($C$6=4,'Laskenta poistopuoli 250'!AB12,IF($C$6=5,'Laskenta poistopuoli 350'!AB12,'Laskenta poistopuoli 130'!AB12)))))</f>
        <v>41.2632427578814</v>
      </c>
      <c r="P18" s="307">
        <f>IF($C$6=1,'Laskenta poistopuoli 60'!AC12,IF($C$6=2,'Laskenta poistopuoli 100'!AC12,IF($C$6=3,'Laskenta poistopuoli 150'!AC12,IF($C$6=4,'Laskenta poistopuoli 250'!AC12,IF($C$6=5,'Laskenta poistopuoli 350'!AC12,'Laskenta poistopuoli 130'!AC12)))))</f>
        <v>245</v>
      </c>
      <c r="Q18" s="466">
        <f>IF($C$6=1,'Laskenta poistopuoli 60'!AD12,IF($C$6=2,'Laskenta poistopuoli 100'!AD12,IF($C$6=3,'Laskenta poistopuoli 150'!AD12,IF($C$6=4,'Laskenta poistopuoli 250'!AD12,IF($C$6=5,'Laskenta poistopuoli 350'!AD12,'Laskenta poistopuoli 130'!AD12)))))</f>
        <v>32.044849239800861</v>
      </c>
      <c r="R18" s="307"/>
      <c r="S18" s="466"/>
      <c r="T18" s="307"/>
      <c r="U18" s="463"/>
      <c r="AI18" s="306">
        <f t="shared" si="8"/>
        <v>400</v>
      </c>
      <c r="AJ18" s="466">
        <f t="shared" si="9"/>
        <v>36.814967342900474</v>
      </c>
      <c r="AK18" s="307">
        <f t="shared" si="0"/>
        <v>220</v>
      </c>
      <c r="AL18" s="466">
        <f t="shared" si="9"/>
        <v>27.014459006801598</v>
      </c>
      <c r="AM18" s="307"/>
      <c r="AN18" s="466"/>
      <c r="AO18" s="307"/>
      <c r="AP18" s="463"/>
      <c r="AR18" s="306">
        <f t="shared" si="10"/>
        <v>425</v>
      </c>
      <c r="AS18" s="466">
        <f t="shared" si="11"/>
        <v>41.2632427578814</v>
      </c>
      <c r="AT18" s="307">
        <f t="shared" si="1"/>
        <v>245</v>
      </c>
      <c r="AU18" s="466">
        <f t="shared" si="11"/>
        <v>32.044849239800861</v>
      </c>
      <c r="AV18" s="307"/>
      <c r="AW18" s="466"/>
      <c r="AX18" s="307"/>
      <c r="AY18" s="463"/>
      <c r="BB18" s="129" t="s">
        <v>585</v>
      </c>
      <c r="BC18" s="80">
        <f>BD28-BD$8</f>
        <v>38.072362150681435</v>
      </c>
      <c r="BD18" s="80">
        <f t="shared" ref="BD18:BJ18" si="18">BE28-BE$8</f>
        <v>42.072362150681435</v>
      </c>
      <c r="BE18" s="80">
        <f t="shared" si="18"/>
        <v>34.072362150681435</v>
      </c>
      <c r="BF18" s="80">
        <f t="shared" si="18"/>
        <v>26.072362150681435</v>
      </c>
      <c r="BG18" s="80">
        <f t="shared" si="18"/>
        <v>18.072362150681435</v>
      </c>
      <c r="BH18" s="80">
        <f t="shared" si="18"/>
        <v>12.072362150681435</v>
      </c>
      <c r="BI18" s="80">
        <f t="shared" si="18"/>
        <v>6.0723621506814354</v>
      </c>
      <c r="BJ18" s="80">
        <f t="shared" si="18"/>
        <v>1.0723621506814354</v>
      </c>
      <c r="BK18" s="80">
        <f t="array" ref="BK18">10*LOG10(SUM(10^(BC18:BJ18/10)))</f>
        <v>44.078205434533253</v>
      </c>
      <c r="BL18" s="80">
        <f t="array" ref="BL18">10*LOG10(SUM(10^((BC18:BJ18+BC9:BJ9)/10)))</f>
        <v>30.206808100098765</v>
      </c>
      <c r="BM18" s="80">
        <f>BL18+10*LOG10(4/10)</f>
        <v>26.22740801337839</v>
      </c>
      <c r="BN18" s="80">
        <f>BL18+10*LOG10(4/2.5)</f>
        <v>32.248007926658012</v>
      </c>
      <c r="CM18" t="s">
        <v>513</v>
      </c>
      <c r="DN18" t="b">
        <f>D40</f>
        <v>0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0</v>
      </c>
      <c r="CR19" s="4">
        <f>IF($AC$7,CR16,CR16*3.6)</f>
        <v>54.12</v>
      </c>
      <c r="CS19" s="4">
        <f>IF($AC$7,CS16,CS16*3.6)</f>
        <v>53.52</v>
      </c>
      <c r="CT19" s="4" t="str">
        <f>IF(AC7,"dm³/s","m³/h")</f>
        <v>dm³/s</v>
      </c>
    </row>
    <row r="20" spans="1:118" x14ac:dyDescent="0.15">
      <c r="O20" s="420" t="s">
        <v>1265</v>
      </c>
      <c r="P20" t="s">
        <v>118</v>
      </c>
      <c r="BT20" s="2" t="s">
        <v>390</v>
      </c>
      <c r="CR20" s="5">
        <f>IF($AC$7,CR16*3.6,CR16)</f>
        <v>194.83199999999999</v>
      </c>
      <c r="CS20" s="5">
        <f>IF($AC$7,CS16*3.6,CS16)</f>
        <v>192.67200000000003</v>
      </c>
      <c r="CT20" s="4" t="str">
        <f t="shared" ref="CT20" si="19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71</v>
      </c>
      <c r="BU22" s="80">
        <f>'Laskenta keittiöohitus'!D32</f>
        <v>66</v>
      </c>
      <c r="BV22" s="80">
        <f>'Laskenta keittiöohitus'!E32</f>
        <v>62</v>
      </c>
      <c r="BW22" s="80">
        <f>'Laskenta keittiöohitus'!F32</f>
        <v>55</v>
      </c>
      <c r="BX22" s="80">
        <f>'Laskenta keittiöohitus'!G32</f>
        <v>52</v>
      </c>
      <c r="BY22" s="80">
        <f>'Laskenta keittiöohitus'!H32</f>
        <v>43</v>
      </c>
      <c r="BZ22" s="80">
        <f>'Laskenta keittiöohitus'!I32</f>
        <v>32</v>
      </c>
      <c r="CA22" s="80">
        <f>'Laskenta keittiöohitus'!J32</f>
        <v>24</v>
      </c>
      <c r="CB22" s="80">
        <f>'Laskenta keittiöohitus'!K32</f>
        <v>72.707189991030347</v>
      </c>
      <c r="CC22" s="80">
        <f>'Laskenta keittiöohitus'!D27</f>
        <v>57.509878740817705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Pistotulppa 230 V, 50 Hz, 10 A, max 1165 W</v>
      </c>
      <c r="CR22" t="str">
        <f t="shared" ref="CR22:CR27" si="20">C23</f>
        <v>Model 60</v>
      </c>
      <c r="CV22" s="621">
        <f>'Laskenta tulopuoli 60'!AI34</f>
        <v>0.83074069130516692</v>
      </c>
      <c r="CW22" s="621">
        <f>'Laskenta poistopuoli 60'!AI34</f>
        <v>1.0580775879717956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5.8397685275235043</v>
      </c>
      <c r="DA22" s="5">
        <f>'Laskenta poistopuoli 60'!AL36</f>
        <v>5.0301744492585003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5">
        <v>1</v>
      </c>
      <c r="C23" t="s">
        <v>115</v>
      </c>
      <c r="D23" t="b">
        <f>'Laskenta tulopuoli 60'!W10</f>
        <v>1</v>
      </c>
      <c r="E23" s="5">
        <f>'Laskenta tulopuoli 60'!W9</f>
        <v>5.0302292391501711</v>
      </c>
      <c r="F23" s="5">
        <f>'Laskenta tulopuoli 60'!W14</f>
        <v>22.813847178921428</v>
      </c>
      <c r="G23" t="b">
        <f>'Laskenta poistopuoli 60'!W10</f>
        <v>1</v>
      </c>
      <c r="H23" s="5">
        <f>'Laskenta poistopuoli 60'!W9</f>
        <v>4.309833456421293</v>
      </c>
      <c r="I23" s="5">
        <f>'Laskenta poistopuoli 60'!W14</f>
        <v>17.754934733499603</v>
      </c>
      <c r="J23" s="4">
        <v>4.4000000000000004</v>
      </c>
      <c r="K23" s="5">
        <f t="shared" ref="K23:K28" si="21">F23+I23+J23</f>
        <v>44.968781912421029</v>
      </c>
      <c r="L23" s="32">
        <f>K23/MAX('R-series'!$E$33,'R-series'!$G$33)</f>
        <v>0.99709050803594301</v>
      </c>
      <c r="M23" s="4">
        <f>90*0.7</f>
        <v>62.999999999999993</v>
      </c>
      <c r="N23" s="99">
        <v>1.1864630512155652</v>
      </c>
      <c r="O23" s="845">
        <v>0.79500000000000004</v>
      </c>
      <c r="P23" s="80">
        <f>'Laskenta tulopuoli 60'!$AF$44</f>
        <v>83.405545621946942</v>
      </c>
      <c r="Q23" s="80">
        <f>'Laskenta tulopuoli 60'!$AG$44</f>
        <v>66.405545621946942</v>
      </c>
      <c r="R23" s="80">
        <f>'Laskenta tulopuoli 60'!$AH$44</f>
        <v>62.405545621946942</v>
      </c>
      <c r="S23" s="80">
        <f>'Laskenta tulopuoli 60'!$AI$44</f>
        <v>59.405545621946942</v>
      </c>
      <c r="T23" s="80">
        <f>'Laskenta tulopuoli 60'!$AJ$44</f>
        <v>53.405545621946942</v>
      </c>
      <c r="U23" s="80">
        <f>'Laskenta tulopuoli 60'!$AK$44</f>
        <v>51.405545621946942</v>
      </c>
      <c r="V23" s="80">
        <f>'Laskenta tulopuoli 60'!$AL$44</f>
        <v>46.405545621946942</v>
      </c>
      <c r="W23" s="80">
        <f>'Laskenta tulopuoli 60'!$AM$44</f>
        <v>38.405545621946942</v>
      </c>
      <c r="X23" s="80">
        <f>'Laskenta tulopuoli 60'!$AN$44</f>
        <v>83.54965498562467</v>
      </c>
      <c r="Y23" s="108">
        <f>'Laskenta tulopuoli 60'!$W$6</f>
        <v>62.405545621946942</v>
      </c>
      <c r="Z23" s="80">
        <f>'Laskenta tulopuoli 60'!$AF$43</f>
        <v>74.68021936075894</v>
      </c>
      <c r="AA23" s="80">
        <f>'Laskenta tulopuoli 60'!$AG$43</f>
        <v>57.680219360758947</v>
      </c>
      <c r="AB23" s="80">
        <f>'Laskenta tulopuoli 60'!$AH$43</f>
        <v>54.680219360758947</v>
      </c>
      <c r="AC23" s="80">
        <f>'Laskenta tulopuoli 60'!$AI$43</f>
        <v>45.680219360758947</v>
      </c>
      <c r="AD23" s="80">
        <f>'Laskenta tulopuoli 60'!$AJ$43</f>
        <v>35.680219360758947</v>
      </c>
      <c r="AE23" s="80">
        <f>'Laskenta tulopuoli 60'!$AK$43</f>
        <v>29.680219360758947</v>
      </c>
      <c r="AF23" s="80">
        <f>'Laskenta tulopuoli 60'!$AL$43</f>
        <v>21.680219360758947</v>
      </c>
      <c r="AG23" s="80">
        <f>'Laskenta tulopuoli 60'!$AM$43</f>
        <v>18.680219360758947</v>
      </c>
      <c r="AH23" s="80">
        <f>'Laskenta tulopuoli 60'!$AN$43</f>
        <v>74.814392047259815</v>
      </c>
      <c r="AI23" s="108">
        <f>'Laskenta tulopuoli 60'!$W$5</f>
        <v>51.680219360758947</v>
      </c>
      <c r="AJ23" s="80">
        <f>'Laskenta poistopuoli 60'!$AF$43</f>
        <v>73.043779448357895</v>
      </c>
      <c r="AK23" s="80">
        <f>'Laskenta poistopuoli 60'!$AG$43</f>
        <v>54.043779448357903</v>
      </c>
      <c r="AL23" s="80">
        <f>'Laskenta poistopuoli 60'!$AH$43</f>
        <v>49.043779448357903</v>
      </c>
      <c r="AM23" s="80">
        <f>'Laskenta poistopuoli 60'!$AI$43</f>
        <v>46.043779448357903</v>
      </c>
      <c r="AN23" s="80">
        <f>'Laskenta poistopuoli 60'!$AJ$43</f>
        <v>40.043779448357903</v>
      </c>
      <c r="AO23" s="80">
        <f>'Laskenta poistopuoli 60'!$AK$43</f>
        <v>33.043779448357903</v>
      </c>
      <c r="AP23" s="80">
        <f>'Laskenta poistopuoli 60'!$AL$43</f>
        <v>24.043779448357903</v>
      </c>
      <c r="AQ23" s="80">
        <f>'Laskenta poistopuoli 60'!$AM$43</f>
        <v>18.043779448357903</v>
      </c>
      <c r="AR23" s="80">
        <f>'Laskenta poistopuoli 60'!$AN$43</f>
        <v>73.12629914247897</v>
      </c>
      <c r="AS23" s="108">
        <f>'Laskenta poistopuoli 60'!$W$5</f>
        <v>50.043779448357903</v>
      </c>
      <c r="AT23" s="80">
        <f>'Laskenta poistopuoli 60'!$AF$44</f>
        <v>80.140030197120907</v>
      </c>
      <c r="AU23" s="80">
        <f>'Laskenta poistopuoli 60'!$AG$44</f>
        <v>64.140030197120907</v>
      </c>
      <c r="AV23" s="80">
        <f>'Laskenta poistopuoli 60'!$AH$44</f>
        <v>62.140030197120907</v>
      </c>
      <c r="AW23" s="80">
        <f>'Laskenta poistopuoli 60'!$AI$44</f>
        <v>55.140030197120907</v>
      </c>
      <c r="AX23" s="80">
        <f>'Laskenta poistopuoli 60'!$AJ$44</f>
        <v>52.140030197120907</v>
      </c>
      <c r="AY23" s="80">
        <f>'Laskenta poistopuoli 60'!$AK$44</f>
        <v>50.140030197120907</v>
      </c>
      <c r="AZ23" s="80">
        <f>'Laskenta poistopuoli 60'!$AL$44</f>
        <v>45.140030197120907</v>
      </c>
      <c r="BA23" s="80">
        <f>'Laskenta poistopuoli 60'!$AM$44</f>
        <v>41.140030197120907</v>
      </c>
      <c r="BB23" s="80">
        <f>'Laskenta poistopuoli 60'!$AN$44</f>
        <v>80.34014856188854</v>
      </c>
      <c r="BC23" s="108">
        <f>'Laskenta poistopuoli 60'!$W$6</f>
        <v>60.140030197120907</v>
      </c>
      <c r="BD23" s="80">
        <f>'Laskenta vaipan läpi 60'!L39</f>
        <v>50.26181180292869</v>
      </c>
      <c r="BE23" s="80">
        <f>'Laskenta vaipan läpi 60'!M39</f>
        <v>46.26181180292869</v>
      </c>
      <c r="BF23" s="80">
        <f>'Laskenta vaipan läpi 60'!N39</f>
        <v>41.26181180292869</v>
      </c>
      <c r="BG23" s="80">
        <f>'Laskenta vaipan läpi 60'!O39</f>
        <v>32.26181180292869</v>
      </c>
      <c r="BH23" s="80">
        <f>'Laskenta vaipan läpi 60'!P39</f>
        <v>24.26181180292869</v>
      </c>
      <c r="BI23" s="80">
        <f>'Laskenta vaipan läpi 60'!Q39</f>
        <v>18.26181180292869</v>
      </c>
      <c r="BJ23" s="80">
        <f>'Laskenta vaipan läpi 60'!R39</f>
        <v>11.26181180292869</v>
      </c>
      <c r="BK23" s="80">
        <f>'Laskenta vaipan läpi 60'!S39</f>
        <v>10.26181180292869</v>
      </c>
      <c r="BL23" s="80">
        <f>'Laskenta vaipan läpi 60'!T39</f>
        <v>52.146082860540226</v>
      </c>
      <c r="BM23" s="108">
        <f>'Laskenta vaipan läpi 60'!C35</f>
        <v>36.26181180292869</v>
      </c>
      <c r="BN23" s="80">
        <f>BM23+10*LOG10(4/10)</f>
        <v>32.282411716208316</v>
      </c>
      <c r="BO23" s="80">
        <f>BM23+10*LOG10(4/2.5)</f>
        <v>38.303011629487941</v>
      </c>
      <c r="BS23" t="s">
        <v>116</v>
      </c>
      <c r="BT23" s="80">
        <f>BT22</f>
        <v>71</v>
      </c>
      <c r="BU23" s="80">
        <f t="shared" ref="BU23:CC23" si="22">BU22</f>
        <v>66</v>
      </c>
      <c r="BV23" s="80">
        <f t="shared" si="22"/>
        <v>62</v>
      </c>
      <c r="BW23" s="80">
        <f t="shared" si="22"/>
        <v>55</v>
      </c>
      <c r="BX23" s="80">
        <f t="shared" si="22"/>
        <v>52</v>
      </c>
      <c r="BY23" s="80">
        <f t="shared" si="22"/>
        <v>43</v>
      </c>
      <c r="BZ23" s="80">
        <f t="shared" si="22"/>
        <v>32</v>
      </c>
      <c r="CA23" s="80">
        <f t="shared" si="22"/>
        <v>24</v>
      </c>
      <c r="CB23" s="80">
        <f t="shared" si="22"/>
        <v>72.707189991030347</v>
      </c>
      <c r="CC23" s="80">
        <f t="shared" si="22"/>
        <v>57.509878740817705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Pistotulppa 230 V, 50 Hz, 10 A, max 1165 W</v>
      </c>
      <c r="CR23" t="str">
        <f t="shared" si="20"/>
        <v>Model 100</v>
      </c>
      <c r="CV23" s="621">
        <f>'Laskenta tulopuoli 100'!AL34</f>
        <v>0.76811063658015932</v>
      </c>
      <c r="CW23" s="621">
        <f>'Laskenta poistopuoli 100'!AL34</f>
        <v>1.0014558174697163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6.0493245906815094</v>
      </c>
      <c r="DA23" s="5">
        <f>'Laskenta poistopuoli 100'!AO36</f>
        <v>5.2925485252393409</v>
      </c>
      <c r="DG23" s="485">
        <v>1</v>
      </c>
      <c r="DI23" t="s">
        <v>115</v>
      </c>
      <c r="DK23" s="621" t="str">
        <f>'Kojeet ja kennon hyötysuhde'!N4</f>
        <v>-</v>
      </c>
      <c r="DL23" s="621" t="str">
        <f>'Kojeet ja kennon hyötysuhde'!O4</f>
        <v>-</v>
      </c>
      <c r="DN23">
        <v>920</v>
      </c>
    </row>
    <row r="24" spans="1:118" x14ac:dyDescent="0.15">
      <c r="A24" s="485">
        <v>2</v>
      </c>
      <c r="C24" t="s">
        <v>116</v>
      </c>
      <c r="D24" t="b">
        <f>'Laskenta tulopuoli 100'!$W$10</f>
        <v>1</v>
      </c>
      <c r="E24" s="5">
        <f>'Laskenta tulopuoli 100'!$W$9</f>
        <v>5.2606981527034833</v>
      </c>
      <c r="F24" s="5">
        <f>'Laskenta tulopuoli 100'!$W$14</f>
        <v>24.006013717721586</v>
      </c>
      <c r="G24" t="b">
        <f>'Laskenta poistopuoli 100'!$W$10</f>
        <v>1</v>
      </c>
      <c r="H24" s="5">
        <f>'Laskenta poistopuoli 100'!$W$9</f>
        <v>4.5864116691067442</v>
      </c>
      <c r="I24" s="5">
        <f>'Laskenta poistopuoli 100'!$W$14</f>
        <v>18.150117836193097</v>
      </c>
      <c r="J24" s="4">
        <v>4.4000000000000004</v>
      </c>
      <c r="K24" s="5">
        <f t="shared" si="21"/>
        <v>46.556131553914682</v>
      </c>
      <c r="L24" s="32">
        <f>K24/MAX('R-series'!$E$33,'R-series'!$G$33)</f>
        <v>1.0322867306854697</v>
      </c>
      <c r="M24" s="4">
        <f>90*0.7</f>
        <v>62.999999999999993</v>
      </c>
      <c r="N24" s="99">
        <v>1.2159469045764615</v>
      </c>
      <c r="O24" s="845">
        <v>0.82499999999999996</v>
      </c>
      <c r="P24" s="80">
        <f>'Laskenta tulopuoli 100'!$AF$44</f>
        <v>85.166842089688146</v>
      </c>
      <c r="Q24" s="80">
        <f>'Laskenta tulopuoli 100'!$AG$44</f>
        <v>70.166842089688146</v>
      </c>
      <c r="R24" s="80">
        <f>'Laskenta tulopuoli 100'!$AH$44</f>
        <v>62.166842089688146</v>
      </c>
      <c r="S24" s="80">
        <f>'Laskenta tulopuoli 100'!$AI$44</f>
        <v>59.166842089688146</v>
      </c>
      <c r="T24" s="80">
        <f>'Laskenta tulopuoli 100'!$AJ$44</f>
        <v>53.166842089688146</v>
      </c>
      <c r="U24" s="80">
        <f>'Laskenta tulopuoli 100'!$AK$44</f>
        <v>51.166842089688146</v>
      </c>
      <c r="V24" s="80">
        <f>'Laskenta tulopuoli 100'!$AL$44</f>
        <v>45.166842089688146</v>
      </c>
      <c r="W24" s="80">
        <f>'Laskenta tulopuoli 100'!$AM$44</f>
        <v>35.166842089688146</v>
      </c>
      <c r="X24" s="80">
        <f>'Laskenta tulopuoli 100'!$AN$44</f>
        <v>85.338367957927019</v>
      </c>
      <c r="Y24" s="108">
        <f>'Laskenta tulopuoli 100'!$W$6</f>
        <v>63.166842089688146</v>
      </c>
      <c r="Z24" s="80">
        <f>'Laskenta tulopuoli 100'!$AF$43</f>
        <v>73.054193223984697</v>
      </c>
      <c r="AA24" s="80">
        <f>'Laskenta tulopuoli 100'!$AG$43</f>
        <v>62.054193223984704</v>
      </c>
      <c r="AB24" s="80">
        <f>'Laskenta tulopuoli 100'!$AH$43</f>
        <v>55.054193223984704</v>
      </c>
      <c r="AC24" s="80">
        <f>'Laskenta tulopuoli 100'!$AI$43</f>
        <v>44.054193223984704</v>
      </c>
      <c r="AD24" s="80">
        <f>'Laskenta tulopuoli 100'!$AJ$43</f>
        <v>32.054193223984704</v>
      </c>
      <c r="AE24" s="80">
        <f>'Laskenta tulopuoli 100'!$AK$43</f>
        <v>26.054193223984704</v>
      </c>
      <c r="AF24" s="80">
        <f>'Laskenta tulopuoli 100'!$AL$43</f>
        <v>18.054193223984704</v>
      </c>
      <c r="AG24" s="80">
        <f>'Laskenta tulopuoli 100'!$AM$43</f>
        <v>13.054193223984704</v>
      </c>
      <c r="AH24" s="80">
        <f>'Laskenta tulopuoli 100'!$AN$43</f>
        <v>73.454850797406877</v>
      </c>
      <c r="AI24" s="108">
        <f>'Laskenta tulopuoli 100'!$W$5</f>
        <v>52.054193223984704</v>
      </c>
      <c r="AJ24" s="80">
        <f>'Laskenta poistopuoli 100'!$AF$43</f>
        <v>67.991849262605825</v>
      </c>
      <c r="AK24" s="80">
        <f>'Laskenta poistopuoli 100'!$AG$43</f>
        <v>58.991849262605832</v>
      </c>
      <c r="AL24" s="80">
        <f>'Laskenta poistopuoli 100'!$AH$43</f>
        <v>51.991849262605832</v>
      </c>
      <c r="AM24" s="80">
        <f>'Laskenta poistopuoli 100'!$AI$43</f>
        <v>43.991849262605832</v>
      </c>
      <c r="AN24" s="80">
        <f>'Laskenta poistopuoli 100'!$AJ$43</f>
        <v>35.991849262605832</v>
      </c>
      <c r="AO24" s="80">
        <f>'Laskenta poistopuoli 100'!$AK$43</f>
        <v>29.991849262605832</v>
      </c>
      <c r="AP24" s="80">
        <f>'Laskenta poistopuoli 100'!$AL$43</f>
        <v>19.991849262605832</v>
      </c>
      <c r="AQ24" s="80">
        <f>'Laskenta poistopuoli 100'!$AM$43</f>
        <v>14.991849262605832</v>
      </c>
      <c r="AR24" s="80">
        <f>'Laskenta poistopuoli 100'!$AN$43</f>
        <v>68.620686627350423</v>
      </c>
      <c r="AS24" s="108">
        <f>'Laskenta poistopuoli 100'!$W$5</f>
        <v>48.991849262605832</v>
      </c>
      <c r="AT24" s="80">
        <f>'Laskenta poistopuoli 100'!$AF$44</f>
        <v>83.131940217930122</v>
      </c>
      <c r="AU24" s="80">
        <f>'Laskenta poistopuoli 100'!$AG$44</f>
        <v>67.131940217930122</v>
      </c>
      <c r="AV24" s="80">
        <f>'Laskenta poistopuoli 100'!$AH$44</f>
        <v>64.131940217930122</v>
      </c>
      <c r="AW24" s="80">
        <f>'Laskenta poistopuoli 100'!$AI$44</f>
        <v>57.131940217930122</v>
      </c>
      <c r="AX24" s="80">
        <f>'Laskenta poistopuoli 100'!$AJ$44</f>
        <v>52.131940217930122</v>
      </c>
      <c r="AY24" s="80">
        <f>'Laskenta poistopuoli 100'!$AK$44</f>
        <v>50.131940217930122</v>
      </c>
      <c r="AZ24" s="80">
        <f>'Laskenta poistopuoli 100'!$AL$44</f>
        <v>43.131940217930122</v>
      </c>
      <c r="BA24" s="80">
        <f>'Laskenta poistopuoli 100'!$AM$44</f>
        <v>39.131940217930122</v>
      </c>
      <c r="BB24" s="80">
        <f>'Laskenta poistopuoli 100'!$AN$44</f>
        <v>83.309180626517744</v>
      </c>
      <c r="BC24" s="108">
        <f>'Laskenta poistopuoli 100'!$W$6</f>
        <v>61.131940217930122</v>
      </c>
      <c r="BD24" s="80">
        <f>'Laskenta vaipan läpi 100'!$L$39</f>
        <v>52.059608416600945</v>
      </c>
      <c r="BE24" s="80">
        <f>'Laskenta vaipan läpi 100'!$M$39</f>
        <v>47.059608416600945</v>
      </c>
      <c r="BF24" s="80">
        <f>'Laskenta vaipan läpi 100'!$N$39</f>
        <v>42.059608416600945</v>
      </c>
      <c r="BG24" s="80">
        <f>'Laskenta vaipan läpi 100'!$O$39</f>
        <v>32.059608416600945</v>
      </c>
      <c r="BH24" s="80">
        <f>'Laskenta vaipan läpi 100'!$P$39</f>
        <v>23.059608416600945</v>
      </c>
      <c r="BI24" s="80">
        <f>'Laskenta vaipan läpi 100'!$Q$39</f>
        <v>17.059608416600945</v>
      </c>
      <c r="BJ24" s="80">
        <f>'Laskenta vaipan läpi 100'!$R$39</f>
        <v>11.059608416600945</v>
      </c>
      <c r="BK24" s="80">
        <f>'Laskenta vaipan läpi 100'!$S$39</f>
        <v>7.0596084166009447</v>
      </c>
      <c r="BL24" s="80">
        <f>'Laskenta vaipan läpi 100'!$T$39</f>
        <v>53.606628856567454</v>
      </c>
      <c r="BM24" s="108">
        <f>'Laskenta vaipan läpi 100'!$C$35</f>
        <v>37.059608416600945</v>
      </c>
      <c r="BN24" s="80">
        <f t="shared" ref="BN24" si="23">BM24+10*LOG10(4/10)</f>
        <v>33.08020832988057</v>
      </c>
      <c r="BO24" s="80">
        <f t="shared" ref="BO24" si="24">BM24+10*LOG10(4/2.5)</f>
        <v>39.100808243160195</v>
      </c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Pistotulppa 230 V, 50 Hz, 16 A, max 2200 W</v>
      </c>
      <c r="CR24" t="str">
        <f t="shared" si="20"/>
        <v>Model 150</v>
      </c>
      <c r="CV24" s="621">
        <f>'Laskenta tulopuoli 150'!AL34</f>
        <v>1.5706570108409439</v>
      </c>
      <c r="CW24" s="621">
        <f>'Laskenta poistopuoli 150'!AL34</f>
        <v>1.8865108976757208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4.3198701780401114</v>
      </c>
      <c r="DA24" s="5">
        <f>'Laskenta poistopuoli 150'!AO36</f>
        <v>3.8975550932320275</v>
      </c>
      <c r="DG24" s="485">
        <v>2</v>
      </c>
      <c r="DI24" t="s">
        <v>116</v>
      </c>
      <c r="DK24" s="621">
        <f>'Kojeet ja kennon hyötysuhde'!N5</f>
        <v>0.82462083333333336</v>
      </c>
      <c r="DL24" s="621">
        <f>'Kojeet ja kennon hyötysuhde'!O5</f>
        <v>0.83386249999999995</v>
      </c>
      <c r="DN24">
        <v>920</v>
      </c>
    </row>
    <row r="25" spans="1:118" ht="14" thickBot="1" x14ac:dyDescent="0.2">
      <c r="A25" s="485">
        <v>3</v>
      </c>
      <c r="C25" t="s">
        <v>129</v>
      </c>
      <c r="D25" s="4" t="b">
        <f>'Laskenta tulopuoli 150'!$W$13</f>
        <v>1</v>
      </c>
      <c r="E25" s="5">
        <f>'Laskenta tulopuoli 150'!$W$12</f>
        <v>3.6877421805560395</v>
      </c>
      <c r="F25" s="5">
        <f>'Laskenta tulopuoli 150'!$W$16</f>
        <v>17.74322983365461</v>
      </c>
      <c r="G25" s="4" t="b">
        <f>'Laskenta poistopuoli 150'!$W$13</f>
        <v>1</v>
      </c>
      <c r="H25" s="5">
        <f>'Laskenta poistopuoli 150'!$W$12</f>
        <v>3.2818510375758847</v>
      </c>
      <c r="I25" s="5">
        <f>'Laskenta poistopuoli 150'!$W$16</f>
        <v>13.697258155112504</v>
      </c>
      <c r="J25" s="4">
        <v>4.4000000000000004</v>
      </c>
      <c r="K25" s="5">
        <f t="shared" si="21"/>
        <v>35.840487988767116</v>
      </c>
      <c r="L25" s="32">
        <f>K25/MAX('R-series'!$E$33,'R-series'!$G$33)</f>
        <v>0.79468931238951479</v>
      </c>
      <c r="M25" s="4">
        <f>160*0.7</f>
        <v>112</v>
      </c>
      <c r="N25" s="99">
        <v>1.1878622810630028</v>
      </c>
      <c r="O25" s="846">
        <v>0.79500000000000004</v>
      </c>
      <c r="P25" s="80">
        <f>'Laskenta tulopuoli 150'!$AH$43</f>
        <v>65.567151332894014</v>
      </c>
      <c r="Q25" s="80">
        <f>'Laskenta tulopuoli 150'!$AI$43</f>
        <v>64.608698779724591</v>
      </c>
      <c r="R25" s="80">
        <f>'Laskenta tulopuoli 150'!$AJ$43</f>
        <v>59.991623706230683</v>
      </c>
      <c r="S25" s="80">
        <f>'Laskenta tulopuoli 150'!$AK$43</f>
        <v>50.159767932450876</v>
      </c>
      <c r="T25" s="80">
        <f>'Laskenta tulopuoli 150'!$AL$43</f>
        <v>41.096929720231032</v>
      </c>
      <c r="U25" s="80">
        <f>'Laskenta tulopuoli 150'!$AM$43</f>
        <v>40.668238372751667</v>
      </c>
      <c r="V25" s="80">
        <f>'Laskenta tulopuoli 150'!$AN$43</f>
        <v>30.549284282477338</v>
      </c>
      <c r="W25" s="80">
        <f>'Laskenta tulopuoli 150'!$AO$43</f>
        <v>25.723595900067469</v>
      </c>
      <c r="X25" s="80">
        <f>'Laskenta tulopuoli 150'!$AP$43</f>
        <v>68.820177491490028</v>
      </c>
      <c r="Y25" s="108">
        <f>'Laskenta tulopuoli 150'!$AQ$43</f>
        <v>54.72722647813881</v>
      </c>
      <c r="Z25" s="80">
        <f>'Laskenta tulopuoli 150'!$AH$42</f>
        <v>62.966292398624937</v>
      </c>
      <c r="AA25" s="80">
        <f>'Laskenta tulopuoli 150'!$AI$42</f>
        <v>56.246766034427786</v>
      </c>
      <c r="AB25" s="80">
        <f>'Laskenta tulopuoli 150'!$AJ$42</f>
        <v>50.714906696054364</v>
      </c>
      <c r="AC25" s="80">
        <f>'Laskenta tulopuoli 150'!$AK$42</f>
        <v>41.14956199129513</v>
      </c>
      <c r="AD25" s="80">
        <f>'Laskenta tulopuoli 150'!$AL$42</f>
        <v>26.627888698092015</v>
      </c>
      <c r="AE25" s="80">
        <f>'Laskenta tulopuoli 150'!$AM$42</f>
        <v>21.877596055478868</v>
      </c>
      <c r="AF25" s="80">
        <f>'Laskenta tulopuoli 150'!$AN$42</f>
        <v>15.615977285520479</v>
      </c>
      <c r="AG25" s="80">
        <f>'Laskenta tulopuoli 150'!$AO$42</f>
        <v>10.615977285520479</v>
      </c>
      <c r="AH25" s="80">
        <f>'Laskenta tulopuoli 150'!$AP$42</f>
        <v>64.036017318065291</v>
      </c>
      <c r="AI25" s="108">
        <f>'Laskenta tulopuoli 150'!$AQ$42</f>
        <v>45.834433386476817</v>
      </c>
      <c r="AJ25" s="80">
        <f>'Laskenta poistopuoli 150'!$AH$42</f>
        <v>55.896333250508675</v>
      </c>
      <c r="AK25" s="80">
        <f>'Laskenta poistopuoli 150'!$AI$42</f>
        <v>55.699853086967096</v>
      </c>
      <c r="AL25" s="80">
        <f>'Laskenta poistopuoli 150'!$AJ$42</f>
        <v>51.032819205714553</v>
      </c>
      <c r="AM25" s="80">
        <f>'Laskenta poistopuoli 150'!$AK$42</f>
        <v>36.47495478345887</v>
      </c>
      <c r="AN25" s="80">
        <f>'Laskenta poistopuoli 150'!$AL$42</f>
        <v>25.897118325539328</v>
      </c>
      <c r="AO25" s="80">
        <f>'Laskenta poistopuoli 150'!$AM$42</f>
        <v>19.481376922832695</v>
      </c>
      <c r="AP25" s="80">
        <f>'Laskenta poistopuoli 150'!$AN$42</f>
        <v>14.586925330183888</v>
      </c>
      <c r="AQ25" s="80">
        <f>'Laskenta poistopuoli 150'!$AO$42</f>
        <v>10.586925330183888</v>
      </c>
      <c r="AR25" s="80">
        <f>'Laskenta poistopuoli 150'!$AP$42</f>
        <v>59.503871810117602</v>
      </c>
      <c r="AS25" s="108">
        <f>'Laskenta poistopuoli 150'!$AQ$42</f>
        <v>44.805620092095808</v>
      </c>
      <c r="AT25" s="80">
        <f>'Laskenta poistopuoli 150'!$AH$43</f>
        <v>60.929578216047084</v>
      </c>
      <c r="AU25" s="80">
        <f>'Laskenta poistopuoli 150'!$AI$43</f>
        <v>60.732900255887699</v>
      </c>
      <c r="AV25" s="80">
        <f>'Laskenta poistopuoli 150'!$AJ$43</f>
        <v>59.765076329113654</v>
      </c>
      <c r="AW25" s="80">
        <f>'Laskenta poistopuoli 150'!$AK$43</f>
        <v>48.642810892753872</v>
      </c>
      <c r="AX25" s="80">
        <f>'Laskenta poistopuoli 150'!$AL$43</f>
        <v>38.654691814869473</v>
      </c>
      <c r="AY25" s="80">
        <f>'Laskenta poistopuoli 150'!$AM$43</f>
        <v>37.706919641583298</v>
      </c>
      <c r="AZ25" s="80">
        <f>'Laskenta poistopuoli 150'!$AN$43</f>
        <v>28.256089482113858</v>
      </c>
      <c r="BA25" s="80">
        <f>'Laskenta poistopuoli 150'!$AO$43</f>
        <v>22.401542652557247</v>
      </c>
      <c r="BB25" s="80">
        <f>'Laskenta poistopuoli 150'!$AP$43</f>
        <v>65.387107288381401</v>
      </c>
      <c r="BC25" s="108">
        <f>'Laskenta poistopuoli 150'!$AQ$43</f>
        <v>53.302241138759065</v>
      </c>
      <c r="BD25" s="80">
        <f>'Laskenta vaipan läpi 150'!$L$39</f>
        <v>50.476485909460024</v>
      </c>
      <c r="BE25" s="80">
        <f>'Laskenta vaipan läpi 150'!$M$39</f>
        <v>45.476485909460024</v>
      </c>
      <c r="BF25" s="80">
        <f>'Laskenta vaipan läpi 150'!$N$39</f>
        <v>45.476485909460024</v>
      </c>
      <c r="BG25" s="80">
        <f>'Laskenta vaipan läpi 150'!$O$39</f>
        <v>35.476485909460024</v>
      </c>
      <c r="BH25" s="80">
        <f>'Laskenta vaipan läpi 150'!$P$39</f>
        <v>23.476485909460024</v>
      </c>
      <c r="BI25" s="80">
        <f>'Laskenta vaipan läpi 150'!$Q$39</f>
        <v>21.476485909460024</v>
      </c>
      <c r="BJ25" s="80">
        <f>'Laskenta vaipan läpi 150'!$R$39</f>
        <v>16.476485909460024</v>
      </c>
      <c r="BK25" s="80">
        <f>'Laskenta vaipan läpi 150'!$S$39</f>
        <v>15.476485909460024</v>
      </c>
      <c r="BL25" s="80">
        <f>'Laskenta vaipan läpi 150'!$T$39</f>
        <v>52.698568304666018</v>
      </c>
      <c r="BM25" s="108">
        <f>'Laskenta vaipan läpi 150'!$C$35</f>
        <v>39.476485909460024</v>
      </c>
      <c r="BN25" s="80">
        <f>BM25+10*LOG10(4/10)</f>
        <v>35.497085822739649</v>
      </c>
      <c r="BO25" s="80">
        <f>BM25+10*LOG10(4/2.5)</f>
        <v>41.517685736019274</v>
      </c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Pistotulppa 230 V, 50 Hz, 16 A, max 3500 W</v>
      </c>
      <c r="CR25" t="str">
        <f t="shared" si="20"/>
        <v>Model 250</v>
      </c>
      <c r="CV25" s="621">
        <f>'Laskenta tulopuoli 250'!AP34</f>
        <v>1.3579046713691443</v>
      </c>
      <c r="CW25" s="621">
        <f>'Laskenta poistopuoli 250'!AP34</f>
        <v>1.5185686615282936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4.1977982673106373</v>
      </c>
      <c r="DA25" s="5">
        <f>'Laskenta poistopuoli 250'!AS36</f>
        <v>3.9739758968741987</v>
      </c>
      <c r="DG25" s="485">
        <v>3</v>
      </c>
      <c r="DI25" t="s">
        <v>129</v>
      </c>
      <c r="DK25" s="621" t="str">
        <f>'Kojeet ja kennon hyötysuhde'!N6</f>
        <v>-</v>
      </c>
      <c r="DL25" s="621" t="str">
        <f>'Kojeet ja kennon hyötysuhde'!O6</f>
        <v>-</v>
      </c>
      <c r="DN25">
        <f>2*920</f>
        <v>1840</v>
      </c>
    </row>
    <row r="26" spans="1:118" ht="14" thickBot="1" x14ac:dyDescent="0.2">
      <c r="A26" s="485">
        <v>4</v>
      </c>
      <c r="C26" t="s">
        <v>561</v>
      </c>
      <c r="D26" s="4" t="b">
        <f>'Laskenta tulopuoli 250'!$W$10</f>
        <v>1</v>
      </c>
      <c r="E26" s="5">
        <f>'Laskenta tulopuoli 250'!$W$9</f>
        <v>3.6362588253855237</v>
      </c>
      <c r="F26" s="5">
        <f>'Laskenta tulopuoli 250'!$W$14</f>
        <v>24.735367445419278</v>
      </c>
      <c r="G26" s="4" t="b">
        <f>'Laskenta poistopuoli 250'!$W$10</f>
        <v>1</v>
      </c>
      <c r="H26" s="5">
        <f>'Laskenta poistopuoli 250'!$W$9</f>
        <v>3.4493235372979947</v>
      </c>
      <c r="I26" s="5">
        <f>'Laskenta poistopuoli 250'!$W$14</f>
        <v>23.171215815794739</v>
      </c>
      <c r="J26" s="301">
        <v>4.4000000000000004</v>
      </c>
      <c r="K26" s="5">
        <f t="shared" si="21"/>
        <v>52.306583261214016</v>
      </c>
      <c r="L26" s="32">
        <f>K26/MAX('R-series'!$E$33,'R-series'!$G$33)</f>
        <v>1.159791203131131</v>
      </c>
      <c r="M26" s="426">
        <f>250*0.7</f>
        <v>175</v>
      </c>
      <c r="N26" s="301">
        <v>1.0567749967474349</v>
      </c>
      <c r="O26" s="847">
        <f>'Kojeet ja kennon hyötysuhde'!M7</f>
        <v>0.79500000000000004</v>
      </c>
      <c r="P26" s="80">
        <f>'Laskenta tulopuoli 250'!$AF$44</f>
        <v>60.684900992146197</v>
      </c>
      <c r="Q26" s="80">
        <f>'Laskenta tulopuoli 250'!$AG$44</f>
        <v>62.684900992146197</v>
      </c>
      <c r="R26" s="80">
        <f>'Laskenta tulopuoli 250'!$AH$44</f>
        <v>53.684900992146197</v>
      </c>
      <c r="S26" s="80">
        <f>'Laskenta tulopuoli 250'!$AI$44</f>
        <v>50.684900992146197</v>
      </c>
      <c r="T26" s="80">
        <f>'Laskenta tulopuoli 250'!$AJ$44</f>
        <v>49.684900992146197</v>
      </c>
      <c r="U26" s="80">
        <f>'Laskenta tulopuoli 250'!$AK$44</f>
        <v>44.684900992146197</v>
      </c>
      <c r="V26" s="80">
        <f>'Laskenta tulopuoli 250'!$AL$44</f>
        <v>40.684900992146197</v>
      </c>
      <c r="W26" s="80">
        <f>'Laskenta tulopuoli 250'!$AM$44</f>
        <v>38.684900992146197</v>
      </c>
      <c r="X26" s="80">
        <f>'Laskenta tulopuoli 250'!$AN$44</f>
        <v>65.463751393925008</v>
      </c>
      <c r="Y26" s="108">
        <f>'Laskenta tulopuoli 250'!$W$6</f>
        <v>54.684900992146197</v>
      </c>
      <c r="Z26" s="80">
        <f>'Laskenta tulopuoli 250'!$AF$43</f>
        <v>52.114768212132461</v>
      </c>
      <c r="AA26" s="80">
        <f>'Laskenta tulopuoli 250'!$AG$43</f>
        <v>50.114768212132461</v>
      </c>
      <c r="AB26" s="80">
        <f>'Laskenta tulopuoli 250'!$AH$43</f>
        <v>38.114768212132461</v>
      </c>
      <c r="AC26" s="80">
        <f>'Laskenta tulopuoli 250'!$AI$43</f>
        <v>32.114768212132461</v>
      </c>
      <c r="AD26" s="80">
        <f>'Laskenta tulopuoli 250'!$AJ$43</f>
        <v>28.114768212132461</v>
      </c>
      <c r="AE26" s="80">
        <f>'Laskenta tulopuoli 250'!$AK$43</f>
        <v>23.114768212132461</v>
      </c>
      <c r="AF26" s="80">
        <f>'Laskenta tulopuoli 250'!$AL$43</f>
        <v>13.114768212132461</v>
      </c>
      <c r="AG26" s="80">
        <f>'Laskenta tulopuoli 250'!$AM$43</f>
        <v>8.1147682121324607</v>
      </c>
      <c r="AH26" s="80">
        <f>'Laskenta tulopuoli 250'!$AN$43</f>
        <v>54.383791482936147</v>
      </c>
      <c r="AI26" s="108">
        <f>'Laskenta tulopuoli 250'!$W$5</f>
        <v>37.114768212132461</v>
      </c>
      <c r="AJ26" s="80">
        <f>'Laskenta poistopuoli 250'!$AF$43</f>
        <v>51.781862997423623</v>
      </c>
      <c r="AK26" s="80">
        <f>'Laskenta poistopuoli 250'!$AG$43</f>
        <v>48.781862997423623</v>
      </c>
      <c r="AL26" s="80">
        <f>'Laskenta poistopuoli 250'!$AH$43</f>
        <v>35.781862997423623</v>
      </c>
      <c r="AM26" s="80">
        <f>'Laskenta poistopuoli 250'!$AI$43</f>
        <v>31.781862997423623</v>
      </c>
      <c r="AN26" s="80">
        <f>'Laskenta poistopuoli 250'!$AJ$43</f>
        <v>26.781862997423623</v>
      </c>
      <c r="AO26" s="80">
        <f>'Laskenta poistopuoli 250'!$AK$43</f>
        <v>21.781862997423623</v>
      </c>
      <c r="AP26" s="80">
        <f>'Laskenta poistopuoli 250'!$AL$43</f>
        <v>12.781862997423623</v>
      </c>
      <c r="AQ26" s="80">
        <f>'Laskenta poistopuoli 250'!$AM$43</f>
        <v>3.7818629974236231</v>
      </c>
      <c r="AR26" s="80">
        <f>'Laskenta poistopuoli 250'!$AN$43</f>
        <v>53.658790452574834</v>
      </c>
      <c r="AS26" s="108">
        <f>'Laskenta poistopuoli 250'!$W$5</f>
        <v>35.781862997423623</v>
      </c>
      <c r="AT26" s="80">
        <f>'Laskenta poistopuoli 250'!$AF$44</f>
        <v>59.187489198229144</v>
      </c>
      <c r="AU26" s="80">
        <f>'Laskenta poistopuoli 250'!$AG$44</f>
        <v>59.187489198229144</v>
      </c>
      <c r="AV26" s="80">
        <f>'Laskenta poistopuoli 250'!$AH$44</f>
        <v>50.187489198229144</v>
      </c>
      <c r="AW26" s="80">
        <f>'Laskenta poistopuoli 250'!$AI$44</f>
        <v>47.187489198229144</v>
      </c>
      <c r="AX26" s="80">
        <f>'Laskenta poistopuoli 250'!$AJ$44</f>
        <v>46.187489198229144</v>
      </c>
      <c r="AY26" s="80">
        <f>'Laskenta poistopuoli 250'!$AK$44</f>
        <v>41.187489198229144</v>
      </c>
      <c r="AZ26" s="80">
        <f>'Laskenta poistopuoli 250'!$AL$44</f>
        <v>37.187489198229144</v>
      </c>
      <c r="BA26" s="80">
        <f>'Laskenta poistopuoli 250'!$AM$44</f>
        <v>35.187489198229144</v>
      </c>
      <c r="BB26" s="80">
        <f>'Laskenta poistopuoli 250'!$AN$44</f>
        <v>62.738644024613698</v>
      </c>
      <c r="BC26" s="108">
        <f>'Laskenta poistopuoli 250'!$W$6</f>
        <v>51.187489198229144</v>
      </c>
      <c r="BD26" s="299">
        <f>'Laskenta vaipan läpi 250'!$L$39</f>
        <v>55.738003130214246</v>
      </c>
      <c r="BE26" s="299">
        <f>'Laskenta vaipan läpi 250'!$M$39</f>
        <v>49.738003130214246</v>
      </c>
      <c r="BF26" s="299">
        <f>'Laskenta vaipan läpi 250'!$N$39</f>
        <v>40.738003130214246</v>
      </c>
      <c r="BG26" s="299">
        <f>'Laskenta vaipan läpi 250'!$O$39</f>
        <v>27.738003130214246</v>
      </c>
      <c r="BH26" s="299">
        <f>'Laskenta vaipan läpi 250'!$P$39</f>
        <v>23.738003130214246</v>
      </c>
      <c r="BI26" s="299">
        <f>'Laskenta vaipan läpi 250'!$Q$39</f>
        <v>19.738003130214246</v>
      </c>
      <c r="BJ26" s="299">
        <f>'Laskenta vaipan läpi 250'!$R$39</f>
        <v>19.738003130214246</v>
      </c>
      <c r="BK26" s="299">
        <f>'Laskenta vaipan läpi 250'!$S$39</f>
        <v>18.738003130214246</v>
      </c>
      <c r="BL26" s="299">
        <f>'Laskenta vaipan läpi 250'!$T$39</f>
        <v>56.829498113859039</v>
      </c>
      <c r="BM26" s="300">
        <f>'Laskenta vaipan läpi 250'!$C$35</f>
        <v>37.738003130214246</v>
      </c>
      <c r="BN26" s="80">
        <f>BM26+10*LOG10(4/10)</f>
        <v>33.758603043493871</v>
      </c>
      <c r="BO26" s="80">
        <f>BM26+10*LOG10(4/2.5)</f>
        <v>39.779202956773496</v>
      </c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346.90815955442031</v>
      </c>
      <c r="CJ26">
        <f>'Laskenta tulopuoli 350'!$AN$14</f>
        <v>1267.6333333333332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Pistotulppa 400 VAC, 50 Hz, 3 x 16 A, max 8250 W</v>
      </c>
      <c r="CR26" t="str">
        <f t="shared" si="20"/>
        <v>Model 350</v>
      </c>
      <c r="CV26" s="621">
        <f>'Laskenta tulopuoli 350'!AO34</f>
        <v>2.1589273778806932</v>
      </c>
      <c r="CW26" s="621">
        <f>'Laskenta poistopuoli 350'!AO34</f>
        <v>2.3622746790695657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4.1977982673106373</v>
      </c>
      <c r="DA26" s="5">
        <f>'Laskenta poistopuoli 350'!AR36</f>
        <v>3.9739758968741987</v>
      </c>
      <c r="DG26" s="485">
        <v>4</v>
      </c>
      <c r="DI26" t="s">
        <v>561</v>
      </c>
      <c r="DK26" s="621" t="str">
        <f>'Kojeet ja kennon hyötysuhde'!N7</f>
        <v>-</v>
      </c>
      <c r="DL26" s="621" t="str">
        <f>'Kojeet ja kennon hyötysuhde'!O7</f>
        <v>-</v>
      </c>
      <c r="DN26" s="39">
        <f>IF($DN$18,"-",2380)</f>
        <v>2380</v>
      </c>
    </row>
    <row r="27" spans="1:118" ht="14" thickBot="1" x14ac:dyDescent="0.2">
      <c r="A27" s="485">
        <v>5</v>
      </c>
      <c r="C27" t="s">
        <v>560</v>
      </c>
      <c r="D27" s="4" t="b">
        <f>'Laskenta tulopuoli 350'!$W$10</f>
        <v>1</v>
      </c>
      <c r="E27" s="5">
        <f>'Laskenta tulopuoli 350'!$W$9</f>
        <v>3.6362588253855237</v>
      </c>
      <c r="F27" s="5">
        <f>'Laskenta tulopuoli 350'!$W$14</f>
        <v>24.735367445419278</v>
      </c>
      <c r="G27" s="4" t="b">
        <f>'Laskenta poistopuoli 350'!$W$10</f>
        <v>1</v>
      </c>
      <c r="H27" s="5">
        <f>'Laskenta poistopuoli 350'!$W$9</f>
        <v>3.4493235372979947</v>
      </c>
      <c r="I27" s="5">
        <f>'Laskenta poistopuoli 350'!$W$14</f>
        <v>23.171215815794739</v>
      </c>
      <c r="J27" s="301">
        <v>4.4000000000000004</v>
      </c>
      <c r="K27" s="5">
        <f t="shared" si="21"/>
        <v>52.306583261214016</v>
      </c>
      <c r="L27" s="32">
        <f>K27/MAX('R-series'!$E$33,'R-series'!$G$33)</f>
        <v>1.159791203131131</v>
      </c>
      <c r="M27" s="426">
        <f>1000/3.6*0.7</f>
        <v>194.44444444444443</v>
      </c>
      <c r="N27" s="301">
        <v>1.1717822676463812</v>
      </c>
      <c r="O27" s="847">
        <f>'Kojeet ja kennon hyötysuhde'!M8</f>
        <v>0.79500000000000004</v>
      </c>
      <c r="P27" s="80">
        <f>'Laskenta tulopuoli 350'!$AF$44</f>
        <v>60.684900992146197</v>
      </c>
      <c r="Q27" s="80">
        <f>'Laskenta tulopuoli 350'!$AG$44</f>
        <v>62.684900992146197</v>
      </c>
      <c r="R27" s="80">
        <f>'Laskenta tulopuoli 350'!$AH$44</f>
        <v>53.684900992146197</v>
      </c>
      <c r="S27" s="80">
        <f>'Laskenta tulopuoli 350'!$AI$44</f>
        <v>50.684900992146197</v>
      </c>
      <c r="T27" s="80">
        <f>'Laskenta tulopuoli 350'!$AJ$44</f>
        <v>49.684900992146197</v>
      </c>
      <c r="U27" s="80">
        <f>'Laskenta tulopuoli 350'!$AK$44</f>
        <v>44.684900992146197</v>
      </c>
      <c r="V27" s="80">
        <f>'Laskenta tulopuoli 350'!$AL$44</f>
        <v>40.684900992146197</v>
      </c>
      <c r="W27" s="80">
        <f>'Laskenta tulopuoli 350'!$AM$44</f>
        <v>38.684900992146197</v>
      </c>
      <c r="X27" s="80">
        <f>'Laskenta tulopuoli 350'!$AN$44</f>
        <v>65.463751393925008</v>
      </c>
      <c r="Y27" s="108">
        <f>'Laskenta tulopuoli 350'!$W$6</f>
        <v>54.684900992146197</v>
      </c>
      <c r="Z27" s="80">
        <f>'Laskenta tulopuoli 350'!$AF$43</f>
        <v>52.114768212132461</v>
      </c>
      <c r="AA27" s="80">
        <f>'Laskenta tulopuoli 350'!$AG$43</f>
        <v>50.114768212132461</v>
      </c>
      <c r="AB27" s="80">
        <f>'Laskenta tulopuoli 350'!$AH$43</f>
        <v>38.114768212132461</v>
      </c>
      <c r="AC27" s="80">
        <f>'Laskenta tulopuoli 350'!$AI$43</f>
        <v>32.114768212132461</v>
      </c>
      <c r="AD27" s="80">
        <f>'Laskenta tulopuoli 350'!$AJ$43</f>
        <v>28.114768212132461</v>
      </c>
      <c r="AE27" s="80">
        <f>'Laskenta tulopuoli 350'!$AK$43</f>
        <v>23.114768212132461</v>
      </c>
      <c r="AF27" s="80">
        <f>'Laskenta tulopuoli 350'!$AL$43</f>
        <v>13.114768212132461</v>
      </c>
      <c r="AG27" s="80">
        <f>'Laskenta tulopuoli 350'!$AM$43</f>
        <v>8.1147682121324607</v>
      </c>
      <c r="AH27" s="80">
        <f>'Laskenta tulopuoli 350'!$AN$43</f>
        <v>54.383791482936147</v>
      </c>
      <c r="AI27" s="108">
        <f>'Laskenta tulopuoli 350'!$W$5</f>
        <v>37.114768212132461</v>
      </c>
      <c r="AJ27" s="80">
        <f>'Laskenta poistopuoli 350'!$AF$43</f>
        <v>51.781862997423623</v>
      </c>
      <c r="AK27" s="80">
        <f>'Laskenta poistopuoli 350'!$AG$43</f>
        <v>48.781862997423623</v>
      </c>
      <c r="AL27" s="80">
        <f>'Laskenta poistopuoli 350'!$AH$43</f>
        <v>35.781862997423623</v>
      </c>
      <c r="AM27" s="80">
        <f>'Laskenta poistopuoli 350'!$AI$43</f>
        <v>31.781862997423623</v>
      </c>
      <c r="AN27" s="80">
        <f>'Laskenta poistopuoli 350'!$AJ$43</f>
        <v>26.781862997423623</v>
      </c>
      <c r="AO27" s="80">
        <f>'Laskenta poistopuoli 350'!$AK$43</f>
        <v>21.781862997423623</v>
      </c>
      <c r="AP27" s="80">
        <f>'Laskenta poistopuoli 350'!$AL$43</f>
        <v>12.781862997423623</v>
      </c>
      <c r="AQ27" s="80">
        <f>'Laskenta poistopuoli 350'!$AM$43</f>
        <v>3.7818629974236231</v>
      </c>
      <c r="AR27" s="80">
        <f>'Laskenta poistopuoli 350'!$AN$43</f>
        <v>53.658790452574834</v>
      </c>
      <c r="AS27" s="108">
        <f>'Laskenta poistopuoli 350'!$W$5</f>
        <v>35.781862997423623</v>
      </c>
      <c r="AT27" s="80">
        <f>'Laskenta poistopuoli 350'!$AF$44</f>
        <v>59.187489198229144</v>
      </c>
      <c r="AU27" s="80">
        <f>'Laskenta poistopuoli 350'!$AG$44</f>
        <v>59.187489198229144</v>
      </c>
      <c r="AV27" s="80">
        <f>'Laskenta poistopuoli 350'!$AH$44</f>
        <v>50.187489198229144</v>
      </c>
      <c r="AW27" s="80">
        <f>'Laskenta poistopuoli 350'!$AI$44</f>
        <v>47.187489198229144</v>
      </c>
      <c r="AX27" s="80">
        <f>'Laskenta poistopuoli 350'!$AJ$44</f>
        <v>46.187489198229144</v>
      </c>
      <c r="AY27" s="80">
        <f>'Laskenta poistopuoli 350'!$AK$44</f>
        <v>41.187489198229144</v>
      </c>
      <c r="AZ27" s="80">
        <f>'Laskenta poistopuoli 350'!$AL$44</f>
        <v>37.187489198229144</v>
      </c>
      <c r="BA27" s="80">
        <f>'Laskenta poistopuoli 350'!$AM$44</f>
        <v>35.187489198229144</v>
      </c>
      <c r="BB27" s="80">
        <f>'Laskenta poistopuoli 350'!$AN$44</f>
        <v>62.738644024613698</v>
      </c>
      <c r="BC27" s="108">
        <f>'Laskenta poistopuoli 350'!$W$6</f>
        <v>51.187489198229144</v>
      </c>
      <c r="BD27" s="299">
        <f>'Laskenta vaipan läpi 350'!$L$39</f>
        <v>55.738003130214246</v>
      </c>
      <c r="BE27" s="299">
        <f>'Laskenta vaipan läpi 350'!$M$39</f>
        <v>49.738003130214246</v>
      </c>
      <c r="BF27" s="299">
        <f>'Laskenta vaipan läpi 350'!$N$39</f>
        <v>40.738003130214246</v>
      </c>
      <c r="BG27" s="299">
        <f>'Laskenta vaipan läpi 350'!$O$39</f>
        <v>27.738003130214246</v>
      </c>
      <c r="BH27" s="299">
        <f>'Laskenta vaipan läpi 350'!$P$39</f>
        <v>23.738003130214246</v>
      </c>
      <c r="BI27" s="299">
        <f>'Laskenta vaipan läpi 350'!$Q$39</f>
        <v>19.738003130214246</v>
      </c>
      <c r="BJ27" s="299">
        <f>'Laskenta vaipan läpi 350'!$R$39</f>
        <v>19.738003130214246</v>
      </c>
      <c r="BK27" s="299">
        <f>'Laskenta vaipan läpi 350'!$S$39</f>
        <v>18.738003130214246</v>
      </c>
      <c r="BL27" s="299">
        <f>'Laskenta vaipan läpi 350'!$T$39</f>
        <v>56.829498113859039</v>
      </c>
      <c r="BM27" s="300">
        <f>'Laskenta vaipan läpi 350'!$C$35</f>
        <v>37.738003130214246</v>
      </c>
      <c r="BN27" s="80">
        <f>BM27+10*LOG10(4/10)</f>
        <v>33.758603043493871</v>
      </c>
      <c r="BO27" s="80">
        <f>BM27+10*LOG10(4/2.5)</f>
        <v>39.779202956773496</v>
      </c>
      <c r="BS27" t="s">
        <v>585</v>
      </c>
      <c r="BT27" s="487">
        <f>BT22</f>
        <v>71</v>
      </c>
      <c r="BU27" s="487">
        <f t="shared" ref="BU27:CC27" si="25">BU22</f>
        <v>66</v>
      </c>
      <c r="BV27" s="487">
        <f t="shared" si="25"/>
        <v>62</v>
      </c>
      <c r="BW27" s="487">
        <f t="shared" si="25"/>
        <v>55</v>
      </c>
      <c r="BX27" s="487">
        <f t="shared" si="25"/>
        <v>52</v>
      </c>
      <c r="BY27" s="487">
        <f t="shared" si="25"/>
        <v>43</v>
      </c>
      <c r="BZ27" s="487">
        <f t="shared" si="25"/>
        <v>32</v>
      </c>
      <c r="CA27" s="487">
        <f t="shared" si="25"/>
        <v>24</v>
      </c>
      <c r="CB27" s="487">
        <f t="shared" si="25"/>
        <v>72.707189991030347</v>
      </c>
      <c r="CC27" s="487">
        <f t="shared" si="25"/>
        <v>57.509878740817705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Pistotulppa 230 V, 50 Hz, 10 A, max 1255 W</v>
      </c>
      <c r="CR27" t="str">
        <f t="shared" si="20"/>
        <v>Model 130</v>
      </c>
      <c r="CV27" s="621">
        <f>'Laskenta tulopuoli 130'!AS34</f>
        <v>1.2326850344503053</v>
      </c>
      <c r="CW27" s="621">
        <f>'Laskenta poistopuoli 130'!AS34</f>
        <v>1.5327840406957924</v>
      </c>
      <c r="CX27" s="4" t="b">
        <f>'Laskenta tulopuoli 130'!AV34</f>
        <v>1</v>
      </c>
      <c r="CY27" s="4" t="b">
        <f>'Laskenta poistopuoli 130'!AV34</f>
        <v>1</v>
      </c>
      <c r="CZ27" s="5">
        <f>'Laskenta tulopuoli 130'!AV36</f>
        <v>5.4871803922393587</v>
      </c>
      <c r="DA27" s="5">
        <f>'Laskenta poistopuoli 130'!AV36</f>
        <v>4.7832696522154095</v>
      </c>
      <c r="DG27" s="485">
        <v>5</v>
      </c>
      <c r="DI27" t="s">
        <v>560</v>
      </c>
      <c r="DK27" s="621" t="str">
        <f>'Kojeet ja kennon hyötysuhde'!N8</f>
        <v>-</v>
      </c>
      <c r="DL27" s="621" t="str">
        <f>'Kojeet ja kennon hyötysuhde'!O8</f>
        <v>-</v>
      </c>
      <c r="DN27" s="39">
        <f>IF($DN$18,"-",3*2380)</f>
        <v>7140</v>
      </c>
    </row>
    <row r="28" spans="1:118" x14ac:dyDescent="0.15">
      <c r="A28" s="485">
        <v>6</v>
      </c>
      <c r="C28" t="s">
        <v>585</v>
      </c>
      <c r="D28" t="b">
        <f>'Laskenta tulopuoli 130'!$W$10</f>
        <v>1</v>
      </c>
      <c r="E28" s="5">
        <f>'Laskenta tulopuoli 130'!$W$9</f>
        <v>4.7127720046843589</v>
      </c>
      <c r="F28" s="5">
        <f>'Laskenta tulopuoli 130'!$W$14</f>
        <v>22.063588519004107</v>
      </c>
      <c r="G28" t="b">
        <f>'Laskenta poistopuoli 130'!$W$10</f>
        <v>1</v>
      </c>
      <c r="H28" s="5">
        <f>'Laskenta poistopuoli 130'!$W$9</f>
        <v>4.0531319918766719</v>
      </c>
      <c r="I28" s="5">
        <f>'Laskenta poistopuoli 130'!$W$14</f>
        <v>16.228304091521537</v>
      </c>
      <c r="J28" s="4">
        <v>4.4000000000000004</v>
      </c>
      <c r="K28" s="5">
        <f t="shared" si="21"/>
        <v>42.691892610525642</v>
      </c>
      <c r="L28" s="32">
        <f>K28/MAX('R-series'!$E$33,'R-series'!$G$33)</f>
        <v>0.94660515766132236</v>
      </c>
      <c r="M28" s="4">
        <f>130*0.7</f>
        <v>91</v>
      </c>
      <c r="N28" s="99">
        <v>1.5171246730812864</v>
      </c>
      <c r="O28" s="845">
        <v>0.77500000000000002</v>
      </c>
      <c r="P28" s="80">
        <f>'Laskenta tulopuoli 130'!$AF$44</f>
        <v>69.780596319087948</v>
      </c>
      <c r="Q28" s="80">
        <f>'Laskenta tulopuoli 130'!$AG$44</f>
        <v>68.780596319087948</v>
      </c>
      <c r="R28" s="80">
        <f>'Laskenta tulopuoli 130'!$AH$44</f>
        <v>61.780596319087948</v>
      </c>
      <c r="S28" s="80">
        <f>'Laskenta tulopuoli 130'!$AI$44</f>
        <v>56.780596319087948</v>
      </c>
      <c r="T28" s="80">
        <f>'Laskenta tulopuoli 130'!$AJ$44</f>
        <v>51.780596319087948</v>
      </c>
      <c r="U28" s="80">
        <f>'Laskenta tulopuoli 130'!$AK$44</f>
        <v>50.780596319087948</v>
      </c>
      <c r="V28" s="80">
        <f>'Laskenta tulopuoli 130'!$AL$44</f>
        <v>44.780596319087948</v>
      </c>
      <c r="W28" s="80">
        <f>'Laskenta tulopuoli 130'!$AM$44</f>
        <v>34.780596319087948</v>
      </c>
      <c r="X28" s="80">
        <f>'Laskenta tulopuoli 130'!$AN$44</f>
        <v>72.865926660376374</v>
      </c>
      <c r="Y28" s="108">
        <f>'Laskenta tulopuoli 130'!$W$6</f>
        <v>59.780596319087948</v>
      </c>
      <c r="Z28" s="80">
        <f>'Laskenta tulopuoli 130'!$AF$43</f>
        <v>58.346199606703017</v>
      </c>
      <c r="AA28" s="80">
        <f>'Laskenta tulopuoli 130'!$AG$43</f>
        <v>55.346199606703017</v>
      </c>
      <c r="AB28" s="80">
        <f>'Laskenta tulopuoli 130'!$AH$43</f>
        <v>48.346199606703017</v>
      </c>
      <c r="AC28" s="80">
        <f>'Laskenta tulopuoli 130'!$AI$43</f>
        <v>41.346199606703017</v>
      </c>
      <c r="AD28" s="80">
        <f>'Laskenta tulopuoli 130'!$AJ$43</f>
        <v>33.346199606703017</v>
      </c>
      <c r="AE28" s="80">
        <f>'Laskenta tulopuoli 130'!$AK$43</f>
        <v>27.346199606703017</v>
      </c>
      <c r="AF28" s="80">
        <f>'Laskenta tulopuoli 130'!$AL$43</f>
        <v>19.346199606703017</v>
      </c>
      <c r="AG28" s="80">
        <f>'Laskenta tulopuoli 130'!$AM$43</f>
        <v>10.346199606703017</v>
      </c>
      <c r="AH28" s="80">
        <f>'Laskenta tulopuoli 130'!$AN$43</f>
        <v>60.455369833170025</v>
      </c>
      <c r="AI28" s="108">
        <f>'Laskenta tulopuoli 130'!$W$5</f>
        <v>44.346199606703017</v>
      </c>
      <c r="AJ28" s="80">
        <f>'Laskenta poistopuoli 130'!$AF$43</f>
        <v>55.948869406533539</v>
      </c>
      <c r="AK28" s="80">
        <f>'Laskenta poistopuoli 130'!$AG$43</f>
        <v>53.948869406533539</v>
      </c>
      <c r="AL28" s="80">
        <f>'Laskenta poistopuoli 130'!$AH$43</f>
        <v>46.948869406533539</v>
      </c>
      <c r="AM28" s="80">
        <f>'Laskenta poistopuoli 130'!$AI$43</f>
        <v>41.948869406533539</v>
      </c>
      <c r="AN28" s="80">
        <f>'Laskenta poistopuoli 130'!$AJ$43</f>
        <v>38.948869406533539</v>
      </c>
      <c r="AO28" s="80">
        <f>'Laskenta poistopuoli 130'!$AK$43</f>
        <v>31.948869406533539</v>
      </c>
      <c r="AP28" s="80">
        <f>'Laskenta poistopuoli 130'!$AL$43</f>
        <v>20.948869406533539</v>
      </c>
      <c r="AQ28" s="80">
        <f>'Laskenta poistopuoli 130'!$AM$43</f>
        <v>12.948869406533539</v>
      </c>
      <c r="AR28" s="80">
        <f>'Laskenta poistopuoli 130'!$AN$43</f>
        <v>58.551875002580147</v>
      </c>
      <c r="AS28" s="108">
        <f>'Laskenta poistopuoli 130'!$W$5</f>
        <v>44.948869406533539</v>
      </c>
      <c r="AT28" s="80">
        <f>'Laskenta poistopuoli 130'!$AF$44</f>
        <v>65.158911218843045</v>
      </c>
      <c r="AU28" s="80">
        <f>'Laskenta poistopuoli 130'!$AG$44</f>
        <v>63.158911218843045</v>
      </c>
      <c r="AV28" s="80">
        <f>'Laskenta poistopuoli 130'!$AH$44</f>
        <v>59.158911218843045</v>
      </c>
      <c r="AW28" s="80">
        <f>'Laskenta poistopuoli 130'!$AI$44</f>
        <v>53.158911218843045</v>
      </c>
      <c r="AX28" s="80">
        <f>'Laskenta poistopuoli 130'!$AJ$44</f>
        <v>49.158911218843045</v>
      </c>
      <c r="AY28" s="80">
        <f>'Laskenta poistopuoli 130'!$AK$44</f>
        <v>47.158911218843045</v>
      </c>
      <c r="AZ28" s="80">
        <f>'Laskenta poistopuoli 130'!$AL$44</f>
        <v>40.158911218843045</v>
      </c>
      <c r="BA28" s="80">
        <f>'Laskenta poistopuoli 130'!$AM$44</f>
        <v>30.158911218843045</v>
      </c>
      <c r="BB28" s="80">
        <f>'Laskenta poistopuoli 130'!$AN$44</f>
        <v>68.146761077474793</v>
      </c>
      <c r="BC28" s="108">
        <f>'Laskenta poistopuoli 130'!$W$6</f>
        <v>56.158911218843045</v>
      </c>
      <c r="BD28" s="80">
        <f>'Laskenta vaipan läpi 130'!$L$39</f>
        <v>46.072362150681435</v>
      </c>
      <c r="BE28" s="80">
        <f>'Laskenta vaipan läpi 130'!$M$39</f>
        <v>45.072362150681435</v>
      </c>
      <c r="BF28" s="80">
        <f>'Laskenta vaipan läpi 130'!$N$39</f>
        <v>39.072362150681435</v>
      </c>
      <c r="BG28" s="80">
        <f>'Laskenta vaipan läpi 130'!$O$39</f>
        <v>30.072362150681435</v>
      </c>
      <c r="BH28" s="80">
        <f>'Laskenta vaipan läpi 130'!$P$39</f>
        <v>21.072362150681435</v>
      </c>
      <c r="BI28" s="80">
        <f>'Laskenta vaipan läpi 130'!$Q$39</f>
        <v>15.072362150681435</v>
      </c>
      <c r="BJ28" s="80">
        <f>'Laskenta vaipan läpi 130'!$R$39</f>
        <v>11.072362150681435</v>
      </c>
      <c r="BK28" s="80">
        <f>'Laskenta vaipan läpi 130'!$S$39</f>
        <v>4.0723621506814354</v>
      </c>
      <c r="BL28" s="80">
        <f>'Laskenta vaipan läpi 130'!$T$39</f>
        <v>49.132984842041083</v>
      </c>
      <c r="BM28" s="108">
        <f>'Laskenta vaipan läpi 130'!$C$35</f>
        <v>34.072362150681435</v>
      </c>
      <c r="BN28" s="80">
        <f t="shared" ref="BN28" si="26">BM28+10*LOG10(4/10)</f>
        <v>30.09296206396106</v>
      </c>
      <c r="BO28" s="80">
        <f t="shared" ref="BO28" si="27">BM28+10*LOG10(4/2.5)</f>
        <v>36.113561977240686</v>
      </c>
      <c r="DG28" s="485">
        <v>6</v>
      </c>
      <c r="DI28" t="s">
        <v>585</v>
      </c>
      <c r="DK28" s="621" t="str">
        <f>'Kojeet ja kennon hyötysuhde'!N9</f>
        <v>-</v>
      </c>
      <c r="DL28" s="621" t="str">
        <f>'Kojeet ja kennon hyötysuhde'!O9</f>
        <v>-</v>
      </c>
      <c r="DN28">
        <v>920</v>
      </c>
    </row>
    <row r="29" spans="1:118" x14ac:dyDescent="0.15">
      <c r="O29" s="317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</row>
    <row r="30" spans="1:118" x14ac:dyDescent="0.15">
      <c r="O30" s="736" t="s">
        <v>426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118" x14ac:dyDescent="0.15">
      <c r="O31" s="2" t="s">
        <v>1266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15">
      <c r="O32" s="272" t="s">
        <v>1953</v>
      </c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15">
      <c r="C35" t="s">
        <v>21</v>
      </c>
      <c r="D35" t="b">
        <f>INDEX(D23:D28,$C$6)</f>
        <v>1</v>
      </c>
      <c r="E35" s="5">
        <f>INDEX(E23:E28,$C$6)</f>
        <v>5.2606981527034833</v>
      </c>
      <c r="F35" s="5">
        <f>INDEX(F23:F28,$C$6)</f>
        <v>24.006013717721586</v>
      </c>
      <c r="G35" s="5" t="b">
        <f t="shared" ref="G35:BC35" si="28">INDEX(G23:G28,$C$6)</f>
        <v>1</v>
      </c>
      <c r="H35" s="5">
        <f t="shared" si="28"/>
        <v>4.5864116691067442</v>
      </c>
      <c r="I35" s="5">
        <f t="shared" si="28"/>
        <v>18.150117836193097</v>
      </c>
      <c r="J35" s="5">
        <f t="shared" si="28"/>
        <v>4.4000000000000004</v>
      </c>
      <c r="K35" s="5">
        <f t="shared" si="28"/>
        <v>46.556131553914682</v>
      </c>
      <c r="L35" s="5">
        <f t="shared" si="28"/>
        <v>1.0322867306854697</v>
      </c>
      <c r="M35" s="5">
        <f t="shared" si="28"/>
        <v>62.999999999999993</v>
      </c>
      <c r="N35" s="5">
        <f t="shared" si="28"/>
        <v>1.2159469045764615</v>
      </c>
      <c r="O35" s="5">
        <f t="shared" si="28"/>
        <v>0.82499999999999996</v>
      </c>
      <c r="P35" s="80">
        <f t="shared" si="28"/>
        <v>85.166842089688146</v>
      </c>
      <c r="Q35" s="80">
        <f t="shared" si="28"/>
        <v>70.166842089688146</v>
      </c>
      <c r="R35" s="80">
        <f t="shared" si="28"/>
        <v>62.166842089688146</v>
      </c>
      <c r="S35" s="80">
        <f t="shared" si="28"/>
        <v>59.166842089688146</v>
      </c>
      <c r="T35" s="80">
        <f t="shared" si="28"/>
        <v>53.166842089688146</v>
      </c>
      <c r="U35" s="80">
        <f t="shared" si="28"/>
        <v>51.166842089688146</v>
      </c>
      <c r="V35" s="80">
        <f t="shared" si="28"/>
        <v>45.166842089688146</v>
      </c>
      <c r="W35" s="80">
        <f t="shared" si="28"/>
        <v>35.166842089688146</v>
      </c>
      <c r="X35" s="80">
        <f t="shared" si="28"/>
        <v>85.338367957927019</v>
      </c>
      <c r="Y35" s="80">
        <f t="shared" si="28"/>
        <v>63.166842089688146</v>
      </c>
      <c r="Z35" s="80">
        <f t="shared" si="28"/>
        <v>73.054193223984697</v>
      </c>
      <c r="AA35" s="80">
        <f t="shared" si="28"/>
        <v>62.054193223984704</v>
      </c>
      <c r="AB35" s="80">
        <f t="shared" si="28"/>
        <v>55.054193223984704</v>
      </c>
      <c r="AC35" s="80">
        <f t="shared" si="28"/>
        <v>44.054193223984704</v>
      </c>
      <c r="AD35" s="80">
        <f t="shared" si="28"/>
        <v>32.054193223984704</v>
      </c>
      <c r="AE35" s="80">
        <f t="shared" si="28"/>
        <v>26.054193223984704</v>
      </c>
      <c r="AF35" s="80">
        <f t="shared" si="28"/>
        <v>18.054193223984704</v>
      </c>
      <c r="AG35" s="80">
        <f t="shared" si="28"/>
        <v>13.054193223984704</v>
      </c>
      <c r="AH35" s="80">
        <f t="shared" si="28"/>
        <v>73.454850797406877</v>
      </c>
      <c r="AI35" s="80">
        <f t="shared" si="28"/>
        <v>52.054193223984704</v>
      </c>
      <c r="AJ35" s="80">
        <f t="shared" si="28"/>
        <v>67.991849262605825</v>
      </c>
      <c r="AK35" s="80">
        <f t="shared" si="28"/>
        <v>58.991849262605832</v>
      </c>
      <c r="AL35" s="80">
        <f t="shared" si="28"/>
        <v>51.991849262605832</v>
      </c>
      <c r="AM35" s="80">
        <f t="shared" si="28"/>
        <v>43.991849262605832</v>
      </c>
      <c r="AN35" s="80">
        <f t="shared" si="28"/>
        <v>35.991849262605832</v>
      </c>
      <c r="AO35" s="80">
        <f t="shared" si="28"/>
        <v>29.991849262605832</v>
      </c>
      <c r="AP35" s="80">
        <f t="shared" si="28"/>
        <v>19.991849262605832</v>
      </c>
      <c r="AQ35" s="80">
        <f t="shared" si="28"/>
        <v>14.991849262605832</v>
      </c>
      <c r="AR35" s="80">
        <f t="shared" si="28"/>
        <v>68.620686627350423</v>
      </c>
      <c r="AS35" s="80">
        <f t="shared" si="28"/>
        <v>48.991849262605832</v>
      </c>
      <c r="AT35" s="80">
        <f t="shared" si="28"/>
        <v>83.131940217930122</v>
      </c>
      <c r="AU35" s="80">
        <f t="shared" si="28"/>
        <v>67.131940217930122</v>
      </c>
      <c r="AV35" s="80">
        <f t="shared" si="28"/>
        <v>64.131940217930122</v>
      </c>
      <c r="AW35" s="80">
        <f t="shared" si="28"/>
        <v>57.131940217930122</v>
      </c>
      <c r="AX35" s="80">
        <f t="shared" si="28"/>
        <v>52.131940217930122</v>
      </c>
      <c r="AY35" s="80">
        <f t="shared" si="28"/>
        <v>50.131940217930122</v>
      </c>
      <c r="AZ35" s="80">
        <f t="shared" si="28"/>
        <v>43.131940217930122</v>
      </c>
      <c r="BA35" s="80">
        <f t="shared" si="28"/>
        <v>39.131940217930122</v>
      </c>
      <c r="BB35" s="80">
        <f t="shared" si="28"/>
        <v>83.309180626517744</v>
      </c>
      <c r="BC35" s="80">
        <f t="shared" si="28"/>
        <v>61.131940217930122</v>
      </c>
      <c r="BD35" s="459" cm="1">
        <f t="array" ref="BD35">IF($BD$4,INDEX(BC13:BC18,$C$6),INDEX(BD23:BD28,$C$6))</f>
        <v>52.059608416600945</v>
      </c>
      <c r="BE35" s="460" cm="1">
        <f t="array" ref="BE35">IF($BD$4,INDEX(BD13:BD18,$C$6),INDEX(BE23:BE28,$C$6))</f>
        <v>47.059608416600945</v>
      </c>
      <c r="BF35" s="460" cm="1">
        <f t="array" ref="BF35">IF($BD$4,INDEX(BE13:BE18,$C$6),INDEX(BF23:BF28,$C$6))</f>
        <v>42.059608416600945</v>
      </c>
      <c r="BG35" s="460" cm="1">
        <f t="array" ref="BG35">IF($BD$4,INDEX(BF13:BF18,$C$6),INDEX(BG23:BG28,$C$6))</f>
        <v>32.059608416600945</v>
      </c>
      <c r="BH35" s="460" cm="1">
        <f t="array" ref="BH35">IF($BD$4,INDEX(BG13:BG18,$C$6),INDEX(BH23:BH28,$C$6))</f>
        <v>23.059608416600945</v>
      </c>
      <c r="BI35" s="460" cm="1">
        <f t="array" ref="BI35">IF($BD$4,INDEX(BH13:BH18,$C$6),INDEX(BI23:BI28,$C$6))</f>
        <v>17.059608416600945</v>
      </c>
      <c r="BJ35" s="460" cm="1">
        <f t="array" ref="BJ35">IF($BD$4,INDEX(BI13:BI18,$C$6),INDEX(BJ23:BJ28,$C$6))</f>
        <v>11.059608416600945</v>
      </c>
      <c r="BK35" s="460" cm="1">
        <f t="array" ref="BK35">IF($BD$4,INDEX(BJ13:BJ18,$C$6),INDEX(BK23:BK28,$C$6))</f>
        <v>7.0596084166009447</v>
      </c>
      <c r="BL35" s="460" cm="1">
        <f t="array" ref="BL35">IF($BD$4,INDEX(BK13:BK18,$C$6),INDEX(BL23:BL28,$C$6))</f>
        <v>53.606628856567454</v>
      </c>
      <c r="BM35" s="460" cm="1">
        <f t="array" ref="BM35">IF($BD$4,INDEX(BL13:BL18,$C$6),INDEX(BM23:BM28,$C$6))</f>
        <v>37.059608416600945</v>
      </c>
      <c r="BN35" s="460" cm="1">
        <f t="array" ref="BN35">IF($BD$4,INDEX(BM13:BM18,$C$6),INDEX(BN23:BN28,$C$6))</f>
        <v>33.08020832988057</v>
      </c>
      <c r="BO35" s="461" cm="1">
        <f t="array" ref="BO35">IF($BD$4,INDEX(BN13:BN18,$C$6),INDEX(BO23:BO28,$C$6))</f>
        <v>39.100808243160195</v>
      </c>
      <c r="BQ35" s="5">
        <f>'SEC-laskenta'!M5</f>
        <v>-40.461968443342393</v>
      </c>
      <c r="BR35" s="5" t="str">
        <f>'SEC-laskenta'!T5</f>
        <v>A</v>
      </c>
      <c r="BT35" s="80" cm="1">
        <f t="array" ref="BT35">INDEX(BT22:BT27,$C$6)</f>
        <v>71</v>
      </c>
      <c r="BU35" s="80" cm="1">
        <f t="array" ref="BU35">INDEX(BU22:BU27,$C$6)</f>
        <v>66</v>
      </c>
      <c r="BV35" s="80" cm="1">
        <f t="array" ref="BV35">INDEX(BV22:BV27,$C$6)</f>
        <v>62</v>
      </c>
      <c r="BW35" s="80" cm="1">
        <f t="array" ref="BW35">INDEX(BW22:BW27,$C$6)</f>
        <v>55</v>
      </c>
      <c r="BX35" s="80" cm="1">
        <f t="array" ref="BX35">INDEX(BX22:BX27,$C$6)</f>
        <v>52</v>
      </c>
      <c r="BY35" s="80" cm="1">
        <f t="array" ref="BY35">INDEX(BY22:BY27,$C$6)</f>
        <v>43</v>
      </c>
      <c r="BZ35" s="80" cm="1">
        <f t="array" ref="BZ35">INDEX(BZ22:BZ27,$C$6)</f>
        <v>32</v>
      </c>
      <c r="CA35" s="80" cm="1">
        <f t="array" ref="CA35">INDEX(CA22:CA27,$C$6)</f>
        <v>24</v>
      </c>
      <c r="CB35" s="80" cm="1">
        <f t="array" ref="CB35">INDEX(CB22:CB27,$C$6)</f>
        <v>72.707189991030347</v>
      </c>
      <c r="CC35" s="80" cm="1">
        <f t="array" ref="CC35">INDEX(CC22:CC27,$C$6)</f>
        <v>57.509878740817705</v>
      </c>
      <c r="CI35" s="32" t="str" cm="1">
        <f t="array" ref="CI35">INDEX(CI22:CI27,$C$6)</f>
        <v>-</v>
      </c>
      <c r="CJ35" s="32" t="str" cm="1">
        <f t="array" ref="CJ35">INDEX(CJ22:CJ27,$C$6)</f>
        <v>-</v>
      </c>
      <c r="CL35" s="376" t="str" cm="1">
        <f t="array" ref="CL35">INDEX(CL22:CL27,$C$6)</f>
        <v>Airfi-Model 100 Electric</v>
      </c>
      <c r="CM35" s="376" t="str" cm="1">
        <f t="array" ref="CM35">INDEX(CM22:CM27,$C$6)</f>
        <v>Pistotulppa 230 V, 50 Hz, 10 A, max 1165 W</v>
      </c>
      <c r="CR35" s="110">
        <f>CR19</f>
        <v>54.12</v>
      </c>
      <c r="CS35" s="110">
        <f>CS19</f>
        <v>53.52</v>
      </c>
      <c r="CT35" s="110">
        <f>CR17</f>
        <v>87.839999999999975</v>
      </c>
      <c r="CU35" s="110">
        <f>CS17</f>
        <v>77.760000000000005</v>
      </c>
      <c r="CV35" s="617" cm="1">
        <f t="array" ref="CV35">INDEX(CV22:CV27,$C$6)</f>
        <v>0.76811063658015932</v>
      </c>
      <c r="CW35" s="617" cm="1">
        <f t="array" ref="CW35">INDEX(CW22:CW27,$C$6)</f>
        <v>1.0014558174697163</v>
      </c>
      <c r="CX35" s="617" t="b" cm="1">
        <f t="array" ref="CX35">IF($DC$35,INDEX(CX22:CX27,$C$6),FALSE)</f>
        <v>1</v>
      </c>
      <c r="CY35" s="617" t="b" cm="1">
        <f t="array" ref="CY35">IF(DC35,INDEX(CY22:CY27,$C$6),FALSE)</f>
        <v>1</v>
      </c>
      <c r="CZ35" s="622" cm="1">
        <f t="array" ref="CZ35">INDEX(CZ22:CZ27,$C$6)</f>
        <v>6.0493245906815094</v>
      </c>
      <c r="DA35" s="622" cm="1">
        <f t="array" ref="DA35">INDEX(DA22:DA27,$C$6)</f>
        <v>5.2925485252393409</v>
      </c>
      <c r="DC35" t="b">
        <f>IF(CR11&gt;=0,TRUE,FALSE)</f>
        <v>1</v>
      </c>
      <c r="DG35" t="s">
        <v>21</v>
      </c>
      <c r="DI35" t="str">
        <f t="shared" ref="DI35:DN35" si="29">INDEX(DI23:DI28,$C$6)</f>
        <v>Model 100</v>
      </c>
      <c r="DK35">
        <f t="shared" si="29"/>
        <v>0.82462083333333336</v>
      </c>
      <c r="DL35">
        <f t="shared" si="29"/>
        <v>0.83386249999999995</v>
      </c>
      <c r="DN35">
        <f t="shared" si="29"/>
        <v>920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194.83199999999999</v>
      </c>
      <c r="CS36" s="3">
        <f>CS20</f>
        <v>192.67200000000003</v>
      </c>
    </row>
    <row r="37" spans="3:118" x14ac:dyDescent="0.15">
      <c r="C37" t="s">
        <v>120</v>
      </c>
      <c r="D37" t="str" cm="1">
        <f t="array" ref="D37">IF(D35,"",INDEX(Kirjasto!D4:K125,23,Kirjasto!B4))</f>
        <v/>
      </c>
      <c r="E37" s="5">
        <f>IF($D$35,E35,"-")</f>
        <v>5.2606981527034833</v>
      </c>
      <c r="F37" s="5">
        <f>IF($D$35,F35,"-")</f>
        <v>24.006013717721586</v>
      </c>
      <c r="G37" t="str" cm="1">
        <f t="array" ref="G37">IF(G35,"",INDEX(Kirjasto!D4:K125,23,Kirjasto!B4))</f>
        <v/>
      </c>
      <c r="H37" s="5">
        <f>IF($G$35,H35,"-")</f>
        <v>4.5864116691067442</v>
      </c>
      <c r="I37" s="5">
        <f>IF($G$35,I35,"-")</f>
        <v>18.150117836193097</v>
      </c>
      <c r="K37" s="5">
        <f>IF(AND($D$35,$G$35),K35,"-")</f>
        <v>46.556131553914682</v>
      </c>
      <c r="L37" s="5">
        <f>IF(AND(D35,G35),L35,"-")</f>
        <v>1.0322867306854697</v>
      </c>
      <c r="M37" s="5">
        <f>M35</f>
        <v>62.999999999999993</v>
      </c>
      <c r="N37" s="5">
        <f>N35</f>
        <v>1.2159469045764615</v>
      </c>
      <c r="O37" s="32">
        <f>O35</f>
        <v>0.82499999999999996</v>
      </c>
      <c r="P37" s="80">
        <f>IF($D$35,P35,"-")</f>
        <v>85.166842089688146</v>
      </c>
      <c r="Q37" s="80">
        <f t="shared" ref="Q37:Y37" si="30">IF($D$35,Q35,"-")</f>
        <v>70.166842089688146</v>
      </c>
      <c r="R37" s="80">
        <f t="shared" si="30"/>
        <v>62.166842089688146</v>
      </c>
      <c r="S37" s="80">
        <f t="shared" si="30"/>
        <v>59.166842089688146</v>
      </c>
      <c r="T37" s="80">
        <f t="shared" si="30"/>
        <v>53.166842089688146</v>
      </c>
      <c r="U37" s="80">
        <f t="shared" si="30"/>
        <v>51.166842089688146</v>
      </c>
      <c r="V37" s="80">
        <f t="shared" si="30"/>
        <v>45.166842089688146</v>
      </c>
      <c r="W37" s="80">
        <f t="shared" si="30"/>
        <v>35.166842089688146</v>
      </c>
      <c r="X37" s="80">
        <f t="shared" si="30"/>
        <v>85.338367957927019</v>
      </c>
      <c r="Y37" s="80">
        <f t="shared" si="30"/>
        <v>63.166842089688146</v>
      </c>
      <c r="Z37" s="80">
        <f>IF($D$35,Z35,"-")</f>
        <v>73.054193223984697</v>
      </c>
      <c r="AA37" s="80">
        <f t="shared" ref="AA37" si="31">IF($D$35,AA35,"-")</f>
        <v>62.054193223984704</v>
      </c>
      <c r="AB37" s="80">
        <f t="shared" ref="AB37" si="32">IF($D$35,AB35,"-")</f>
        <v>55.054193223984704</v>
      </c>
      <c r="AC37" s="80">
        <f t="shared" ref="AC37" si="33">IF($D$35,AC35,"-")</f>
        <v>44.054193223984704</v>
      </c>
      <c r="AD37" s="80">
        <f t="shared" ref="AD37" si="34">IF($D$35,AD35,"-")</f>
        <v>32.054193223984704</v>
      </c>
      <c r="AE37" s="80">
        <f t="shared" ref="AE37" si="35">IF($D$35,AE35,"-")</f>
        <v>26.054193223984704</v>
      </c>
      <c r="AF37" s="80">
        <f t="shared" ref="AF37" si="36">IF($D$35,AF35,"-")</f>
        <v>18.054193223984704</v>
      </c>
      <c r="AG37" s="80">
        <f t="shared" ref="AG37" si="37">IF($D$35,AG35,"-")</f>
        <v>13.054193223984704</v>
      </c>
      <c r="AH37" s="80">
        <f t="shared" ref="AH37" si="38">IF($D$35,AH35,"-")</f>
        <v>73.454850797406877</v>
      </c>
      <c r="AI37" s="80">
        <f t="shared" ref="AI37" si="39">IF($D$35,AI35,"-")</f>
        <v>52.054193223984704</v>
      </c>
      <c r="AJ37" s="80">
        <f>IF($G$35,AJ35,"-")</f>
        <v>67.991849262605825</v>
      </c>
      <c r="AK37" s="80">
        <f t="shared" ref="AK37:BC37" si="40">IF($G$35,AK35,"-")</f>
        <v>58.991849262605832</v>
      </c>
      <c r="AL37" s="80">
        <f t="shared" si="40"/>
        <v>51.991849262605832</v>
      </c>
      <c r="AM37" s="80">
        <f t="shared" si="40"/>
        <v>43.991849262605832</v>
      </c>
      <c r="AN37" s="80">
        <f t="shared" si="40"/>
        <v>35.991849262605832</v>
      </c>
      <c r="AO37" s="80">
        <f t="shared" si="40"/>
        <v>29.991849262605832</v>
      </c>
      <c r="AP37" s="80">
        <f t="shared" si="40"/>
        <v>19.991849262605832</v>
      </c>
      <c r="AQ37" s="80">
        <f t="shared" si="40"/>
        <v>14.991849262605832</v>
      </c>
      <c r="AR37" s="80">
        <f t="shared" si="40"/>
        <v>68.620686627350423</v>
      </c>
      <c r="AS37" s="80">
        <f t="shared" si="40"/>
        <v>48.991849262605832</v>
      </c>
      <c r="AT37" s="80">
        <f t="shared" si="40"/>
        <v>83.131940217930122</v>
      </c>
      <c r="AU37" s="80">
        <f t="shared" si="40"/>
        <v>67.131940217930122</v>
      </c>
      <c r="AV37" s="80">
        <f t="shared" si="40"/>
        <v>64.131940217930122</v>
      </c>
      <c r="AW37" s="80">
        <f t="shared" si="40"/>
        <v>57.131940217930122</v>
      </c>
      <c r="AX37" s="80">
        <f t="shared" si="40"/>
        <v>52.131940217930122</v>
      </c>
      <c r="AY37" s="80">
        <f t="shared" si="40"/>
        <v>50.131940217930122</v>
      </c>
      <c r="AZ37" s="80">
        <f t="shared" si="40"/>
        <v>43.131940217930122</v>
      </c>
      <c r="BA37" s="80">
        <f t="shared" si="40"/>
        <v>39.131940217930122</v>
      </c>
      <c r="BB37" s="80">
        <f t="shared" si="40"/>
        <v>83.309180626517744</v>
      </c>
      <c r="BC37" s="80">
        <f t="shared" si="40"/>
        <v>61.131940217930122</v>
      </c>
      <c r="BD37" s="80">
        <f>IF(AND($D$35,$G$35),BD35,"-")</f>
        <v>52.059608416600945</v>
      </c>
      <c r="BE37" s="80">
        <f t="shared" ref="BE37:BK37" si="41">IF(AND($D$35,$G$35),BE35,"-")</f>
        <v>47.059608416600945</v>
      </c>
      <c r="BF37" s="80">
        <f t="shared" si="41"/>
        <v>42.059608416600945</v>
      </c>
      <c r="BG37" s="80">
        <f t="shared" si="41"/>
        <v>32.059608416600945</v>
      </c>
      <c r="BH37" s="80">
        <f t="shared" si="41"/>
        <v>23.059608416600945</v>
      </c>
      <c r="BI37" s="80">
        <f t="shared" si="41"/>
        <v>17.059608416600945</v>
      </c>
      <c r="BJ37" s="80">
        <f t="shared" si="41"/>
        <v>11.059608416600945</v>
      </c>
      <c r="BK37" s="80">
        <f t="shared" si="41"/>
        <v>7.0596084166009447</v>
      </c>
      <c r="BL37" s="80">
        <f>IF(AND($D$35,$G$35),BL35,"-")</f>
        <v>53.606628856567454</v>
      </c>
      <c r="BM37" s="108">
        <f t="shared" ref="BM37" si="42">IF(AND($D$35,$G$35),BM35,"-")</f>
        <v>37.059608416600945</v>
      </c>
      <c r="BN37" s="80">
        <f t="shared" ref="BN37" si="43">IF(AND($D$35,$G$35),BN35,"-")</f>
        <v>33.08020832988057</v>
      </c>
      <c r="BO37" s="80">
        <f t="shared" ref="BO37" si="44">IF(AND($D$35,$G$35),BO35,"-")</f>
        <v>39.100808243160195</v>
      </c>
      <c r="BQ37" s="5">
        <f>BQ35</f>
        <v>-40.461968443342393</v>
      </c>
      <c r="BR37" s="5" t="str">
        <f>BR35</f>
        <v>A</v>
      </c>
      <c r="BT37" s="4" t="str">
        <f t="shared" ref="BT37:CC37" si="45">IF(AND($BT$15,$G$35),BT35,"-")</f>
        <v>-</v>
      </c>
      <c r="BU37" s="4" t="str">
        <f t="shared" si="45"/>
        <v>-</v>
      </c>
      <c r="BV37" s="4" t="str">
        <f t="shared" si="45"/>
        <v>-</v>
      </c>
      <c r="BW37" s="4" t="str">
        <f t="shared" si="45"/>
        <v>-</v>
      </c>
      <c r="BX37" s="4" t="str">
        <f t="shared" si="45"/>
        <v>-</v>
      </c>
      <c r="BY37" s="4" t="str">
        <f t="shared" si="45"/>
        <v>-</v>
      </c>
      <c r="BZ37" s="4" t="str">
        <f t="shared" si="45"/>
        <v>-</v>
      </c>
      <c r="CA37" s="4" t="str">
        <f t="shared" si="45"/>
        <v>-</v>
      </c>
      <c r="CB37" s="80" t="str">
        <f t="shared" si="45"/>
        <v>-</v>
      </c>
      <c r="CC37" s="80" t="str">
        <f t="shared" si="45"/>
        <v>-</v>
      </c>
      <c r="CI37" s="32" t="str">
        <f t="shared" ref="CI37:CJ37" si="46">IF(AND($D$35,$G$35),CI35,"-")</f>
        <v>-</v>
      </c>
      <c r="CJ37" s="32" t="str">
        <f t="shared" si="46"/>
        <v>-</v>
      </c>
      <c r="CL37" s="376" t="str">
        <f>CL35</f>
        <v>Airfi-Model 100 Electric</v>
      </c>
      <c r="CM37" s="376" t="str" cm="1">
        <f t="array" ref="CM37">CONCATENATE(INDEX(Kirjasto!D4:K129,124,Kirjasto!B4),CM35)</f>
        <v>Sähkönsyöttö: Pistotulppa 230 V, 50 Hz, 10 A, max 1165 W</v>
      </c>
      <c r="CR37" s="622">
        <f>IF(AND($CX$35,$D$35),CR35,"-")</f>
        <v>54.12</v>
      </c>
      <c r="CS37" s="622">
        <f>IF(AND($CY$35,$G$35),CS35,"-")</f>
        <v>53.52</v>
      </c>
      <c r="CT37" s="622">
        <f>IF(AND($CX$35,$D$35),CT35,"-")</f>
        <v>87.839999999999975</v>
      </c>
      <c r="CU37" s="622">
        <f>IF(AND($CY$35,$G$35),CU35,"-")</f>
        <v>77.760000000000005</v>
      </c>
      <c r="CV37" s="617">
        <f>IF(AND($D$35),CV35,"-")</f>
        <v>0.76811063658015932</v>
      </c>
      <c r="CW37" s="617">
        <f>IF(AND($G$35),CW35,"-")</f>
        <v>1.0014558174697163</v>
      </c>
      <c r="CX37" t="str" cm="1">
        <f t="array" ref="CX37">IF(AND(CX35,CY35),"",INDEX(Kirjasto!D4:K150,139,Kirjasto!B4))</f>
        <v/>
      </c>
      <c r="CZ37" s="622">
        <f>IF(AND($CX$35,$D$35),CZ35,"-")</f>
        <v>6.0493245906815094</v>
      </c>
      <c r="DA37" s="622">
        <f>IF(AND($CY$35,$G$35),DA35,"-")</f>
        <v>5.2925485252393409</v>
      </c>
      <c r="DG37" t="s">
        <v>120</v>
      </c>
      <c r="DK37">
        <f>DK35</f>
        <v>0.82462083333333336</v>
      </c>
      <c r="DL37">
        <f>DL35</f>
        <v>0.83386249999999995</v>
      </c>
      <c r="DN37">
        <f>DN35</f>
        <v>920</v>
      </c>
    </row>
    <row r="38" spans="3:118" x14ac:dyDescent="0.15">
      <c r="C38" t="s">
        <v>119</v>
      </c>
      <c r="CR38" s="622">
        <f>IF(AND($CX$35,D35),CR36,"-")</f>
        <v>194.83199999999999</v>
      </c>
      <c r="CS38" s="622">
        <f>IF(AND($CY$35,$G$35),CS36,"-")</f>
        <v>192.67200000000003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0</v>
      </c>
      <c r="J40" t="s">
        <v>561</v>
      </c>
      <c r="K40" t="s">
        <v>560</v>
      </c>
      <c r="M40" t="s">
        <v>120</v>
      </c>
      <c r="R40" s="2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0.28674631407929713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5.2839536303624257</v>
      </c>
      <c r="K42" s="24">
        <f>'Laskenta vesipatteri 350'!$I$17</f>
        <v>-8.9654448644910261</v>
      </c>
      <c r="M42" t="str" cm="1">
        <f t="array" ref="M42">INDEX(G42:K42,1,$C$6)</f>
        <v>-</v>
      </c>
      <c r="N42" t="str">
        <f t="shared" ref="N42:N46" si="47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5.4934954233559997E-3</v>
      </c>
      <c r="K43" s="24">
        <f>'Laskenta vesipatteri 350'!$I$18</f>
        <v>4.1659551055148146E-3</v>
      </c>
      <c r="M43" t="str" cm="1">
        <f t="array" ref="M43">INDEX(G43:K43,1,$C$6)</f>
        <v>-</v>
      </c>
      <c r="N43" t="str">
        <f t="shared" si="47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6.8703167361480327E-2</v>
      </c>
      <c r="K44" s="24">
        <f>'Laskenta vesipatteri 350'!$I$19</f>
        <v>3.6137731798038739E-2</v>
      </c>
      <c r="M44" t="str" cm="1">
        <f t="array" ref="M44">INDEX(G44:K44,1,$C$6)</f>
        <v>-</v>
      </c>
      <c r="N44" t="str">
        <f t="shared" si="47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3.9111325588497572E-2</v>
      </c>
      <c r="K45" s="24">
        <f>'Laskenta vesipatteri 350'!$I$20</f>
        <v>2.2492315795749774E-2</v>
      </c>
      <c r="M45" t="str" cm="1">
        <f t="array" ref="M45">INDEX(G45:K45,1,$C$6)</f>
        <v>-</v>
      </c>
      <c r="N45" t="str">
        <f t="shared" si="47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4.4765027915766351E-2</v>
      </c>
      <c r="K46" s="26">
        <f>'Laskenta vesipatteri 350'!$I$21</f>
        <v>3.3947256204369974E-2</v>
      </c>
      <c r="M46" t="str" cm="1">
        <f t="array" ref="M46">INDEX(G46:K46,1,$C$6)</f>
        <v>-</v>
      </c>
      <c r="N46" t="str">
        <f t="shared" si="47"/>
        <v>-</v>
      </c>
    </row>
    <row r="47" spans="3:118" x14ac:dyDescent="0.1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t="b" cm="1">
        <f t="array" ref="M47">IF(D40,INDEX(G47:K47,1,$C$6),TRUE)</f>
        <v>1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25.283953630362426</v>
      </c>
      <c r="K48" s="21">
        <f>'Laskenta vesipatteri 350'!$I$25</f>
        <v>11.034555135508974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48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-5.2087570144280948E-2</v>
      </c>
      <c r="K50" s="24">
        <f>'Laskenta vesipatteri 350'!$I$27</f>
        <v>-1.2952366677256483E-2</v>
      </c>
      <c r="M50" t="str" cm="1">
        <f t="array" ref="M50">INDEX(G50:K50,1,$C$6)</f>
        <v>-</v>
      </c>
      <c r="N50" t="str">
        <f t="shared" si="48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48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3.5161969927418628</v>
      </c>
      <c r="K52" s="24">
        <f>'Laskenta vesipatteri 350'!$I$29</f>
        <v>0.21742188809456706</v>
      </c>
      <c r="M52" t="str" cm="1">
        <f t="array" ref="M52">INDEX(G52:K52,1,$C$6)</f>
        <v>-</v>
      </c>
      <c r="N52" t="str">
        <f t="shared" si="48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-0.42444770621993677</v>
      </c>
      <c r="K53" s="26">
        <f>'Laskenta vesipatteri 350'!$I$30</f>
        <v>-0.1055453788889148</v>
      </c>
      <c r="M53" t="str" cm="1">
        <f t="array" ref="M53">INDEX(G53:K53,1,$C$6)</f>
        <v>-</v>
      </c>
      <c r="N53" t="str">
        <f t="shared" si="48"/>
        <v>-</v>
      </c>
    </row>
    <row r="54" spans="4:16" x14ac:dyDescent="0.15">
      <c r="F54" t="s">
        <v>537</v>
      </c>
      <c r="J54" t="b">
        <f>'Laskenta vesipatteri 250'!$E$31</f>
        <v>1</v>
      </c>
      <c r="K54" t="b">
        <f>'Laskenta vesipatteri 350'!$E$31</f>
        <v>1</v>
      </c>
      <c r="M54" t="b" cm="1">
        <f t="array" ref="M54">IF(D40,INDEX(G54:K54,1,$C$6),TRUE)</f>
        <v>1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1028.28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IF(M47,INDEX(Kirjasto!D4:K130,127,Kirjasto!B4),"")</f>
        <v>Ei käyttöalueella. Tarkista mitoitusarvot.</v>
      </c>
      <c r="N59" s="22"/>
      <c r="O59" s="22"/>
      <c r="P59" s="21"/>
    </row>
    <row r="60" spans="4:16" x14ac:dyDescent="0.15">
      <c r="M60" s="14" t="str" cm="1">
        <f t="array" ref="M60">IF(M54,INDEX(Kirjasto!D4:K130,127,Kirjasto!B4),"")</f>
        <v>Ei käyttöalueella. Tarkista mitoitusarvot.</v>
      </c>
      <c r="N60" s="25"/>
      <c r="O60" s="25"/>
      <c r="P60" s="26"/>
    </row>
    <row r="62" spans="4:16" x14ac:dyDescent="0.15">
      <c r="M62" s="10" t="str" cm="1">
        <f t="array" ref="M62">IF(OR($C$6=4,$C$6=5),IF('Laskenta tulopuoli 350'!AU14,"",INDEX(Kirjasto!D4:K129,126,Kirjasto!B4)),INDEX(Kirjasto!D4:K125,105,Kirjasto!B4))</f>
        <v>Ei käytettävissä tässä mallissa</v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honeticPr fontId="92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K13" sqref="K13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-40.461968443342393</v>
      </c>
      <c r="Q5" t="s">
        <v>176</v>
      </c>
      <c r="S5" s="3">
        <f>M5</f>
        <v>-40.461968443342393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INDEX(Kirjasto!D4:K125,59,Kirjasto!B4)</f>
        <v>Kanavaliitäntäinen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INDEX(Kirjasto!D4:K125,60,Kirjasto!B4)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INDEX(Kirjasto!D4:K125,61,Kirjasto!B4)</f>
        <v>Käsikäyttö (ei tarp.muk. IV)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INDEX(Kirjasto!D4:K125,62,Kirjasto!B4)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INDEX(Kirjasto!D4:K125,63,Kirjasto!B4)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INDEX(Kirjasto!D4:K125,64,Kirjasto!B4)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INDEX(Kirjasto!D4:K125,65,Kirjasto!B4)</f>
        <v>On/off &amp; yksinopeuksinen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INDEX(Kirjasto!D4:K125,66,Kirjasto!B4)</f>
        <v>Kaksinopeuksinen</v>
      </c>
      <c r="F18">
        <v>1.2</v>
      </c>
    </row>
    <row r="19" spans="3:17" x14ac:dyDescent="0.15">
      <c r="C19" t="str" cm="1">
        <f t="array" ref="C19">INDEX(Kirjasto!D4:K125,67,Kirjasto!B4)</f>
        <v>Moninopeuksinen</v>
      </c>
      <c r="F19">
        <v>1.5</v>
      </c>
    </row>
    <row r="20" spans="3:17" x14ac:dyDescent="0.15">
      <c r="C20" t="str" cm="1">
        <f t="array" ref="C20">INDEX(Kirjasto!D4:K125,68,Kirjasto!B4)</f>
        <v>Portaaton säätö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INDEX(Kirjasto!D4:K125,69,Kirjasto!B4)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INDEX(Kirjasto!D4:K125,70,Kirjasto!B4)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INDEX(Kirjasto!D4:K125,71,Kirjasto!B4)</f>
        <v>Lämmin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f>Tulokset!O35</f>
        <v>0.82499999999999996</v>
      </c>
    </row>
    <row r="36" spans="3:7" x14ac:dyDescent="0.15">
      <c r="C36" t="s">
        <v>75</v>
      </c>
      <c r="F36" s="125">
        <f>Tulokset!N37</f>
        <v>1.2159469045764615</v>
      </c>
      <c r="G36" t="s">
        <v>175</v>
      </c>
    </row>
    <row r="37" spans="3:7" x14ac:dyDescent="0.15">
      <c r="C37" s="2" t="s">
        <v>173</v>
      </c>
      <c r="F37" s="124">
        <f>F36/(60*60)</f>
        <v>3.3776302904901708E-4</v>
      </c>
      <c r="G37" t="s">
        <v>174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W10" sqref="W1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45.1</v>
      </c>
      <c r="K3" t="s">
        <v>13</v>
      </c>
      <c r="L3" s="122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18.902436305733282</v>
      </c>
      <c r="Q5" s="52">
        <v>-27.650954453964708</v>
      </c>
      <c r="R5" t="s">
        <v>28</v>
      </c>
      <c r="T5" s="4"/>
      <c r="U5" s="39" t="s">
        <v>43</v>
      </c>
      <c r="V5" t="s">
        <v>28</v>
      </c>
      <c r="W5" s="9">
        <f>$P$5*LN($J$3)+$Q$5</f>
        <v>44.346199606703017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19.578816681417294</v>
      </c>
      <c r="Q6" s="52">
        <v>-14.792810946409446</v>
      </c>
      <c r="R6" t="s">
        <v>7</v>
      </c>
      <c r="T6" s="4"/>
      <c r="U6" s="39" t="s">
        <v>43</v>
      </c>
      <c r="V6" t="s">
        <v>7</v>
      </c>
      <c r="W6" s="9">
        <f>$P$6*LN($J$3)+$Q$6</f>
        <v>59.780596319087948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1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11.647601117129415</v>
      </c>
      <c r="R9" s="52">
        <v>-9.792488466537776</v>
      </c>
      <c r="S9" s="84">
        <f>(J3-R9)/Q9</f>
        <v>4.7127720046843589</v>
      </c>
      <c r="U9" s="39" t="s">
        <v>42</v>
      </c>
      <c r="V9" t="s">
        <v>44</v>
      </c>
      <c r="W9" s="9">
        <f>IF($J$3&gt;$AM$35,($J$3-$R$10)/$Q$10,($J$3-$R$9)/$Q$9)</f>
        <v>4.7127720046843589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x14ac:dyDescent="0.15">
      <c r="C10" s="468" t="s">
        <v>589</v>
      </c>
      <c r="D10" s="2"/>
      <c r="E10" s="2"/>
      <c r="H10" s="2"/>
      <c r="P10" t="s">
        <v>614</v>
      </c>
      <c r="Q10" s="52">
        <f t="array" ref="Q10:R10">LINEST(AM34:AM35,AL34:AL35)</f>
        <v>5.8254908631843856</v>
      </c>
      <c r="R10" s="52">
        <v>42.439186421864918</v>
      </c>
      <c r="S10" s="84">
        <f>(J3-R10)/Q10</f>
        <v>0.45675354071031954</v>
      </c>
      <c r="W10" t="b">
        <f>IF(AND(W9&gt;=0,W9&lt;=10.01,'R-series'!E33&gt;=W11,P22),TRUE,FALSE)</f>
        <v>1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2.5607120845770496E-2</v>
      </c>
      <c r="Q13" s="51">
        <v>-1.3880412995922213</v>
      </c>
      <c r="R13" s="51">
        <v>32.579111259107634</v>
      </c>
      <c r="U13" s="39" t="s">
        <v>43</v>
      </c>
      <c r="V13" t="s">
        <v>44</v>
      </c>
      <c r="W13" s="9">
        <f>$P$13*J3^2+$Q$13*J3+$R$13</f>
        <v>22.063588519004107</v>
      </c>
      <c r="X13" t="s">
        <v>49</v>
      </c>
      <c r="Y13" t="s">
        <v>592</v>
      </c>
    </row>
    <row r="14" spans="3:34" x14ac:dyDescent="0.1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22.063588519004107</v>
      </c>
      <c r="X14" t="s">
        <v>49</v>
      </c>
      <c r="Y14">
        <v>168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411</v>
      </c>
      <c r="D16" s="1"/>
      <c r="E16" s="1"/>
      <c r="H16" s="1"/>
      <c r="V16" t="s">
        <v>58</v>
      </c>
      <c r="W16">
        <f>'Laskenta poistopuoli 130'!W13</f>
        <v>16.228304091521537</v>
      </c>
    </row>
    <row r="17" spans="3:45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1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42.691892610525642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45.1</v>
      </c>
      <c r="X21" t="s">
        <v>13</v>
      </c>
      <c r="AB21" s="6"/>
      <c r="AC21" s="6"/>
    </row>
    <row r="22" spans="3:45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0.94660515766132236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</row>
    <row r="24" spans="3:45" x14ac:dyDescent="0.1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1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15">
      <c r="C26" s="2" t="s">
        <v>591</v>
      </c>
      <c r="P26">
        <v>120</v>
      </c>
      <c r="Q26">
        <f t="shared" si="3"/>
        <v>115.15577786811809</v>
      </c>
    </row>
    <row r="27" spans="3:45" x14ac:dyDescent="0.1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15">
      <c r="U28" s="4" t="s">
        <v>17</v>
      </c>
    </row>
    <row r="29" spans="3:45" x14ac:dyDescent="0.15">
      <c r="U29" s="4">
        <f>(L3/J3)^2/L3</f>
        <v>2.9990019714750665E-2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-9.4081716554741138E-2</v>
      </c>
      <c r="Z34" s="28">
        <f>(-W34+SQRT(W34^2-(4*Y34*X34)))/(2*Y34)</f>
        <v>-38.232265553825805</v>
      </c>
      <c r="AA34" s="29">
        <f>(-W34-SQRT(W34^2-(4*Y34*X34)))/(2*Y34)</f>
        <v>100.69409505370878</v>
      </c>
      <c r="AB34" s="36">
        <f>AB6</f>
        <v>131.65147221131414</v>
      </c>
      <c r="AC34" s="53">
        <f>IF(Z34&lt;0,AA34,IF(Z34&gt;AB34,AA34,Z34))</f>
        <v>100.69409505370878</v>
      </c>
      <c r="AD34" s="53">
        <f>V34*AC34^2+W34*AC34+X34</f>
        <v>304.0778302465601</v>
      </c>
      <c r="AE34" s="53">
        <f>X51*AC34^2+Y51*AC34+Z51</f>
        <v>158.01866039900077</v>
      </c>
      <c r="AF34" s="53">
        <f>$H$60*AC34^2+$I$60*AC34+$J$60</f>
        <v>59.955184484106653</v>
      </c>
      <c r="AG34" s="53">
        <f>$R$60*AC34^2+$S$60*AC34+$T$60</f>
        <v>75.71744077706883</v>
      </c>
      <c r="AI34">
        <v>10</v>
      </c>
      <c r="AJ34" s="3">
        <f>AC34</f>
        <v>100.69409505370878</v>
      </c>
      <c r="AL34">
        <v>10</v>
      </c>
      <c r="AM34" s="3">
        <f>AJ34</f>
        <v>100.69409505370878</v>
      </c>
      <c r="AS34" s="618">
        <f>AC34/$J$3-1</f>
        <v>1.2326850344503053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-6.2852005021676913E-2</v>
      </c>
      <c r="Z35" s="28">
        <f t="shared" ref="Z35:Z37" si="4">(-W35+SQRT(W35^2-(4*Y35*X35)))/(2*Y35)</f>
        <v>-68.584459868322867</v>
      </c>
      <c r="AA35" s="29">
        <f t="shared" ref="AA35:AA37" si="5">(-W35-SQRT(W35^2-(4*Y35*X35)))/(2*Y35)</f>
        <v>83.434864259900024</v>
      </c>
      <c r="AB35" s="36">
        <f>AD6</f>
        <v>116.85450849239542</v>
      </c>
      <c r="AC35" s="53">
        <f t="shared" ref="AC35:AC37" si="6">IF(Z35&lt;0,AA35,IF(Z35&gt;AB35,AA35,Z35))</f>
        <v>83.434864259900024</v>
      </c>
      <c r="AD35" s="53">
        <f>V35*AC35^2+W35*AC35+X35</f>
        <v>208.77182069810107</v>
      </c>
      <c r="AE35" s="53">
        <f t="shared" ref="AE35:AE37" si="7">X52*AC35^2+Y52*AC35+Z52</f>
        <v>96.381524368062856</v>
      </c>
      <c r="AF35" s="53">
        <f>$H$65*AC35^2+$I$65*AC35+$J$65</f>
        <v>55.77716054504107</v>
      </c>
      <c r="AG35" s="53">
        <f>$R$65*AC35^2+$S$65*AC35+$T$65</f>
        <v>71.733263072816172</v>
      </c>
      <c r="AI35">
        <v>8</v>
      </c>
      <c r="AJ35" s="3">
        <f t="shared" ref="AJ35:AJ38" si="8">AC35</f>
        <v>83.434864259900024</v>
      </c>
      <c r="AL35">
        <v>9</v>
      </c>
      <c r="AM35" s="3">
        <f>AJ38</f>
        <v>94.868604190524394</v>
      </c>
      <c r="AO35">
        <v>9</v>
      </c>
      <c r="AP35">
        <f>Q9*AO35+R9</f>
        <v>95.035921587626959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-4.9434241171217974E-2</v>
      </c>
      <c r="Z36" s="28">
        <f t="shared" si="4"/>
        <v>-81.435522544604396</v>
      </c>
      <c r="AA36" s="29">
        <f t="shared" si="5"/>
        <v>60.418324150190116</v>
      </c>
      <c r="AB36" s="36">
        <f>AF6</f>
        <v>86.014925141186822</v>
      </c>
      <c r="AC36" s="53">
        <f t="shared" si="6"/>
        <v>60.418324150190116</v>
      </c>
      <c r="AD36" s="53">
        <f>V36*AC36^2+W36*AC36+X36</f>
        <v>109.47478502080335</v>
      </c>
      <c r="AE36" s="53">
        <f t="shared" si="7"/>
        <v>43.842499385534595</v>
      </c>
      <c r="AF36" s="53">
        <f>$H$70*AC36^2+$I$70*AC36+$J$70</f>
        <v>49.3372428680917</v>
      </c>
      <c r="AG36" s="53">
        <f>$R$70*AC36^2+$S$70*AC36+$T$70</f>
        <v>65.230682783370469</v>
      </c>
      <c r="AI36">
        <v>6</v>
      </c>
      <c r="AJ36" s="3">
        <f t="shared" si="8"/>
        <v>60.418324150190116</v>
      </c>
      <c r="AL36">
        <v>8</v>
      </c>
      <c r="AM36" s="3">
        <f>AJ35</f>
        <v>83.434864259900024</v>
      </c>
      <c r="AS36" s="611">
        <f>Tulokset!$CR$16</f>
        <v>54.12</v>
      </c>
      <c r="AT36" t="s">
        <v>13</v>
      </c>
      <c r="AV36" s="619">
        <f>IF($AS$36&gt;$AM$35,($AS$36-$R$10)/$Q$10,($AS$36-$R$9)/$Q$9)</f>
        <v>5.4871803922393587</v>
      </c>
      <c r="AW36" t="s">
        <v>25</v>
      </c>
    </row>
    <row r="37" spans="21:49" ht="14" thickBot="1" x14ac:dyDescent="0.2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-4.2107271424058054E-2</v>
      </c>
      <c r="Z37" s="28">
        <f t="shared" si="4"/>
        <v>-67.397197295432463</v>
      </c>
      <c r="AA37" s="29">
        <f t="shared" si="5"/>
        <v>36.593483695728523</v>
      </c>
      <c r="AB37" s="36">
        <f>AH6</f>
        <v>49.481696828913591</v>
      </c>
      <c r="AC37" s="469">
        <f t="shared" si="6"/>
        <v>36.593483695728523</v>
      </c>
      <c r="AD37" s="469">
        <f>V37*AC37^2+W37*AC37+X37</f>
        <v>40.159127038885018</v>
      </c>
      <c r="AE37" s="53">
        <f t="shared" si="7"/>
        <v>15.391215549318181</v>
      </c>
      <c r="AF37" s="53">
        <f>$H$75*AC37^2+$I$75*AC37+$J$75</f>
        <v>40.702644663301612</v>
      </c>
      <c r="AG37" s="53">
        <f>$R$75*AC37^2+$S$75*AC37+$T$75</f>
        <v>55.844212068632928</v>
      </c>
      <c r="AI37">
        <v>4</v>
      </c>
      <c r="AJ37" s="3">
        <f t="shared" si="8"/>
        <v>36.593483695728523</v>
      </c>
      <c r="AL37">
        <v>6</v>
      </c>
      <c r="AM37" s="3">
        <f t="shared" ref="AM37:AM38" si="9">AJ36</f>
        <v>60.418324150190116</v>
      </c>
      <c r="AS37" s="611">
        <f>Tulokset!$CR$17</f>
        <v>87.839999999999975</v>
      </c>
      <c r="AT37" t="s">
        <v>14</v>
      </c>
    </row>
    <row r="38" spans="21:49" ht="14" thickBot="1" x14ac:dyDescent="0.2">
      <c r="U38" s="470">
        <v>9</v>
      </c>
      <c r="V38" s="471">
        <f>C27</f>
        <v>-3.4256000814353607E-2</v>
      </c>
      <c r="W38" s="471">
        <f t="shared" ref="W38:X38" si="10">D27</f>
        <v>1.2026653969474246</v>
      </c>
      <c r="X38" s="471">
        <f t="shared" si="10"/>
        <v>464.1223419611191</v>
      </c>
      <c r="Y38" s="472">
        <f>C27-U29</f>
        <v>-6.4246020529104275E-2</v>
      </c>
      <c r="Z38" s="473">
        <f t="shared" ref="Z38" si="11">(-W38+SQRT(W38^2-(4*Y38*X38)))/(2*Y38)</f>
        <v>-76.148917164888289</v>
      </c>
      <c r="AA38" s="474">
        <f t="shared" ref="AA38" si="12">(-W38-SQRT(W38^2-(4*Y38*X38)))/(2*Y38)</f>
        <v>94.868604190524394</v>
      </c>
      <c r="AB38" s="475">
        <v>120</v>
      </c>
      <c r="AC38" s="476">
        <f t="shared" ref="AC38" si="13">IF(Z38&lt;0,AA38,IF(Z38&gt;AB38,AA38,Z38))</f>
        <v>94.868604190524394</v>
      </c>
      <c r="AD38" s="477">
        <f>V38*AC38^2+W38*AC38+X38</f>
        <v>269.91173874492341</v>
      </c>
      <c r="AE38" s="53">
        <f>X55*AC38^2+Y55*AC38+Z55</f>
        <v>123.47527925957563</v>
      </c>
      <c r="AI38">
        <v>9</v>
      </c>
      <c r="AJ38" s="3">
        <f t="shared" si="8"/>
        <v>94.868604190524394</v>
      </c>
      <c r="AL38">
        <v>4</v>
      </c>
      <c r="AM38" s="3">
        <f t="shared" si="9"/>
        <v>36.593483695728523</v>
      </c>
    </row>
    <row r="40" spans="21:49" x14ac:dyDescent="0.15">
      <c r="U40" s="2" t="s">
        <v>35</v>
      </c>
      <c r="W40" t="s">
        <v>36</v>
      </c>
    </row>
    <row r="41" spans="21:49" x14ac:dyDescent="0.15">
      <c r="Z41" s="272" t="s">
        <v>596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80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58.346199606703017</v>
      </c>
      <c r="AG43" s="53">
        <f t="shared" ref="AG43:AM43" si="14">$W$5+X43</f>
        <v>55.346199606703017</v>
      </c>
      <c r="AH43" s="53">
        <f t="shared" si="14"/>
        <v>48.346199606703017</v>
      </c>
      <c r="AI43" s="53">
        <f t="shared" si="14"/>
        <v>41.346199606703017</v>
      </c>
      <c r="AJ43" s="53">
        <f t="shared" si="14"/>
        <v>33.346199606703017</v>
      </c>
      <c r="AK43" s="53">
        <f t="shared" si="14"/>
        <v>27.346199606703017</v>
      </c>
      <c r="AL43" s="53">
        <f t="shared" si="14"/>
        <v>19.346199606703017</v>
      </c>
      <c r="AM43" s="53">
        <f t="shared" si="14"/>
        <v>10.346199606703017</v>
      </c>
      <c r="AN43" s="5">
        <f t="array" ref="AN43">10*LOG10(SUM(10^(AF43:AM43/10)))</f>
        <v>60.455369833170025</v>
      </c>
      <c r="AO43" s="5">
        <f t="array" ref="AO43">10*LOG10(SUM(10^((AF43:AM43+AF46:AM46)/10)))</f>
        <v>44.623491548482271</v>
      </c>
      <c r="AP43" t="str">
        <f>IF(ABS(W5-AO43)&lt;0.5,"OK","Tarkista laskenta!")</f>
        <v>OK</v>
      </c>
    </row>
    <row r="44" spans="21:49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69.780596319087948</v>
      </c>
      <c r="AG44" s="53">
        <f t="shared" ref="AG44:AM44" si="15">$W$6+X44</f>
        <v>68.780596319087948</v>
      </c>
      <c r="AH44" s="53">
        <f t="shared" si="15"/>
        <v>61.780596319087948</v>
      </c>
      <c r="AI44" s="53">
        <f t="shared" si="15"/>
        <v>56.780596319087948</v>
      </c>
      <c r="AJ44" s="53">
        <f t="shared" si="15"/>
        <v>51.780596319087948</v>
      </c>
      <c r="AK44" s="53">
        <f t="shared" si="15"/>
        <v>50.780596319087948</v>
      </c>
      <c r="AL44" s="53">
        <f t="shared" si="15"/>
        <v>44.780596319087948</v>
      </c>
      <c r="AM44" s="53">
        <f t="shared" si="15"/>
        <v>34.780596319087948</v>
      </c>
      <c r="AN44" s="5">
        <f t="array" ref="AN44">10*LOG10(SUM(10^(AF44:AM44/10)))</f>
        <v>72.865926660376374</v>
      </c>
      <c r="AO44" s="5">
        <f t="array" ref="AO44">10*LOG10(SUM(10^((AF44:AM44+AF46:AM46)/10)))</f>
        <v>59.96903906262289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8">
        <v>126.54627249330899</v>
      </c>
      <c r="Y59" s="478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8">
        <v>124.17422218989299</v>
      </c>
      <c r="Y60" s="478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8">
        <v>119.51684900019518</v>
      </c>
      <c r="Y61" s="478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8">
        <v>115.07326296692654</v>
      </c>
      <c r="Y62" s="478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110.37714302386942</v>
      </c>
      <c r="Y63" s="478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8">
        <v>103.29973361775856</v>
      </c>
      <c r="Y64" s="478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8">
        <v>92.00971203437571</v>
      </c>
      <c r="Y65" s="478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8">
        <v>79.647869425429306</v>
      </c>
      <c r="Y66" s="478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8">
        <v>68.418898324482583</v>
      </c>
      <c r="Y67" s="478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52.880453885014383</v>
      </c>
      <c r="Y68" s="478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F513-CAE6-4446-8718-7B122564BFD6}">
  <dimension ref="C2:AL66"/>
  <sheetViews>
    <sheetView showGridLines="0" zoomScaleNormal="100" zoomScaleSheetLayoutView="70" workbookViewId="0">
      <selection activeCell="AI10" sqref="AI10"/>
    </sheetView>
  </sheetViews>
  <sheetFormatPr baseColWidth="10" defaultColWidth="8.83203125" defaultRowHeight="13" x14ac:dyDescent="0.15"/>
  <cols>
    <col min="2" max="2" width="1" customWidth="1"/>
    <col min="3" max="3" width="3" customWidth="1"/>
    <col min="4" max="4" width="1.33203125" customWidth="1"/>
    <col min="5" max="5" width="11.1640625" customWidth="1"/>
    <col min="6" max="6" width="6.5" customWidth="1"/>
    <col min="7" max="7" width="6.33203125" customWidth="1"/>
    <col min="8" max="10" width="5.83203125" customWidth="1"/>
    <col min="11" max="11" width="5.83203125" style="233" customWidth="1"/>
    <col min="12" max="25" width="5.83203125" style="4" customWidth="1"/>
    <col min="26" max="26" width="5.83203125" customWidth="1"/>
    <col min="27" max="32" width="4.5" customWidth="1"/>
    <col min="33" max="33" width="2" customWidth="1"/>
    <col min="34" max="34" width="5.6640625" customWidth="1"/>
    <col min="37" max="37" width="9" customWidth="1"/>
    <col min="38" max="38" width="175.6640625" customWidth="1"/>
  </cols>
  <sheetData>
    <row r="2" spans="3:38" x14ac:dyDescent="0.15">
      <c r="C2" s="1023"/>
      <c r="D2" s="1024"/>
      <c r="E2" s="1024"/>
      <c r="F2" s="1024"/>
      <c r="G2" s="1024"/>
      <c r="H2" s="1024"/>
      <c r="I2" s="1024"/>
      <c r="J2" s="1024"/>
      <c r="K2" s="1025"/>
      <c r="L2" s="1026"/>
      <c r="M2" s="1026"/>
      <c r="N2" s="1026"/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1026"/>
      <c r="Z2" s="1024"/>
      <c r="AA2" s="1024"/>
      <c r="AB2" s="1024"/>
      <c r="AC2" s="1024"/>
      <c r="AD2" s="1024"/>
      <c r="AE2" s="1024"/>
      <c r="AF2" s="1024"/>
      <c r="AG2" s="1024"/>
      <c r="AH2" s="1027"/>
      <c r="AK2" t="str" cm="1">
        <f t="array" ref="AK2">INDEX(KirjastoC!$D$4:$K$500,186,KirjastoC!$B$4)</f>
        <v>VALITTU MALLI JA KOODIAVAIN:</v>
      </c>
    </row>
    <row r="3" spans="3:38" ht="21.75" customHeight="1" x14ac:dyDescent="0.2">
      <c r="C3" s="1028"/>
      <c r="D3" s="1029"/>
      <c r="E3" s="1030" t="str" cm="1">
        <f t="array" ref="E3">INDEX(KirjastoC!$D$4:$K$500,153,KirjastoC!$B$4)</f>
        <v>Airfi: C-sarjan koneiden laitekoodin valinta</v>
      </c>
      <c r="F3" s="88"/>
      <c r="G3" s="88"/>
      <c r="H3" s="88"/>
      <c r="I3" s="88"/>
      <c r="J3" s="88"/>
      <c r="K3" s="1031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88"/>
      <c r="AA3" s="88"/>
      <c r="AB3" s="88"/>
      <c r="AC3" s="88"/>
      <c r="AD3" s="88"/>
      <c r="AE3" s="88"/>
      <c r="AF3" s="88"/>
      <c r="AG3" s="88"/>
      <c r="AH3" s="1033"/>
      <c r="AK3" s="1456" t="str">
        <f>H8</f>
        <v>Airfi Model C5 Electric</v>
      </c>
      <c r="AL3" s="1457"/>
    </row>
    <row r="4" spans="3:38" ht="18.75" customHeight="1" x14ac:dyDescent="0.2">
      <c r="C4" s="1028"/>
      <c r="D4" s="1029"/>
      <c r="E4" s="1033" t="str" cm="1">
        <f t="array" ref="E4">INDEX(KirjastoC!$D$4:$K$500,154,KirjastoC!$B$4)</f>
        <v>Valitse vaihtoehto jokaisesta alla olevasta liukuvalikosta</v>
      </c>
      <c r="F4" s="88"/>
      <c r="G4" s="88"/>
      <c r="H4" s="88"/>
      <c r="I4" s="88"/>
      <c r="J4" s="88"/>
      <c r="K4" s="1031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88"/>
      <c r="AA4" s="88"/>
      <c r="AB4" s="88"/>
      <c r="AC4" s="88"/>
      <c r="AD4" s="88"/>
      <c r="AE4" s="88"/>
      <c r="AF4" s="88"/>
      <c r="AG4" s="88"/>
      <c r="AH4" s="1033"/>
      <c r="AK4" s="1058" t="str" cm="1">
        <f t="array" ref="AK4">INDEX(KirjastoC!$D$4:$K$500,187,KirjastoC!$B$4)</f>
        <v>Koodi:</v>
      </c>
      <c r="AL4" s="1059" t="str">
        <f>'C koodit'!B76</f>
        <v>20051165121000000008009</v>
      </c>
    </row>
    <row r="5" spans="3:38" ht="16" x14ac:dyDescent="0.2">
      <c r="C5" s="1028"/>
      <c r="D5" s="1029"/>
      <c r="E5" s="88"/>
      <c r="F5" s="88"/>
      <c r="G5" s="88"/>
      <c r="H5" s="88"/>
      <c r="I5" s="88"/>
      <c r="J5" s="88"/>
      <c r="K5" s="1031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88"/>
      <c r="AA5" s="88"/>
      <c r="AB5" s="88"/>
      <c r="AC5" s="88"/>
      <c r="AD5" s="88"/>
      <c r="AE5" s="88"/>
      <c r="AF5" s="88"/>
      <c r="AG5" s="88"/>
      <c r="AH5" s="1033"/>
      <c r="AK5" s="1060" t="str" cm="1">
        <f t="array" ref="AK5">INDEX(KirjastoC!$D$4:$K$500,188,KirjastoC!$B$4)</f>
        <v>Sisältökuvaus:</v>
      </c>
      <c r="AL5" s="1061"/>
    </row>
    <row r="6" spans="3:38" ht="16.5" customHeight="1" x14ac:dyDescent="0.2">
      <c r="C6" s="1028"/>
      <c r="D6" s="1029"/>
      <c r="E6" s="1057" t="str" cm="1">
        <f t="array" ref="E6">INDEX(KirjastoC!$D$4:$K$500,3,KirjastoC!$B$4)</f>
        <v>Kohde:</v>
      </c>
      <c r="F6" s="1038"/>
      <c r="G6" s="1461" t="s">
        <v>2669</v>
      </c>
      <c r="H6" s="1462"/>
      <c r="I6" s="1462"/>
      <c r="J6" s="1462"/>
      <c r="K6" s="1462"/>
      <c r="L6" s="1462"/>
      <c r="M6" s="1462"/>
      <c r="N6" s="1462"/>
      <c r="O6" s="1462"/>
      <c r="P6" s="1462"/>
      <c r="Q6" s="1463"/>
      <c r="R6" s="1032"/>
      <c r="S6" s="1032"/>
      <c r="T6" s="1032"/>
      <c r="U6" s="1032"/>
      <c r="V6" s="1032"/>
      <c r="W6" s="1032"/>
      <c r="X6" s="1032"/>
      <c r="Y6" s="1032"/>
      <c r="Z6" s="88"/>
      <c r="AA6" s="88"/>
      <c r="AB6" s="88"/>
      <c r="AC6" s="88"/>
      <c r="AD6" s="88"/>
      <c r="AE6" s="88"/>
      <c r="AF6" s="88"/>
      <c r="AG6" s="88"/>
      <c r="AH6" s="1033"/>
      <c r="AK6" s="1062" t="s">
        <v>4</v>
      </c>
      <c r="AL6" s="1063" t="str">
        <f>'C koodit'!C79</f>
        <v>2 = C = Commercial AHU, LTO-Vastavirtasiirrin</v>
      </c>
    </row>
    <row r="7" spans="3:38" ht="16.5" customHeight="1" x14ac:dyDescent="0.2">
      <c r="C7" s="1028"/>
      <c r="D7" s="1029"/>
      <c r="E7" s="1057" t="str" cm="1">
        <f t="array" ref="E7">INDEX(KirjastoC!$D$4:$K$500,4,KirjastoC!$B$4)</f>
        <v>Suunnittelija:</v>
      </c>
      <c r="F7" s="1038"/>
      <c r="G7" s="1464"/>
      <c r="H7" s="1465"/>
      <c r="I7" s="1465"/>
      <c r="J7" s="1465"/>
      <c r="K7" s="1465"/>
      <c r="L7" s="1465"/>
      <c r="M7" s="1465"/>
      <c r="N7" s="1465"/>
      <c r="O7" s="1465"/>
      <c r="P7" s="1465"/>
      <c r="Q7" s="1466"/>
      <c r="R7" s="1032"/>
      <c r="S7" s="1032"/>
      <c r="T7" s="1032"/>
      <c r="U7" s="1032"/>
      <c r="V7" s="1032"/>
      <c r="W7" s="1032"/>
      <c r="X7" s="1032"/>
      <c r="Y7" s="1032"/>
      <c r="Z7" s="88"/>
      <c r="AA7" s="88"/>
      <c r="AB7" s="88"/>
      <c r="AC7" s="88"/>
      <c r="AD7" s="88"/>
      <c r="AE7" s="88"/>
      <c r="AF7" s="88"/>
      <c r="AG7" s="88"/>
      <c r="AH7" s="1033"/>
      <c r="AK7" s="1064" t="s">
        <v>2158</v>
      </c>
      <c r="AL7" s="1065" t="str">
        <f>'C koodit'!C81</f>
        <v>005, 500dm³/s…1800m³/h   (Kone: Airfi Model C5 Electric, 230VAC 50Hz 16A, max ottoteho 2 kW  /  Airfi Model C5 Water, 230VAC 50Hz 16A, max ottoteho 2 kW )</v>
      </c>
    </row>
    <row r="8" spans="3:38" ht="16.5" customHeight="1" x14ac:dyDescent="0.2">
      <c r="C8" s="1028"/>
      <c r="D8" s="1029"/>
      <c r="E8" s="88"/>
      <c r="F8" s="88"/>
      <c r="G8" s="88"/>
      <c r="H8" s="1467" t="str">
        <f>'C koodit'!C125</f>
        <v>Airfi Model C5 Electric</v>
      </c>
      <c r="I8" s="1467"/>
      <c r="J8" s="1467"/>
      <c r="K8" s="1467"/>
      <c r="L8" s="1467"/>
      <c r="M8" s="1467"/>
      <c r="N8" s="1467"/>
      <c r="O8" s="1467"/>
      <c r="P8" s="1467"/>
      <c r="Q8" s="1467"/>
      <c r="R8" s="1032"/>
      <c r="S8" s="1032"/>
      <c r="T8" s="1032"/>
      <c r="U8" s="1032"/>
      <c r="V8" s="1032"/>
      <c r="W8" s="1032"/>
      <c r="X8" s="1032"/>
      <c r="Y8" s="1032"/>
      <c r="Z8" s="88"/>
      <c r="AA8" s="88"/>
      <c r="AB8" s="88"/>
      <c r="AC8" s="88"/>
      <c r="AD8" s="88"/>
      <c r="AE8" s="88"/>
      <c r="AF8" s="88"/>
      <c r="AG8" s="88"/>
      <c r="AH8" s="1033"/>
      <c r="AK8" s="1064" t="s">
        <v>6</v>
      </c>
      <c r="AL8" s="1065" t="str">
        <f>'C koodit'!C83</f>
        <v>1 = R = oikea (jäteilma oikeassa reunassa huoltosuunnasta katsoen), Vakiotoimitus, jos ei muuta pyydetty</v>
      </c>
    </row>
    <row r="9" spans="3:38" ht="16.5" customHeight="1" x14ac:dyDescent="0.2">
      <c r="C9" s="1028"/>
      <c r="D9" s="1029"/>
      <c r="E9" s="1029"/>
      <c r="F9" s="88"/>
      <c r="G9" s="1034"/>
      <c r="H9" s="1468"/>
      <c r="I9" s="1468"/>
      <c r="J9" s="1468"/>
      <c r="K9" s="1468"/>
      <c r="L9" s="1468"/>
      <c r="M9" s="1468"/>
      <c r="N9" s="1468"/>
      <c r="O9" s="1468"/>
      <c r="P9" s="1468"/>
      <c r="Q9" s="1468"/>
      <c r="R9" s="1032"/>
      <c r="S9" s="1032"/>
      <c r="T9" s="1032"/>
      <c r="U9" s="1032"/>
      <c r="V9" s="1032"/>
      <c r="W9" s="1032"/>
      <c r="X9" s="1032"/>
      <c r="Y9" s="1032"/>
      <c r="Z9" s="88"/>
      <c r="AA9" s="88"/>
      <c r="AB9" s="88"/>
      <c r="AC9" s="88"/>
      <c r="AD9" s="88"/>
      <c r="AE9" s="88"/>
      <c r="AF9" s="88"/>
      <c r="AG9" s="88"/>
      <c r="AH9" s="1033"/>
      <c r="AK9" s="1066" t="s">
        <v>178</v>
      </c>
      <c r="AL9" s="1065" t="str">
        <f>'C koodit'!C85</f>
        <v>1 = Airfi automatiikka, valmiina mm. ModBus RTU/TCP . Monipuoliset kytkentä mahdollisuudet jne… Vakiotoimitus jos ei muuta pyydetty.</v>
      </c>
    </row>
    <row r="10" spans="3:38" ht="16.5" customHeight="1" x14ac:dyDescent="0.2">
      <c r="C10" s="1028"/>
      <c r="D10" s="1029"/>
      <c r="E10" s="1052" t="str" cm="1">
        <f t="array" ref="E10">INDEX(KirjastoC!$D$4:$K$500,155,KirjastoC!$B$4)</f>
        <v>Koodiavain:</v>
      </c>
      <c r="F10" s="1047"/>
      <c r="G10" s="1047"/>
      <c r="H10" s="1458" t="str" cm="1">
        <f t="array" ref="H10">INDEX(KirjastoC!$D$4:$K$500,162,KirjastoC!$B$4)</f>
        <v>Perusrakenne:</v>
      </c>
      <c r="I10" s="1460"/>
      <c r="J10" s="1460"/>
      <c r="K10" s="1459"/>
      <c r="L10" s="1458" t="str" cm="1">
        <f t="array" ref="L10">INDEX(KirjastoC!$D$4:$K$500,163,KirjastoC!$B$4)</f>
        <v>Suodatus:</v>
      </c>
      <c r="M10" s="1459"/>
      <c r="N10" s="1458" t="str" cm="1">
        <f t="array" ref="N10">INDEX(KirjastoC!$D$4:$K$500,164,KirjastoC!$B$4)</f>
        <v>Patterit:</v>
      </c>
      <c r="O10" s="1460"/>
      <c r="P10" s="1460"/>
      <c r="Q10" s="1459"/>
      <c r="R10" s="1458" t="str" cm="1">
        <f t="array" ref="R10">INDEX(KirjastoC!$D$4:$K$500,165,KirjastoC!$B$4)</f>
        <v>Tarvikkeet:</v>
      </c>
      <c r="S10" s="1460"/>
      <c r="T10" s="1460"/>
      <c r="U10" s="1460"/>
      <c r="V10" s="1460"/>
      <c r="W10" s="1459"/>
      <c r="X10" s="1458" t="str" cm="1">
        <f t="array" ref="X10">INDEX(KirjastoC!$D$4:$K$500,166,KirjastoC!$B$4)</f>
        <v>Ohjaukset:</v>
      </c>
      <c r="Y10" s="1460"/>
      <c r="Z10" s="1459"/>
      <c r="AA10" s="1045"/>
      <c r="AB10" s="1045"/>
      <c r="AC10" s="1045"/>
      <c r="AD10" s="1045"/>
      <c r="AE10" s="1045"/>
      <c r="AF10" s="1045"/>
      <c r="AG10" s="88"/>
      <c r="AH10" s="1033"/>
      <c r="AK10" s="1067" t="s">
        <v>179</v>
      </c>
      <c r="AL10" s="1063" t="str">
        <f>'C koodit'!C87</f>
        <v>6 = ISO ePM1 65%,  (Vakiotoimitus C-koneissa, jos ei valittu muuta) (aiempi luokitus F7 taso)</v>
      </c>
    </row>
    <row r="11" spans="3:38" ht="16.5" customHeight="1" x14ac:dyDescent="0.2">
      <c r="C11" s="1028"/>
      <c r="D11" s="1029"/>
      <c r="E11" s="1048"/>
      <c r="F11" s="1045"/>
      <c r="G11" s="1045"/>
      <c r="H11" s="1053" t="s">
        <v>4</v>
      </c>
      <c r="I11" s="1053" t="s">
        <v>2158</v>
      </c>
      <c r="J11" s="1053" t="s">
        <v>6</v>
      </c>
      <c r="K11" s="1054" t="s">
        <v>178</v>
      </c>
      <c r="L11" s="1053" t="s">
        <v>179</v>
      </c>
      <c r="M11" s="1054" t="s">
        <v>180</v>
      </c>
      <c r="N11" s="1053" t="s">
        <v>2159</v>
      </c>
      <c r="O11" s="1053" t="s">
        <v>2128</v>
      </c>
      <c r="P11" s="1053" t="s">
        <v>2129</v>
      </c>
      <c r="Q11" s="1054" t="s">
        <v>2130</v>
      </c>
      <c r="R11" s="1053" t="s">
        <v>496</v>
      </c>
      <c r="S11" s="1053" t="s">
        <v>2069</v>
      </c>
      <c r="T11" s="1053" t="s">
        <v>2131</v>
      </c>
      <c r="U11" s="1053" t="s">
        <v>2132</v>
      </c>
      <c r="V11" s="1053" t="s">
        <v>2133</v>
      </c>
      <c r="W11" s="1054" t="s">
        <v>47</v>
      </c>
      <c r="X11" s="1053" t="s">
        <v>2134</v>
      </c>
      <c r="Y11" s="1053" t="s">
        <v>2160</v>
      </c>
      <c r="Z11" s="1054" t="s">
        <v>2135</v>
      </c>
      <c r="AA11" s="1046"/>
      <c r="AB11" s="1046"/>
      <c r="AC11" s="1046"/>
      <c r="AD11" s="1046"/>
      <c r="AE11" s="1046"/>
      <c r="AF11" s="1045"/>
      <c r="AG11" s="88"/>
      <c r="AH11" s="1033"/>
      <c r="AK11" s="1068" t="s">
        <v>180</v>
      </c>
      <c r="AL11" s="1069" t="str">
        <f>'C koodit'!C89</f>
        <v>5 = ISO ePM10 50%,  (Vakiotoimitus C-koneissa, jos ei valittu muuta) (aiempi luokitus M5-taso)</v>
      </c>
    </row>
    <row r="12" spans="3:38" ht="16.5" customHeight="1" x14ac:dyDescent="0.2">
      <c r="C12" s="1028"/>
      <c r="D12" s="1029"/>
      <c r="E12" s="1055" t="str" cm="1">
        <f t="array" ref="E12">INDEX(KirjastoC!$D$4:$K$500,156,KirjastoC!$B$4)</f>
        <v>Valinta:</v>
      </c>
      <c r="F12" s="1049"/>
      <c r="G12" s="1049"/>
      <c r="H12" s="1050">
        <f>'C koodit'!$D$79</f>
        <v>2</v>
      </c>
      <c r="I12" s="1050" t="str">
        <f>'C koodit'!$D$81</f>
        <v>005</v>
      </c>
      <c r="J12" s="1050">
        <f>'C koodit'!$D$83</f>
        <v>1</v>
      </c>
      <c r="K12" s="1051">
        <f>'C koodit'!$D$85</f>
        <v>1</v>
      </c>
      <c r="L12" s="1050">
        <f>'C koodit'!$D$87</f>
        <v>6</v>
      </c>
      <c r="M12" s="1051">
        <f>'C koodit'!$D$89</f>
        <v>5</v>
      </c>
      <c r="N12" s="1050">
        <f>'C koodit'!$D$91</f>
        <v>12</v>
      </c>
      <c r="O12" s="1050">
        <f>'C koodit'!$D$93</f>
        <v>1</v>
      </c>
      <c r="P12" s="1050">
        <f>'C koodit'!$D$95</f>
        <v>0</v>
      </c>
      <c r="Q12" s="1051">
        <f>'C koodit'!$D$97</f>
        <v>0</v>
      </c>
      <c r="R12" s="1050">
        <f>'C koodit'!$D$99</f>
        <v>0</v>
      </c>
      <c r="S12" s="1050">
        <f>'C koodit'!$D$101</f>
        <v>0</v>
      </c>
      <c r="T12" s="1050">
        <f>'C koodit'!$D$103</f>
        <v>0</v>
      </c>
      <c r="U12" s="1050">
        <f>'C koodit'!$D$105</f>
        <v>0</v>
      </c>
      <c r="V12" s="1050">
        <f>'C koodit'!$D$107</f>
        <v>0</v>
      </c>
      <c r="W12" s="1051">
        <f>'C koodit'!$D$109</f>
        <v>0</v>
      </c>
      <c r="X12" s="1050">
        <f>'C koodit'!$D$111</f>
        <v>8</v>
      </c>
      <c r="Y12" s="1050" t="str">
        <f>'C koodit'!$D$113</f>
        <v>00</v>
      </c>
      <c r="Z12" s="1051">
        <f>'C koodit'!$D$115</f>
        <v>9</v>
      </c>
      <c r="AA12" s="1046"/>
      <c r="AB12" s="1046"/>
      <c r="AC12" s="1046"/>
      <c r="AD12" s="1046"/>
      <c r="AE12" s="1046"/>
      <c r="AF12" s="1045"/>
      <c r="AG12" s="88"/>
      <c r="AH12" s="1033"/>
      <c r="AK12" s="1067" t="s">
        <v>2159</v>
      </c>
      <c r="AL12" s="1063" t="str">
        <f>'C koodit'!C91</f>
        <v>12 = Electric, Jälkilämmityspaketti 2: Sulakekoko 400VAC 3x25A, max ottoteho 14,4 kW - Oma jälkilämmityksen syöttö (malleihin C5, Cxx),  Vakiotoimitus konekoossa C5 Electric jos ei muuta pyydetty</v>
      </c>
    </row>
    <row r="13" spans="3:38" ht="16.5" customHeight="1" x14ac:dyDescent="0.2">
      <c r="C13" s="1028"/>
      <c r="D13" s="1029"/>
      <c r="E13" s="1029"/>
      <c r="F13" s="88"/>
      <c r="G13" s="1034"/>
      <c r="H13" s="88"/>
      <c r="I13" s="88"/>
      <c r="J13" s="88"/>
      <c r="K13" s="1031"/>
      <c r="L13" s="1032"/>
      <c r="M13" s="1032"/>
      <c r="N13" s="1032"/>
      <c r="O13" s="1032"/>
      <c r="P13" s="1032"/>
      <c r="Q13" s="1032"/>
      <c r="R13" s="1032"/>
      <c r="S13" s="1032"/>
      <c r="T13" s="1032"/>
      <c r="U13" s="1032"/>
      <c r="V13" s="1032"/>
      <c r="W13" s="1032"/>
      <c r="X13" s="1032"/>
      <c r="Y13" s="1032"/>
      <c r="Z13" s="88"/>
      <c r="AA13" s="88"/>
      <c r="AB13" s="88"/>
      <c r="AC13" s="88"/>
      <c r="AD13" s="88"/>
      <c r="AE13" s="88"/>
      <c r="AF13" s="88"/>
      <c r="AG13" s="88"/>
      <c r="AH13" s="1033"/>
      <c r="AK13" s="1070" t="s">
        <v>2128</v>
      </c>
      <c r="AL13" s="1065" t="str">
        <f>'C koodit'!C93</f>
        <v>1 = Electric, Vakiona valitun teholuokan mukaiset varusteet (Huom! Electric malleissa jälkilämmityksen oma sähkönsyöttö)</v>
      </c>
    </row>
    <row r="14" spans="3:38" ht="16" x14ac:dyDescent="0.2">
      <c r="C14" s="1028"/>
      <c r="D14" s="1029"/>
      <c r="E14" s="1035" t="str" cm="1">
        <f t="array" ref="E14">INDEX(KirjastoC!$D$4:$K$500,157,KirjastoC!$B$4)</f>
        <v>PERUSRAKENNE:</v>
      </c>
      <c r="F14" s="88"/>
      <c r="G14" s="88"/>
      <c r="H14" s="88"/>
      <c r="I14" s="88"/>
      <c r="J14" s="88"/>
      <c r="K14" s="1031"/>
      <c r="L14" s="1032"/>
      <c r="M14" s="1032"/>
      <c r="N14" s="1032"/>
      <c r="O14" s="1032"/>
      <c r="P14" s="1032"/>
      <c r="Q14" s="1032"/>
      <c r="R14" s="1032"/>
      <c r="S14" s="1032"/>
      <c r="T14" s="1032"/>
      <c r="U14" s="1032"/>
      <c r="V14" s="1032"/>
      <c r="W14" s="1032"/>
      <c r="X14" s="1032"/>
      <c r="Y14" s="1032"/>
      <c r="Z14" s="88"/>
      <c r="AA14" s="88"/>
      <c r="AB14" s="88"/>
      <c r="AC14" s="88"/>
      <c r="AD14" s="88"/>
      <c r="AE14" s="88"/>
      <c r="AF14" s="88"/>
      <c r="AG14" s="88"/>
      <c r="AH14" s="1033"/>
      <c r="AK14" s="1070" t="s">
        <v>2129</v>
      </c>
      <c r="AL14" s="1065" t="str">
        <f>'C koodit'!C95</f>
        <v xml:space="preserve">0 = ei sisäistä jäähdytystä. Vakiotoimitus jos ei muuta pyydetty. </v>
      </c>
    </row>
    <row r="15" spans="3:38" ht="16.5" customHeight="1" x14ac:dyDescent="0.2">
      <c r="C15" s="1028"/>
      <c r="D15" s="1029"/>
      <c r="E15" s="1042" t="str" cm="1">
        <f t="array" ref="E15">INDEX(KirjastoC!$D$4:$K$500,167,KirjastoC!$B$4)</f>
        <v>(A ) Konetyyppi</v>
      </c>
      <c r="F15" s="1024"/>
      <c r="G15" s="1043"/>
      <c r="H15" s="1024"/>
      <c r="I15" s="1024"/>
      <c r="J15" s="1024"/>
      <c r="K15" s="1025"/>
      <c r="L15" s="1026"/>
      <c r="M15" s="1026"/>
      <c r="N15" s="1026"/>
      <c r="O15" s="1026"/>
      <c r="P15" s="1026"/>
      <c r="Q15" s="1026"/>
      <c r="R15" s="1026"/>
      <c r="S15" s="1026"/>
      <c r="T15" s="1026"/>
      <c r="U15" s="1026"/>
      <c r="V15" s="1026"/>
      <c r="W15" s="1026"/>
      <c r="X15" s="1026"/>
      <c r="Y15" s="1026"/>
      <c r="Z15" s="1024"/>
      <c r="AA15" s="1024"/>
      <c r="AB15" s="1024"/>
      <c r="AC15" s="1024"/>
      <c r="AD15" s="1043"/>
      <c r="AE15" s="1024"/>
      <c r="AF15" s="1024"/>
      <c r="AG15" s="1027"/>
      <c r="AH15" s="1033"/>
      <c r="AK15" s="1068" t="s">
        <v>2130</v>
      </c>
      <c r="AL15" s="1069" t="str">
        <f>'C koodit'!C97</f>
        <v>0 = Ei jäähdytyksen toimilaitteita tai venttiileitä. Vakiotoimitus jos ei muuta pyydetty.</v>
      </c>
    </row>
    <row r="16" spans="3:38" ht="23.25" customHeight="1" x14ac:dyDescent="0.15">
      <c r="C16" s="1028"/>
      <c r="D16" s="88"/>
      <c r="E16" s="1028"/>
      <c r="F16" s="88"/>
      <c r="G16" s="88"/>
      <c r="H16" s="88"/>
      <c r="I16" s="88"/>
      <c r="J16" s="88"/>
      <c r="K16" s="1031"/>
      <c r="L16" s="1032"/>
      <c r="M16" s="1032"/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88"/>
      <c r="AA16" s="88"/>
      <c r="AB16" s="88"/>
      <c r="AC16" s="88"/>
      <c r="AD16" s="88"/>
      <c r="AE16" s="88"/>
      <c r="AF16" s="88"/>
      <c r="AG16" s="1033"/>
      <c r="AH16" s="1033"/>
      <c r="AK16" s="1067" t="s">
        <v>496</v>
      </c>
      <c r="AL16" s="1063" t="str">
        <f>'C koodit'!C99</f>
        <v>0 = Ei suodatinvahteja.  Vakiotoimitus jos ei muuta pyydetty.</v>
      </c>
    </row>
    <row r="17" spans="3:38" ht="18" customHeight="1" x14ac:dyDescent="0.15">
      <c r="C17" s="1028"/>
      <c r="D17" s="88"/>
      <c r="E17" s="1044" t="str" cm="1">
        <f t="array" ref="E17">INDEX(KirjastoC!$D$4:$K$500,168,KirjastoC!$B$4)</f>
        <v>( BBB ) Konekoko</v>
      </c>
      <c r="F17" s="88"/>
      <c r="G17" s="1036"/>
      <c r="H17" s="88"/>
      <c r="I17" s="88"/>
      <c r="J17" s="88"/>
      <c r="K17" s="1031"/>
      <c r="L17" s="1032"/>
      <c r="M17" s="1032"/>
      <c r="N17" s="1032"/>
      <c r="O17" s="1032"/>
      <c r="P17" s="1032"/>
      <c r="Q17" s="1032"/>
      <c r="R17" s="1032"/>
      <c r="S17" s="1032"/>
      <c r="T17" s="1032"/>
      <c r="U17" s="1032"/>
      <c r="V17" s="1032"/>
      <c r="W17" s="1032"/>
      <c r="X17" s="1032"/>
      <c r="Y17" s="1032"/>
      <c r="Z17" s="88"/>
      <c r="AA17" s="88"/>
      <c r="AB17" s="88"/>
      <c r="AC17" s="88"/>
      <c r="AD17" s="88"/>
      <c r="AE17" s="88"/>
      <c r="AF17" s="88"/>
      <c r="AG17" s="1033"/>
      <c r="AH17" s="1033"/>
      <c r="AK17" s="1070" t="s">
        <v>2069</v>
      </c>
      <c r="AL17" s="1065" t="str">
        <f>'C koodit'!C101</f>
        <v>0 = Ei vakiopainesäätöä. Vakiotoimitus jos ei muuta pyydetty.</v>
      </c>
    </row>
    <row r="18" spans="3:38" ht="23.25" customHeight="1" x14ac:dyDescent="0.15">
      <c r="C18" s="1028"/>
      <c r="D18" s="88"/>
      <c r="E18" s="1028"/>
      <c r="F18" s="88"/>
      <c r="G18" s="88"/>
      <c r="H18" s="88"/>
      <c r="I18" s="88"/>
      <c r="J18" s="88"/>
      <c r="K18" s="1031"/>
      <c r="L18" s="1032"/>
      <c r="M18" s="1032"/>
      <c r="N18" s="1032"/>
      <c r="O18" s="1032"/>
      <c r="P18" s="1032"/>
      <c r="Q18" s="1032"/>
      <c r="R18" s="1032"/>
      <c r="S18" s="1032"/>
      <c r="T18" s="1032"/>
      <c r="U18" s="1032"/>
      <c r="V18" s="1032"/>
      <c r="W18" s="1032"/>
      <c r="X18" s="1032"/>
      <c r="Y18" s="1032"/>
      <c r="Z18" s="88"/>
      <c r="AA18" s="88"/>
      <c r="AB18" s="88"/>
      <c r="AC18" s="88"/>
      <c r="AD18" s="88"/>
      <c r="AE18" s="88"/>
      <c r="AF18" s="88"/>
      <c r="AG18" s="1033"/>
      <c r="AH18" s="1033"/>
      <c r="AK18" s="1070" t="s">
        <v>2131</v>
      </c>
      <c r="AL18" s="1065" t="str">
        <f>'C koodit'!C103</f>
        <v xml:space="preserve">0 = Ei ilmamäärämittausta. Vakiotoimitus jos ei muuta pyydetty. </v>
      </c>
    </row>
    <row r="19" spans="3:38" ht="17.5" customHeight="1" x14ac:dyDescent="0.15">
      <c r="C19" s="1028"/>
      <c r="D19" s="88"/>
      <c r="E19" s="1044" t="str" cm="1">
        <f t="array" ref="E19">INDEX(KirjastoC!$D$4:$K$500,169,KirjastoC!$B$4)</f>
        <v>( C ) Kätisyys   - Huom!  Varmista kanavajärjestys</v>
      </c>
      <c r="F19" s="88"/>
      <c r="G19" s="1036"/>
      <c r="H19" s="88"/>
      <c r="I19" s="88"/>
      <c r="J19" s="88"/>
      <c r="K19" s="1031"/>
      <c r="L19" s="1032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88"/>
      <c r="AA19" s="88"/>
      <c r="AB19" s="88"/>
      <c r="AC19" s="88"/>
      <c r="AD19" s="88"/>
      <c r="AE19" s="88"/>
      <c r="AF19" s="88"/>
      <c r="AG19" s="1033"/>
      <c r="AH19" s="1033"/>
      <c r="AK19" s="1070" t="s">
        <v>2132</v>
      </c>
      <c r="AL19" s="1065" t="str">
        <f>'C koodit'!C105</f>
        <v>0 = Ei  sulkupeltejä eikä toimilaitteita jäte- ja ulkoilmalle. Vakiotoimitus jos ei muuta pyydetty.</v>
      </c>
    </row>
    <row r="20" spans="3:38" ht="23.25" customHeight="1" x14ac:dyDescent="0.15">
      <c r="C20" s="1028"/>
      <c r="D20" s="88"/>
      <c r="E20" s="1028"/>
      <c r="F20" s="88"/>
      <c r="G20" s="88"/>
      <c r="H20" s="88"/>
      <c r="I20" s="88"/>
      <c r="J20" s="88"/>
      <c r="K20" s="1031"/>
      <c r="L20" s="1032"/>
      <c r="M20" s="1032"/>
      <c r="N20" s="1032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Y20" s="1032"/>
      <c r="Z20" s="88"/>
      <c r="AA20" s="88"/>
      <c r="AB20" s="88"/>
      <c r="AC20" s="88"/>
      <c r="AD20" s="88"/>
      <c r="AE20" s="88"/>
      <c r="AF20" s="88"/>
      <c r="AG20" s="1033"/>
      <c r="AH20" s="1033"/>
      <c r="AK20" s="1070" t="s">
        <v>2133</v>
      </c>
      <c r="AL20" s="1065" t="str">
        <f>'C koodit'!C107</f>
        <v xml:space="preserve">0 = Ei sensoreita. Vakiotoimitus jos ei muuta pyydetty. </v>
      </c>
    </row>
    <row r="21" spans="3:38" ht="17.5" customHeight="1" x14ac:dyDescent="0.15">
      <c r="C21" s="1028"/>
      <c r="D21" s="88"/>
      <c r="E21" s="1044" t="str" cm="1">
        <f t="array" ref="E21">INDEX(KirjastoC!$D$4:$K$500,170,KirjastoC!$B$4)</f>
        <v>( D ) Koneen automatiikka</v>
      </c>
      <c r="F21" s="88"/>
      <c r="G21" s="1036"/>
      <c r="H21" s="88"/>
      <c r="I21" s="88"/>
      <c r="J21" s="88"/>
      <c r="K21" s="1031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88"/>
      <c r="AA21" s="88"/>
      <c r="AB21" s="88"/>
      <c r="AC21" s="88"/>
      <c r="AD21" s="88"/>
      <c r="AE21" s="88"/>
      <c r="AF21" s="88"/>
      <c r="AG21" s="1033"/>
      <c r="AH21" s="1033"/>
      <c r="AK21" s="1068" t="s">
        <v>47</v>
      </c>
      <c r="AL21" s="1069" t="str">
        <f>'C koodit'!C109</f>
        <v>0 = Ei energiamittareita. Vakiotoimitus jos ei muuta pyydetty.</v>
      </c>
    </row>
    <row r="22" spans="3:38" ht="23.25" customHeight="1" x14ac:dyDescent="0.15">
      <c r="C22" s="1028"/>
      <c r="D22" s="88"/>
      <c r="E22" s="1037"/>
      <c r="F22" s="1038"/>
      <c r="G22" s="1038"/>
      <c r="H22" s="1038"/>
      <c r="I22" s="1038"/>
      <c r="J22" s="1038"/>
      <c r="K22" s="1039"/>
      <c r="L22" s="1040"/>
      <c r="M22" s="1040"/>
      <c r="N22" s="1040"/>
      <c r="O22" s="1040"/>
      <c r="P22" s="1040"/>
      <c r="Q22" s="1040"/>
      <c r="R22" s="1040"/>
      <c r="S22" s="1040"/>
      <c r="T22" s="1040"/>
      <c r="U22" s="1040"/>
      <c r="V22" s="1040"/>
      <c r="W22" s="1040"/>
      <c r="X22" s="1040"/>
      <c r="Y22" s="1040"/>
      <c r="Z22" s="1038"/>
      <c r="AA22" s="1038"/>
      <c r="AB22" s="1038"/>
      <c r="AC22" s="1038"/>
      <c r="AD22" s="1038"/>
      <c r="AE22" s="1038"/>
      <c r="AF22" s="1038"/>
      <c r="AG22" s="1041"/>
      <c r="AH22" s="1033"/>
      <c r="AK22" s="1067" t="s">
        <v>2134</v>
      </c>
      <c r="AL22" s="1063" t="str">
        <f>'C koodit'!C111</f>
        <v>8 = Mille Wire (vakiona toimituksessa C-sarjan koneissa 1 kpl)</v>
      </c>
    </row>
    <row r="23" spans="3:38" ht="23.25" customHeight="1" x14ac:dyDescent="0.15">
      <c r="C23" s="1028"/>
      <c r="D23" s="88"/>
      <c r="E23" s="1035" t="str" cm="1">
        <f t="array" ref="E23">INDEX(KirjastoC!$D$4:$K$500,158,KirjastoC!$B$4)</f>
        <v>SUODATUS:</v>
      </c>
      <c r="F23" s="88"/>
      <c r="G23" s="88"/>
      <c r="H23" s="88"/>
      <c r="I23" s="88"/>
      <c r="J23" s="88"/>
      <c r="K23" s="1031"/>
      <c r="L23" s="1032"/>
      <c r="M23" s="1032"/>
      <c r="N23" s="1032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88"/>
      <c r="AA23" s="88"/>
      <c r="AB23" s="88"/>
      <c r="AC23" s="88"/>
      <c r="AD23" s="88"/>
      <c r="AE23" s="88"/>
      <c r="AF23" s="88"/>
      <c r="AG23" s="88"/>
      <c r="AH23" s="1033"/>
      <c r="AK23" s="1070" t="s">
        <v>2160</v>
      </c>
      <c r="AL23" s="1065" t="str">
        <f>'C koodit'!C113</f>
        <v>00 = Oletus (ei valittu),  Vakiotoimitus jos ei muuta pyydetty)</v>
      </c>
    </row>
    <row r="24" spans="3:38" ht="17.5" customHeight="1" x14ac:dyDescent="0.15">
      <c r="C24" s="1028"/>
      <c r="D24" s="88"/>
      <c r="E24" s="1042" t="str" cm="1">
        <f t="array" ref="E24">INDEX(KirjastoC!$D$4:$K$500,171,KirjastoC!$B$4)</f>
        <v>( E ) Suodatus TULO</v>
      </c>
      <c r="F24" s="1024"/>
      <c r="G24" s="1043"/>
      <c r="H24" s="1024"/>
      <c r="I24" s="1024"/>
      <c r="J24" s="1024"/>
      <c r="K24" s="1025"/>
      <c r="L24" s="1026"/>
      <c r="M24" s="1026"/>
      <c r="N24" s="1026"/>
      <c r="O24" s="1026"/>
      <c r="P24" s="1026"/>
      <c r="Q24" s="1026"/>
      <c r="R24" s="1026"/>
      <c r="S24" s="1026"/>
      <c r="T24" s="1026"/>
      <c r="U24" s="1026"/>
      <c r="V24" s="1026"/>
      <c r="W24" s="1026"/>
      <c r="X24" s="1026"/>
      <c r="Y24" s="1026"/>
      <c r="Z24" s="1024"/>
      <c r="AA24" s="1024"/>
      <c r="AB24" s="1024"/>
      <c r="AC24" s="1024"/>
      <c r="AD24" s="1024"/>
      <c r="AE24" s="1024"/>
      <c r="AF24" s="1024"/>
      <c r="AG24" s="1027"/>
      <c r="AH24" s="1033"/>
      <c r="AK24" s="1068" t="s">
        <v>2135</v>
      </c>
      <c r="AL24" s="1069" t="str">
        <f>'C koodit'!C115</f>
        <v>9 = Toimitus listauksen mukaisesti</v>
      </c>
    </row>
    <row r="25" spans="3:38" ht="23.25" customHeight="1" x14ac:dyDescent="0.15">
      <c r="C25" s="1028"/>
      <c r="D25" s="88"/>
      <c r="E25" s="1028"/>
      <c r="F25" s="88"/>
      <c r="G25" s="88"/>
      <c r="H25" s="88"/>
      <c r="I25" s="88"/>
      <c r="J25" s="88"/>
      <c r="K25" s="1031"/>
      <c r="L25" s="1032"/>
      <c r="M25" s="1032"/>
      <c r="N25" s="1032"/>
      <c r="O25" s="1032"/>
      <c r="P25" s="1032"/>
      <c r="Q25" s="1032"/>
      <c r="R25" s="1032"/>
      <c r="S25" s="1032"/>
      <c r="T25" s="1032"/>
      <c r="U25" s="1032"/>
      <c r="V25" s="1032"/>
      <c r="W25" s="1032"/>
      <c r="X25" s="1032"/>
      <c r="Y25" s="1032"/>
      <c r="Z25" s="88"/>
      <c r="AA25" s="88"/>
      <c r="AB25" s="88"/>
      <c r="AC25" s="88"/>
      <c r="AD25" s="88"/>
      <c r="AE25" s="88"/>
      <c r="AF25" s="88"/>
      <c r="AG25" s="1033"/>
      <c r="AH25" s="1033"/>
    </row>
    <row r="26" spans="3:38" ht="17.5" customHeight="1" x14ac:dyDescent="0.15">
      <c r="C26" s="1028"/>
      <c r="D26" s="88"/>
      <c r="E26" s="1044" t="str" cm="1">
        <f t="array" ref="E26">INDEX(KirjastoC!$D$4:$K$500,172,KirjastoC!$B$4)</f>
        <v>( F ) Suodatus POISTO</v>
      </c>
      <c r="F26" s="88"/>
      <c r="G26" s="1036"/>
      <c r="H26" s="88"/>
      <c r="I26" s="88"/>
      <c r="J26" s="88"/>
      <c r="K26" s="1031"/>
      <c r="L26" s="1032"/>
      <c r="M26" s="1032"/>
      <c r="N26" s="1032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  <c r="Y26" s="1032"/>
      <c r="Z26" s="88"/>
      <c r="AA26" s="88"/>
      <c r="AB26" s="88"/>
      <c r="AC26" s="88"/>
      <c r="AD26" s="88"/>
      <c r="AE26" s="88"/>
      <c r="AF26" s="88"/>
      <c r="AG26" s="1033"/>
      <c r="AH26" s="1033"/>
    </row>
    <row r="27" spans="3:38" ht="23.25" customHeight="1" x14ac:dyDescent="0.15">
      <c r="C27" s="1028"/>
      <c r="D27" s="88"/>
      <c r="E27" s="1037"/>
      <c r="F27" s="1038"/>
      <c r="G27" s="1038"/>
      <c r="H27" s="1038"/>
      <c r="I27" s="1038"/>
      <c r="J27" s="1038"/>
      <c r="K27" s="1039"/>
      <c r="L27" s="1040"/>
      <c r="M27" s="1040"/>
      <c r="N27" s="1040"/>
      <c r="O27" s="1040"/>
      <c r="P27" s="1040"/>
      <c r="Q27" s="1040"/>
      <c r="R27" s="1040"/>
      <c r="S27" s="1040"/>
      <c r="T27" s="1040"/>
      <c r="U27" s="1040"/>
      <c r="V27" s="1040"/>
      <c r="W27" s="1040"/>
      <c r="X27" s="1040"/>
      <c r="Y27" s="1040"/>
      <c r="Z27" s="1038"/>
      <c r="AA27" s="1038"/>
      <c r="AB27" s="1038"/>
      <c r="AC27" s="1038"/>
      <c r="AD27" s="1038"/>
      <c r="AE27" s="1038"/>
      <c r="AF27" s="1038"/>
      <c r="AG27" s="1041"/>
      <c r="AH27" s="1033"/>
    </row>
    <row r="28" spans="3:38" ht="23.25" customHeight="1" x14ac:dyDescent="0.15">
      <c r="C28" s="1028"/>
      <c r="D28" s="88"/>
      <c r="E28" s="1035" t="str" cm="1">
        <f t="array" ref="E28">INDEX(KirjastoC!$D$4:$K$500,159,KirjastoC!$B$4)</f>
        <v>PATTERIT:</v>
      </c>
      <c r="F28" s="88"/>
      <c r="G28" s="88"/>
      <c r="H28" s="88"/>
      <c r="I28" s="88"/>
      <c r="J28" s="88"/>
      <c r="K28" s="1031"/>
      <c r="L28" s="1032"/>
      <c r="M28" s="1032"/>
      <c r="N28" s="1032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88"/>
      <c r="AA28" s="88"/>
      <c r="AB28" s="88"/>
      <c r="AC28" s="88"/>
      <c r="AD28" s="88"/>
      <c r="AE28" s="88"/>
      <c r="AF28" s="88"/>
      <c r="AG28" s="88"/>
      <c r="AH28" s="1033"/>
    </row>
    <row r="29" spans="3:38" ht="17.25" customHeight="1" x14ac:dyDescent="0.15">
      <c r="C29" s="1028"/>
      <c r="D29" s="88"/>
      <c r="E29" s="1042" t="str" cm="1">
        <f t="array" ref="E29">INDEX(KirjastoC!$D$4:$K$500,173,KirjastoC!$B$4)</f>
        <v xml:space="preserve">( GG ) Jälkilämmityspatteri, sisäinen </v>
      </c>
      <c r="F29" s="1024"/>
      <c r="G29" s="1043"/>
      <c r="H29" s="1024"/>
      <c r="I29" s="1024"/>
      <c r="J29" s="1024"/>
      <c r="K29" s="1025"/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4"/>
      <c r="AA29" s="1024"/>
      <c r="AB29" s="1024"/>
      <c r="AC29" s="1024"/>
      <c r="AD29" s="1024"/>
      <c r="AE29" s="1024"/>
      <c r="AF29" s="1024"/>
      <c r="AG29" s="1027"/>
      <c r="AH29" s="1033"/>
    </row>
    <row r="30" spans="3:38" ht="23.25" customHeight="1" x14ac:dyDescent="0.15">
      <c r="C30" s="1028"/>
      <c r="D30" s="88"/>
      <c r="E30" s="1028"/>
      <c r="F30" s="88"/>
      <c r="G30" s="88"/>
      <c r="H30" s="88"/>
      <c r="I30" s="88"/>
      <c r="J30" s="88"/>
      <c r="K30" s="1031"/>
      <c r="L30" s="1032"/>
      <c r="M30" s="1032"/>
      <c r="N30" s="1032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  <c r="Y30" s="1032"/>
      <c r="Z30" s="88"/>
      <c r="AA30" s="88"/>
      <c r="AB30" s="88"/>
      <c r="AC30" s="88"/>
      <c r="AD30" s="88"/>
      <c r="AE30" s="88"/>
      <c r="AF30" s="88"/>
      <c r="AG30" s="1033"/>
      <c r="AH30" s="1033"/>
    </row>
    <row r="31" spans="3:38" ht="17.5" customHeight="1" x14ac:dyDescent="0.15">
      <c r="C31" s="1028"/>
      <c r="D31" s="88"/>
      <c r="E31" s="1044" t="str" cm="1">
        <f t="array" ref="E31">INDEX(KirjastoC!$D$4:$K$500,174,KirjastoC!$B$4)</f>
        <v>( H ) Jälkilämmityksen ohjaus, sisäinen</v>
      </c>
      <c r="F31" s="88"/>
      <c r="G31" s="1036"/>
      <c r="H31" s="88"/>
      <c r="I31" s="88"/>
      <c r="J31" s="88"/>
      <c r="K31" s="1031"/>
      <c r="L31" s="1032"/>
      <c r="M31" s="1032"/>
      <c r="N31" s="1032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88"/>
      <c r="AA31" s="88"/>
      <c r="AB31" s="88"/>
      <c r="AC31" s="88"/>
      <c r="AD31" s="88"/>
      <c r="AE31" s="88"/>
      <c r="AF31" s="88"/>
      <c r="AG31" s="1033"/>
      <c r="AH31" s="1033"/>
    </row>
    <row r="32" spans="3:38" ht="23.25" customHeight="1" x14ac:dyDescent="0.15">
      <c r="C32" s="1028"/>
      <c r="D32" s="88"/>
      <c r="E32" s="1028"/>
      <c r="F32" s="88"/>
      <c r="G32" s="88"/>
      <c r="H32" s="88"/>
      <c r="I32" s="88"/>
      <c r="J32" s="88"/>
      <c r="K32" s="1031"/>
      <c r="L32" s="1032"/>
      <c r="M32" s="1032"/>
      <c r="N32" s="1032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88"/>
      <c r="AA32" s="88"/>
      <c r="AB32" s="88"/>
      <c r="AC32" s="88"/>
      <c r="AD32" s="88"/>
      <c r="AE32" s="88"/>
      <c r="AF32" s="88"/>
      <c r="AG32" s="1033"/>
      <c r="AH32" s="1033"/>
    </row>
    <row r="33" spans="3:34" ht="17.5" customHeight="1" x14ac:dyDescent="0.15">
      <c r="C33" s="1028"/>
      <c r="D33" s="88"/>
      <c r="E33" s="1044" t="str" cm="1">
        <f t="array" ref="E33">INDEX(KirjastoC!$D$4:$K$500,175,KirjastoC!$B$4)</f>
        <v>( I ) Jäähdytyspatteri, sisäinen</v>
      </c>
      <c r="F33" s="88"/>
      <c r="G33" s="1036"/>
      <c r="H33" s="88"/>
      <c r="I33" s="88"/>
      <c r="J33" s="88"/>
      <c r="K33" s="1031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88"/>
      <c r="AA33" s="88"/>
      <c r="AB33" s="88"/>
      <c r="AC33" s="88"/>
      <c r="AD33" s="88"/>
      <c r="AE33" s="88"/>
      <c r="AF33" s="88"/>
      <c r="AG33" s="1033"/>
      <c r="AH33" s="1033"/>
    </row>
    <row r="34" spans="3:34" ht="23.25" customHeight="1" x14ac:dyDescent="0.15">
      <c r="C34" s="1028"/>
      <c r="D34" s="88"/>
      <c r="E34" s="1028"/>
      <c r="F34" s="88"/>
      <c r="G34" s="88"/>
      <c r="H34" s="88"/>
      <c r="I34" s="88"/>
      <c r="J34" s="88"/>
      <c r="K34" s="1031"/>
      <c r="L34" s="1032"/>
      <c r="M34" s="1032"/>
      <c r="N34" s="1032"/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Y34" s="1032"/>
      <c r="Z34" s="88"/>
      <c r="AA34" s="88"/>
      <c r="AB34" s="88"/>
      <c r="AC34" s="88"/>
      <c r="AD34" s="88"/>
      <c r="AE34" s="88"/>
      <c r="AF34" s="88"/>
      <c r="AG34" s="1033"/>
      <c r="AH34" s="1033"/>
    </row>
    <row r="35" spans="3:34" ht="18" customHeight="1" x14ac:dyDescent="0.15">
      <c r="C35" s="1028"/>
      <c r="D35" s="88"/>
      <c r="E35" s="1044" t="str" cm="1">
        <f t="array" ref="E35">INDEX(KirjastoC!$D$4:$K$500,176,KirjastoC!$B$4)</f>
        <v>( J ) Jäähdytyksen ohjaus, sisäinen jäähdytyspatteri</v>
      </c>
      <c r="F35" s="88"/>
      <c r="G35" s="1036"/>
      <c r="H35" s="88"/>
      <c r="I35" s="88"/>
      <c r="J35" s="88"/>
      <c r="K35" s="1031"/>
      <c r="L35" s="1032"/>
      <c r="M35" s="1032"/>
      <c r="N35" s="1032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  <c r="Y35" s="1032"/>
      <c r="Z35" s="88"/>
      <c r="AA35" s="88"/>
      <c r="AB35" s="88"/>
      <c r="AC35" s="88"/>
      <c r="AD35" s="88"/>
      <c r="AE35" s="88"/>
      <c r="AF35" s="88"/>
      <c r="AG35" s="1033"/>
      <c r="AH35" s="1033"/>
    </row>
    <row r="36" spans="3:34" ht="23.25" customHeight="1" x14ac:dyDescent="0.15">
      <c r="C36" s="1028"/>
      <c r="D36" s="88"/>
      <c r="E36" s="1037"/>
      <c r="F36" s="1038"/>
      <c r="G36" s="1038"/>
      <c r="H36" s="1038"/>
      <c r="I36" s="1038"/>
      <c r="J36" s="1038"/>
      <c r="K36" s="1039"/>
      <c r="L36" s="1040"/>
      <c r="M36" s="1040"/>
      <c r="N36" s="1040"/>
      <c r="O36" s="1040"/>
      <c r="P36" s="1040"/>
      <c r="Q36" s="1040"/>
      <c r="R36" s="1040"/>
      <c r="S36" s="1040"/>
      <c r="T36" s="1040"/>
      <c r="U36" s="1040"/>
      <c r="V36" s="1040"/>
      <c r="W36" s="1040"/>
      <c r="X36" s="1040"/>
      <c r="Y36" s="1040"/>
      <c r="Z36" s="1038"/>
      <c r="AA36" s="1038"/>
      <c r="AB36" s="1038"/>
      <c r="AC36" s="1038"/>
      <c r="AD36" s="1038"/>
      <c r="AE36" s="1038"/>
      <c r="AF36" s="1038"/>
      <c r="AG36" s="1041"/>
      <c r="AH36" s="1033"/>
    </row>
    <row r="37" spans="3:34" ht="23.25" customHeight="1" x14ac:dyDescent="0.15">
      <c r="C37" s="1028"/>
      <c r="D37" s="88"/>
      <c r="E37" s="1035" t="str" cm="1">
        <f t="array" ref="E37">INDEX(KirjastoC!$D$4:$K$500,160,KirjastoC!$B$4)</f>
        <v>TARVIKKEET:</v>
      </c>
      <c r="F37" s="88"/>
      <c r="G37" s="88"/>
      <c r="H37" s="88"/>
      <c r="I37" s="88"/>
      <c r="J37" s="88"/>
      <c r="K37" s="1031"/>
      <c r="L37" s="1032"/>
      <c r="M37" s="1032"/>
      <c r="N37" s="1032"/>
      <c r="O37" s="1032"/>
      <c r="P37" s="1032"/>
      <c r="Q37" s="1032"/>
      <c r="R37" s="1032"/>
      <c r="S37" s="1032"/>
      <c r="T37" s="1032"/>
      <c r="U37" s="1032"/>
      <c r="V37" s="1032"/>
      <c r="W37" s="1032"/>
      <c r="X37" s="1032"/>
      <c r="Y37" s="1032"/>
      <c r="Z37" s="88"/>
      <c r="AA37" s="88"/>
      <c r="AB37" s="88"/>
      <c r="AC37" s="88"/>
      <c r="AD37" s="88"/>
      <c r="AE37" s="88"/>
      <c r="AF37" s="88"/>
      <c r="AG37" s="88"/>
      <c r="AH37" s="1033"/>
    </row>
    <row r="38" spans="3:34" ht="18" customHeight="1" x14ac:dyDescent="0.15">
      <c r="C38" s="1028"/>
      <c r="D38" s="88"/>
      <c r="E38" s="1042" t="str" cm="1">
        <f t="array" ref="E38">INDEX(KirjastoC!$D$4:$K$500,177,KirjastoC!$B$4)</f>
        <v>( K ) Suodatinvahti*</v>
      </c>
      <c r="F38" s="1024"/>
      <c r="G38" s="1043"/>
      <c r="H38" s="1024"/>
      <c r="I38" s="1024"/>
      <c r="J38" s="1024"/>
      <c r="K38" s="1025"/>
      <c r="L38" s="1026"/>
      <c r="M38" s="1026"/>
      <c r="N38" s="1026"/>
      <c r="O38" s="1026"/>
      <c r="P38" s="1026"/>
      <c r="Q38" s="1026"/>
      <c r="R38" s="1026"/>
      <c r="S38" s="1026"/>
      <c r="T38" s="1026"/>
      <c r="U38" s="1026"/>
      <c r="V38" s="1026"/>
      <c r="W38" s="1026"/>
      <c r="X38" s="1026"/>
      <c r="Y38" s="1026"/>
      <c r="Z38" s="1024"/>
      <c r="AA38" s="1024"/>
      <c r="AB38" s="1024"/>
      <c r="AC38" s="1024"/>
      <c r="AD38" s="1024"/>
      <c r="AE38" s="1024"/>
      <c r="AF38" s="1024"/>
      <c r="AG38" s="1027"/>
      <c r="AH38" s="1033"/>
    </row>
    <row r="39" spans="3:34" ht="23.25" customHeight="1" x14ac:dyDescent="0.15">
      <c r="C39" s="1028"/>
      <c r="D39" s="88"/>
      <c r="E39" s="1028"/>
      <c r="F39" s="88"/>
      <c r="G39" s="88"/>
      <c r="H39" s="88"/>
      <c r="I39" s="88"/>
      <c r="J39" s="88"/>
      <c r="K39" s="1031"/>
      <c r="L39" s="1032"/>
      <c r="M39" s="1032"/>
      <c r="N39" s="1032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Y39" s="1032"/>
      <c r="Z39" s="88"/>
      <c r="AA39" s="88"/>
      <c r="AB39" s="88"/>
      <c r="AC39" s="88"/>
      <c r="AD39" s="88"/>
      <c r="AE39" s="88"/>
      <c r="AF39" s="88"/>
      <c r="AG39" s="1033"/>
      <c r="AH39" s="1033"/>
    </row>
    <row r="40" spans="3:34" ht="18" customHeight="1" x14ac:dyDescent="0.15">
      <c r="C40" s="1028"/>
      <c r="D40" s="88"/>
      <c r="E40" s="1044" t="str" cm="1">
        <f t="array" ref="E40">INDEX(KirjastoC!$D$4:$K$500,178,KirjastoC!$B$4)</f>
        <v>( L ) Vakiopainesäätö*</v>
      </c>
      <c r="F40" s="88"/>
      <c r="G40" s="1036"/>
      <c r="H40" s="88"/>
      <c r="I40" s="88"/>
      <c r="J40" s="88"/>
      <c r="K40" s="1031"/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1032"/>
      <c r="Y40" s="1032"/>
      <c r="Z40" s="88"/>
      <c r="AA40" s="88"/>
      <c r="AB40" s="88"/>
      <c r="AC40" s="88"/>
      <c r="AD40" s="88"/>
      <c r="AE40" s="88"/>
      <c r="AF40" s="88"/>
      <c r="AG40" s="1033"/>
      <c r="AH40" s="1033"/>
    </row>
    <row r="41" spans="3:34" ht="23.25" customHeight="1" x14ac:dyDescent="0.15">
      <c r="C41" s="1028"/>
      <c r="D41" s="88"/>
      <c r="E41" s="1028"/>
      <c r="F41" s="88"/>
      <c r="G41" s="88"/>
      <c r="H41" s="88"/>
      <c r="I41" s="88"/>
      <c r="J41" s="88"/>
      <c r="K41" s="1031"/>
      <c r="L41" s="1032"/>
      <c r="M41" s="1032"/>
      <c r="N41" s="1032"/>
      <c r="O41" s="1032"/>
      <c r="P41" s="1032"/>
      <c r="Q41" s="1032"/>
      <c r="R41" s="1032"/>
      <c r="S41" s="1032"/>
      <c r="T41" s="1032"/>
      <c r="U41" s="1032"/>
      <c r="V41" s="1032"/>
      <c r="W41" s="1032"/>
      <c r="X41" s="1032"/>
      <c r="Y41" s="1032"/>
      <c r="Z41" s="88"/>
      <c r="AA41" s="88"/>
      <c r="AB41" s="88"/>
      <c r="AC41" s="88"/>
      <c r="AD41" s="88"/>
      <c r="AE41" s="88"/>
      <c r="AF41" s="88"/>
      <c r="AG41" s="1033"/>
      <c r="AH41" s="1033"/>
    </row>
    <row r="42" spans="3:34" ht="18" customHeight="1" x14ac:dyDescent="0.15">
      <c r="C42" s="1028"/>
      <c r="D42" s="88"/>
      <c r="E42" s="1044" t="str" cm="1">
        <f t="array" ref="E42">INDEX(KirjastoC!$D$4:$K$500,179,KirjastoC!$B$4)</f>
        <v xml:space="preserve">( M ) Ilmamäärämittaus* </v>
      </c>
      <c r="F42" s="88"/>
      <c r="G42" s="1036"/>
      <c r="H42" s="88"/>
      <c r="I42" s="88"/>
      <c r="J42" s="88"/>
      <c r="K42" s="1031"/>
      <c r="L42" s="1032"/>
      <c r="M42" s="1032"/>
      <c r="N42" s="1032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  <c r="Y42" s="1032"/>
      <c r="Z42" s="88"/>
      <c r="AA42" s="88"/>
      <c r="AB42" s="88"/>
      <c r="AC42" s="88"/>
      <c r="AD42" s="88"/>
      <c r="AE42" s="88"/>
      <c r="AF42" s="88"/>
      <c r="AG42" s="1033"/>
      <c r="AH42" s="1033"/>
    </row>
    <row r="43" spans="3:34" ht="23.25" customHeight="1" x14ac:dyDescent="0.15">
      <c r="C43" s="1028"/>
      <c r="D43" s="88"/>
      <c r="E43" s="1028"/>
      <c r="F43" s="88"/>
      <c r="G43" s="88"/>
      <c r="H43" s="88"/>
      <c r="I43" s="88"/>
      <c r="J43" s="88"/>
      <c r="K43" s="1031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88"/>
      <c r="AA43" s="88"/>
      <c r="AB43" s="88"/>
      <c r="AC43" s="88"/>
      <c r="AD43" s="88"/>
      <c r="AE43" s="88"/>
      <c r="AF43" s="88"/>
      <c r="AG43" s="1033"/>
      <c r="AH43" s="1033"/>
    </row>
    <row r="44" spans="3:34" ht="18" customHeight="1" x14ac:dyDescent="0.15">
      <c r="C44" s="1028"/>
      <c r="D44" s="88"/>
      <c r="E44" s="1044" t="str" cm="1">
        <f t="array" ref="E44">INDEX(KirjastoC!$D$4:$K$500,180,KirjastoC!$B$4)</f>
        <v>( N ) Jousipalautteiset sulkupellit</v>
      </c>
      <c r="F44" s="88"/>
      <c r="G44" s="1036"/>
      <c r="H44" s="88"/>
      <c r="I44" s="88"/>
      <c r="J44" s="88"/>
      <c r="K44" s="1031"/>
      <c r="L44" s="1032"/>
      <c r="M44" s="1032"/>
      <c r="N44" s="1032"/>
      <c r="O44" s="1032"/>
      <c r="P44" s="1032"/>
      <c r="Q44" s="1032"/>
      <c r="R44" s="1032"/>
      <c r="S44" s="1032"/>
      <c r="T44" s="1032"/>
      <c r="U44" s="1032"/>
      <c r="V44" s="1032"/>
      <c r="W44" s="1032"/>
      <c r="X44" s="1032"/>
      <c r="Y44" s="1032"/>
      <c r="Z44" s="88"/>
      <c r="AA44" s="88"/>
      <c r="AB44" s="88"/>
      <c r="AC44" s="88"/>
      <c r="AD44" s="88"/>
      <c r="AE44" s="88"/>
      <c r="AF44" s="88"/>
      <c r="AG44" s="1033"/>
      <c r="AH44" s="1033"/>
    </row>
    <row r="45" spans="3:34" ht="23.25" customHeight="1" x14ac:dyDescent="0.15">
      <c r="C45" s="1028"/>
      <c r="D45" s="88"/>
      <c r="E45" s="1028"/>
      <c r="F45" s="88"/>
      <c r="G45" s="88"/>
      <c r="H45" s="88"/>
      <c r="I45" s="88"/>
      <c r="J45" s="88"/>
      <c r="K45" s="1031"/>
      <c r="L45" s="1032"/>
      <c r="M45" s="1032"/>
      <c r="N45" s="1032"/>
      <c r="O45" s="1032"/>
      <c r="P45" s="1032"/>
      <c r="Q45" s="1032"/>
      <c r="R45" s="1032"/>
      <c r="S45" s="1032"/>
      <c r="T45" s="1032"/>
      <c r="U45" s="1032"/>
      <c r="V45" s="1032"/>
      <c r="W45" s="1032"/>
      <c r="X45" s="1032"/>
      <c r="Y45" s="1032"/>
      <c r="Z45" s="88"/>
      <c r="AA45" s="88"/>
      <c r="AB45" s="88"/>
      <c r="AC45" s="88"/>
      <c r="AD45" s="88"/>
      <c r="AE45" s="88"/>
      <c r="AF45" s="88"/>
      <c r="AG45" s="1033"/>
      <c r="AH45" s="1033"/>
    </row>
    <row r="46" spans="3:34" ht="18" customHeight="1" x14ac:dyDescent="0.15">
      <c r="C46" s="1028"/>
      <c r="D46" s="88"/>
      <c r="E46" s="1044" t="str" cm="1">
        <f t="array" ref="E46">INDEX(KirjastoC!$D$4:$K$500,181,KirjastoC!$B$4)</f>
        <v>( O ) Mittausanturit, sisäinen *</v>
      </c>
      <c r="F46" s="88"/>
      <c r="G46" s="1036"/>
      <c r="H46" s="88"/>
      <c r="I46" s="88"/>
      <c r="J46" s="88"/>
      <c r="K46" s="1031"/>
      <c r="L46" s="1032"/>
      <c r="M46" s="1032"/>
      <c r="N46" s="1032"/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Y46" s="1032"/>
      <c r="Z46" s="88"/>
      <c r="AA46" s="88"/>
      <c r="AB46" s="88"/>
      <c r="AC46" s="88"/>
      <c r="AD46" s="88"/>
      <c r="AE46" s="88"/>
      <c r="AF46" s="88"/>
      <c r="AG46" s="1033"/>
      <c r="AH46" s="1033"/>
    </row>
    <row r="47" spans="3:34" ht="23.25" customHeight="1" x14ac:dyDescent="0.15">
      <c r="C47" s="1028"/>
      <c r="D47" s="88"/>
      <c r="E47" s="1028"/>
      <c r="F47" s="88"/>
      <c r="G47" s="88"/>
      <c r="H47" s="88"/>
      <c r="I47" s="88"/>
      <c r="J47" s="88"/>
      <c r="K47" s="1031"/>
      <c r="L47" s="1032"/>
      <c r="M47" s="1032"/>
      <c r="N47" s="1032"/>
      <c r="O47" s="1032"/>
      <c r="P47" s="1032"/>
      <c r="Q47" s="1032"/>
      <c r="R47" s="1032"/>
      <c r="S47" s="1032"/>
      <c r="T47" s="1032"/>
      <c r="U47" s="1032"/>
      <c r="V47" s="1032"/>
      <c r="W47" s="1032"/>
      <c r="X47" s="1032"/>
      <c r="Y47" s="1032"/>
      <c r="Z47" s="88"/>
      <c r="AA47" s="88"/>
      <c r="AB47" s="88"/>
      <c r="AC47" s="88"/>
      <c r="AD47" s="88"/>
      <c r="AE47" s="88"/>
      <c r="AF47" s="88"/>
      <c r="AG47" s="1033"/>
      <c r="AH47" s="1033"/>
    </row>
    <row r="48" spans="3:34" ht="18" customHeight="1" x14ac:dyDescent="0.15">
      <c r="C48" s="1028"/>
      <c r="D48" s="88"/>
      <c r="E48" s="1044" t="str" cm="1">
        <f t="array" ref="E48">INDEX(KirjastoC!$D$4:$K$500,182,KirjastoC!$B$4)</f>
        <v>( P ) Energiamittaus **</v>
      </c>
      <c r="F48" s="88"/>
      <c r="G48" s="1036"/>
      <c r="H48" s="88"/>
      <c r="I48" s="88"/>
      <c r="J48" s="88"/>
      <c r="K48" s="1031"/>
      <c r="L48" s="1032"/>
      <c r="M48" s="1032"/>
      <c r="N48" s="1032"/>
      <c r="O48" s="1032"/>
      <c r="P48" s="1032"/>
      <c r="Q48" s="1032"/>
      <c r="R48" s="1032"/>
      <c r="S48" s="1032"/>
      <c r="T48" s="1032"/>
      <c r="U48" s="1032"/>
      <c r="V48" s="1032"/>
      <c r="W48" s="1032"/>
      <c r="X48" s="1032"/>
      <c r="Y48" s="1032"/>
      <c r="Z48" s="88"/>
      <c r="AA48" s="88"/>
      <c r="AB48" s="88"/>
      <c r="AC48" s="88"/>
      <c r="AD48" s="88"/>
      <c r="AE48" s="88"/>
      <c r="AF48" s="88"/>
      <c r="AG48" s="1033"/>
      <c r="AH48" s="1033"/>
    </row>
    <row r="49" spans="3:34" ht="23.25" customHeight="1" x14ac:dyDescent="0.15">
      <c r="C49" s="1028"/>
      <c r="D49" s="88"/>
      <c r="E49" s="1037"/>
      <c r="F49" s="1038"/>
      <c r="G49" s="1038"/>
      <c r="H49" s="1038"/>
      <c r="I49" s="1038"/>
      <c r="J49" s="1038"/>
      <c r="K49" s="1039"/>
      <c r="L49" s="1040"/>
      <c r="M49" s="1040"/>
      <c r="N49" s="1040"/>
      <c r="O49" s="1040"/>
      <c r="P49" s="1040"/>
      <c r="Q49" s="1040"/>
      <c r="R49" s="1040"/>
      <c r="S49" s="1040"/>
      <c r="T49" s="1040"/>
      <c r="U49" s="1040"/>
      <c r="V49" s="1040"/>
      <c r="W49" s="1040"/>
      <c r="X49" s="1040"/>
      <c r="Y49" s="1040"/>
      <c r="Z49" s="1038"/>
      <c r="AA49" s="1038"/>
      <c r="AB49" s="1038"/>
      <c r="AC49" s="1038"/>
      <c r="AD49" s="1038"/>
      <c r="AE49" s="1038"/>
      <c r="AF49" s="1038"/>
      <c r="AG49" s="1041"/>
      <c r="AH49" s="1033"/>
    </row>
    <row r="50" spans="3:34" ht="23.25" customHeight="1" x14ac:dyDescent="0.15">
      <c r="C50" s="1028"/>
      <c r="D50" s="88"/>
      <c r="E50" s="1035" t="str" cm="1">
        <f t="array" ref="E50">INDEX(KirjastoC!$D$4:$K$500,161,KirjastoC!$B$4)</f>
        <v>OHJAUKSET:</v>
      </c>
      <c r="F50" s="88"/>
      <c r="G50" s="88"/>
      <c r="H50" s="88"/>
      <c r="I50" s="88"/>
      <c r="J50" s="88"/>
      <c r="K50" s="1031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  <c r="Y50" s="1032"/>
      <c r="Z50" s="88"/>
      <c r="AA50" s="88"/>
      <c r="AB50" s="88"/>
      <c r="AC50" s="88"/>
      <c r="AD50" s="88"/>
      <c r="AE50" s="88"/>
      <c r="AF50" s="88"/>
      <c r="AG50" s="88"/>
      <c r="AH50" s="1033"/>
    </row>
    <row r="51" spans="3:34" ht="18" customHeight="1" x14ac:dyDescent="0.15">
      <c r="C51" s="1028"/>
      <c r="D51" s="88"/>
      <c r="E51" s="1042" t="str" cm="1">
        <f t="array" ref="E51">INDEX(KirjastoC!$D$4:$K$500,183,KirjastoC!$B$4)</f>
        <v xml:space="preserve">( Q ) Ohjaus1- toimitus irrallaan, asennus työmaalla </v>
      </c>
      <c r="F51" s="1024"/>
      <c r="G51" s="1043"/>
      <c r="H51" s="1024"/>
      <c r="I51" s="1024"/>
      <c r="J51" s="1024"/>
      <c r="K51" s="1025"/>
      <c r="L51" s="1026"/>
      <c r="M51" s="1026"/>
      <c r="N51" s="1026"/>
      <c r="O51" s="1026"/>
      <c r="P51" s="1026"/>
      <c r="Q51" s="1026"/>
      <c r="R51" s="1026"/>
      <c r="S51" s="1026"/>
      <c r="T51" s="1026"/>
      <c r="U51" s="1026"/>
      <c r="V51" s="1026"/>
      <c r="W51" s="1026"/>
      <c r="X51" s="1026"/>
      <c r="Y51" s="1026"/>
      <c r="Z51" s="1024"/>
      <c r="AA51" s="1024"/>
      <c r="AB51" s="1024"/>
      <c r="AC51" s="1024"/>
      <c r="AD51" s="1024"/>
      <c r="AE51" s="1024"/>
      <c r="AF51" s="1024"/>
      <c r="AG51" s="1027"/>
      <c r="AH51" s="1033"/>
    </row>
    <row r="52" spans="3:34" ht="23.25" customHeight="1" x14ac:dyDescent="0.15">
      <c r="C52" s="1028"/>
      <c r="D52" s="88"/>
      <c r="E52" s="1028"/>
      <c r="F52" s="88"/>
      <c r="G52" s="88"/>
      <c r="H52" s="88"/>
      <c r="I52" s="88"/>
      <c r="J52" s="88"/>
      <c r="K52" s="1031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  <c r="Y52" s="1032"/>
      <c r="Z52" s="88"/>
      <c r="AA52" s="88"/>
      <c r="AB52" s="88"/>
      <c r="AC52" s="88"/>
      <c r="AD52" s="88"/>
      <c r="AE52" s="88"/>
      <c r="AF52" s="88"/>
      <c r="AG52" s="1033"/>
      <c r="AH52" s="1033"/>
    </row>
    <row r="53" spans="3:34" ht="18" customHeight="1" x14ac:dyDescent="0.15">
      <c r="C53" s="1028"/>
      <c r="D53" s="88"/>
      <c r="E53" s="1044" t="str" cm="1">
        <f t="array" ref="E53">INDEX(KirjastoC!$D$4:$K$500,184,KirjastoC!$B$4)</f>
        <v>( RR ) Ohjaus2- toimitus irrallaan, asennus työmaalla</v>
      </c>
      <c r="F53" s="88"/>
      <c r="G53" s="1036"/>
      <c r="H53" s="88"/>
      <c r="I53" s="88"/>
      <c r="J53" s="88"/>
      <c r="K53" s="1031"/>
      <c r="L53" s="1032"/>
      <c r="M53" s="1032"/>
      <c r="N53" s="1032"/>
      <c r="O53" s="1032"/>
      <c r="P53" s="1032"/>
      <c r="Q53" s="1032"/>
      <c r="R53" s="1032"/>
      <c r="S53" s="1032"/>
      <c r="T53" s="1032"/>
      <c r="U53" s="1032"/>
      <c r="V53" s="1032"/>
      <c r="W53" s="1032"/>
      <c r="X53" s="1032"/>
      <c r="Y53" s="1032"/>
      <c r="Z53" s="88"/>
      <c r="AA53" s="88"/>
      <c r="AB53" s="88"/>
      <c r="AC53" s="88"/>
      <c r="AD53" s="88"/>
      <c r="AE53" s="88"/>
      <c r="AF53" s="88"/>
      <c r="AG53" s="1033"/>
      <c r="AH53" s="1033"/>
    </row>
    <row r="54" spans="3:34" ht="23.25" customHeight="1" x14ac:dyDescent="0.15">
      <c r="C54" s="1028"/>
      <c r="D54" s="88"/>
      <c r="E54" s="1028"/>
      <c r="F54" s="88"/>
      <c r="G54" s="88"/>
      <c r="H54" s="88"/>
      <c r="I54" s="88"/>
      <c r="J54" s="88"/>
      <c r="K54" s="1031"/>
      <c r="L54" s="1032"/>
      <c r="M54" s="1032"/>
      <c r="N54" s="1032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88"/>
      <c r="AA54" s="88"/>
      <c r="AB54" s="88"/>
      <c r="AC54" s="88"/>
      <c r="AD54" s="88"/>
      <c r="AE54" s="88"/>
      <c r="AF54" s="88"/>
      <c r="AG54" s="1033"/>
      <c r="AH54" s="1033"/>
    </row>
    <row r="55" spans="3:34" ht="18" customHeight="1" x14ac:dyDescent="0.15">
      <c r="C55" s="1028"/>
      <c r="D55" s="88"/>
      <c r="E55" s="1044" t="str" cm="1">
        <f t="array" ref="E55">INDEX(KirjastoC!$D$4:$K$500,185,KirjastoC!$B$4)</f>
        <v>( S ) Lisäinfo</v>
      </c>
      <c r="F55" s="88"/>
      <c r="G55" s="1036"/>
      <c r="H55" s="88"/>
      <c r="I55" s="88"/>
      <c r="J55" s="88"/>
      <c r="K55" s="1031"/>
      <c r="L55" s="1032"/>
      <c r="M55" s="1032"/>
      <c r="N55" s="1032"/>
      <c r="O55" s="1032"/>
      <c r="P55" s="1032"/>
      <c r="Q55" s="1032"/>
      <c r="R55" s="1032"/>
      <c r="S55" s="1032"/>
      <c r="T55" s="1032"/>
      <c r="U55" s="1032"/>
      <c r="V55" s="1032"/>
      <c r="W55" s="1032"/>
      <c r="X55" s="1032"/>
      <c r="Y55" s="1032"/>
      <c r="Z55" s="88"/>
      <c r="AA55" s="88"/>
      <c r="AB55" s="88"/>
      <c r="AC55" s="88"/>
      <c r="AD55" s="88"/>
      <c r="AE55" s="88"/>
      <c r="AF55" s="88"/>
      <c r="AG55" s="1033"/>
      <c r="AH55" s="1033"/>
    </row>
    <row r="56" spans="3:34" ht="23.25" customHeight="1" x14ac:dyDescent="0.15">
      <c r="C56" s="1028"/>
      <c r="D56" s="88"/>
      <c r="E56" s="1037"/>
      <c r="F56" s="1038"/>
      <c r="G56" s="1038"/>
      <c r="H56" s="1038"/>
      <c r="I56" s="1038"/>
      <c r="J56" s="1038"/>
      <c r="K56" s="1039"/>
      <c r="L56" s="1040"/>
      <c r="M56" s="1040"/>
      <c r="N56" s="1040"/>
      <c r="O56" s="1040"/>
      <c r="P56" s="1040"/>
      <c r="Q56" s="1040"/>
      <c r="R56" s="1040"/>
      <c r="S56" s="1040"/>
      <c r="T56" s="1040"/>
      <c r="U56" s="1040"/>
      <c r="V56" s="1040"/>
      <c r="W56" s="1040"/>
      <c r="X56" s="1040"/>
      <c r="Y56" s="1040"/>
      <c r="Z56" s="1038"/>
      <c r="AA56" s="1038"/>
      <c r="AB56" s="1038"/>
      <c r="AC56" s="1038"/>
      <c r="AD56" s="1038"/>
      <c r="AE56" s="1038"/>
      <c r="AF56" s="1038"/>
      <c r="AG56" s="1041"/>
      <c r="AH56" s="1033"/>
    </row>
    <row r="57" spans="3:34" ht="21.75" customHeight="1" x14ac:dyDescent="0.15">
      <c r="C57" s="1037"/>
      <c r="D57" s="1038"/>
      <c r="E57" s="1038"/>
      <c r="F57" s="1038"/>
      <c r="G57" s="1038"/>
      <c r="H57" s="1038"/>
      <c r="I57" s="1038"/>
      <c r="J57" s="1038"/>
      <c r="K57" s="1039"/>
      <c r="L57" s="1040"/>
      <c r="M57" s="1040"/>
      <c r="N57" s="1040"/>
      <c r="O57" s="1040"/>
      <c r="P57" s="1040"/>
      <c r="Q57" s="1040"/>
      <c r="R57" s="1040"/>
      <c r="S57" s="1040"/>
      <c r="T57" s="1040"/>
      <c r="U57" s="1040"/>
      <c r="V57" s="1040"/>
      <c r="W57" s="1040"/>
      <c r="X57" s="1040"/>
      <c r="Y57" s="1040"/>
      <c r="Z57" s="1038"/>
      <c r="AA57" s="1038"/>
      <c r="AB57" s="1038"/>
      <c r="AC57" s="1038"/>
      <c r="AD57" s="1038"/>
      <c r="AE57" s="1038"/>
      <c r="AF57" s="1038"/>
      <c r="AG57" s="1038"/>
      <c r="AH57" s="1056" t="str">
        <f>'C-series'!O2</f>
        <v>Versio 7.1</v>
      </c>
    </row>
    <row r="58" spans="3:34" ht="18" customHeight="1" x14ac:dyDescent="0.15"/>
    <row r="59" spans="3:34" ht="18" customHeight="1" x14ac:dyDescent="0.15"/>
    <row r="60" spans="3:34" ht="18" customHeight="1" x14ac:dyDescent="0.15"/>
    <row r="61" spans="3:34" ht="18" customHeight="1" x14ac:dyDescent="0.15"/>
    <row r="62" spans="3:34" ht="18" customHeight="1" x14ac:dyDescent="0.15"/>
    <row r="63" spans="3:34" ht="18" customHeight="1" x14ac:dyDescent="0.15"/>
    <row r="64" spans="3:34" ht="18" customHeight="1" x14ac:dyDescent="0.15"/>
    <row r="65" ht="18" customHeight="1" x14ac:dyDescent="0.15"/>
    <row r="66" ht="18" customHeight="1" x14ac:dyDescent="0.15"/>
  </sheetData>
  <sheetProtection algorithmName="SHA-512" hashValue="y/xHsTLvTMGLoYygG5XsAmx/Z2D+wELOCiY1cb627U0tLOjJVA94b1p9oNx1eeN4TZeCmKKB+KK5zYEgNeesPw==" saltValue="GWlM57a+0VEKYvLxZY7ATA==" spinCount="100000" sheet="1" objects="1" scenarios="1"/>
  <mergeCells count="9">
    <mergeCell ref="AK3:AL3"/>
    <mergeCell ref="L10:M10"/>
    <mergeCell ref="N10:Q10"/>
    <mergeCell ref="R10:W10"/>
    <mergeCell ref="X10:Z10"/>
    <mergeCell ref="G6:Q6"/>
    <mergeCell ref="G7:Q7"/>
    <mergeCell ref="H10:K10"/>
    <mergeCell ref="H8:Q9"/>
  </mergeCells>
  <dataValidations disablePrompts="1" count="2">
    <dataValidation type="list" allowBlank="1" showInputMessage="1" showErrorMessage="1" sqref="H135:J135" xr:uid="{48BF3F19-0A3A-459E-B293-BBF43CAE8E45}">
      <formula1>Alkulista</formula1>
    </dataValidation>
    <dataValidation type="list" allowBlank="1" showInputMessage="1" showErrorMessage="1" sqref="K135" xr:uid="{99B5562F-71ED-4BCB-B1EC-31C583554C27}">
      <formula1>INDIRECT($H$135)</formula1>
    </dataValidation>
  </dataValidations>
  <pageMargins left="0.7" right="0.7" top="0.75" bottom="0.75" header="0.3" footer="0.3"/>
  <pageSetup paperSize="9" scale="48" orientation="portrait" r:id="rId1"/>
  <colBreaks count="1" manualBreakCount="1">
    <brk id="36" min="1" max="5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9" r:id="rId4" name="Drop Down 19">
              <controlPr defaultSize="0" autoLine="0" autoPict="0">
                <anchor moveWithCells="1">
                  <from>
                    <xdr:col>4</xdr:col>
                    <xdr:colOff>50800</xdr:colOff>
                    <xdr:row>55</xdr:row>
                    <xdr:rowOff>63500</xdr:rowOff>
                  </from>
                  <to>
                    <xdr:col>32</xdr:col>
                    <xdr:colOff>63500</xdr:colOff>
                    <xdr:row>55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1" r:id="rId5" name="Drop Down 1">
              <controlPr defaultSize="0" autoLine="0" autoPict="0">
                <anchor moveWithCells="1">
                  <from>
                    <xdr:col>4</xdr:col>
                    <xdr:colOff>50800</xdr:colOff>
                    <xdr:row>15</xdr:row>
                    <xdr:rowOff>63500</xdr:rowOff>
                  </from>
                  <to>
                    <xdr:col>32</xdr:col>
                    <xdr:colOff>63500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6" name="Drop Down 2">
              <controlPr defaultSize="0" autoLine="0" autoPict="0">
                <anchor moveWithCells="1">
                  <from>
                    <xdr:col>4</xdr:col>
                    <xdr:colOff>50800</xdr:colOff>
                    <xdr:row>17</xdr:row>
                    <xdr:rowOff>63500</xdr:rowOff>
                  </from>
                  <to>
                    <xdr:col>32</xdr:col>
                    <xdr:colOff>63500</xdr:colOff>
                    <xdr:row>17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7" name="Drop Down 3">
              <controlPr defaultSize="0" autoLine="0" autoPict="0">
                <anchor moveWithCells="1">
                  <from>
                    <xdr:col>4</xdr:col>
                    <xdr:colOff>50800</xdr:colOff>
                    <xdr:row>19</xdr:row>
                    <xdr:rowOff>63500</xdr:rowOff>
                  </from>
                  <to>
                    <xdr:col>32</xdr:col>
                    <xdr:colOff>63500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8" name="Drop Down 4">
              <controlPr defaultSize="0" autoLine="0" autoPict="0">
                <anchor moveWithCells="1">
                  <from>
                    <xdr:col>4</xdr:col>
                    <xdr:colOff>38100</xdr:colOff>
                    <xdr:row>21</xdr:row>
                    <xdr:rowOff>50800</xdr:rowOff>
                  </from>
                  <to>
                    <xdr:col>32</xdr:col>
                    <xdr:colOff>50800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9" name="Drop Down 5">
              <controlPr defaultSize="0" autoLine="0" autoPict="0">
                <anchor moveWithCells="1">
                  <from>
                    <xdr:col>4</xdr:col>
                    <xdr:colOff>50800</xdr:colOff>
                    <xdr:row>26</xdr:row>
                    <xdr:rowOff>63500</xdr:rowOff>
                  </from>
                  <to>
                    <xdr:col>32</xdr:col>
                    <xdr:colOff>63500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10" name="Drop Down 6">
              <controlPr defaultSize="0" autoLine="0" autoPict="0">
                <anchor moveWithCells="1">
                  <from>
                    <xdr:col>4</xdr:col>
                    <xdr:colOff>38100</xdr:colOff>
                    <xdr:row>24</xdr:row>
                    <xdr:rowOff>63500</xdr:rowOff>
                  </from>
                  <to>
                    <xdr:col>32</xdr:col>
                    <xdr:colOff>50800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1" name="Drop Down 7">
              <controlPr defaultSize="0" autoLine="0" autoPict="0">
                <anchor moveWithCells="1">
                  <from>
                    <xdr:col>4</xdr:col>
                    <xdr:colOff>50800</xdr:colOff>
                    <xdr:row>29</xdr:row>
                    <xdr:rowOff>63500</xdr:rowOff>
                  </from>
                  <to>
                    <xdr:col>32</xdr:col>
                    <xdr:colOff>63500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2" name="Drop Down 8">
              <controlPr defaultSize="0" autoLine="0" autoPict="0">
                <anchor moveWithCells="1">
                  <from>
                    <xdr:col>4</xdr:col>
                    <xdr:colOff>50800</xdr:colOff>
                    <xdr:row>31</xdr:row>
                    <xdr:rowOff>63500</xdr:rowOff>
                  </from>
                  <to>
                    <xdr:col>32</xdr:col>
                    <xdr:colOff>63500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13" name="Drop Down 9">
              <controlPr defaultSize="0" autoLine="0" autoPict="0">
                <anchor moveWithCells="1">
                  <from>
                    <xdr:col>4</xdr:col>
                    <xdr:colOff>50800</xdr:colOff>
                    <xdr:row>33</xdr:row>
                    <xdr:rowOff>63500</xdr:rowOff>
                  </from>
                  <to>
                    <xdr:col>32</xdr:col>
                    <xdr:colOff>63500</xdr:colOff>
                    <xdr:row>33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0" r:id="rId14" name="Drop Down 10">
              <controlPr defaultSize="0" autoLine="0" autoPict="0">
                <anchor moveWithCells="1">
                  <from>
                    <xdr:col>4</xdr:col>
                    <xdr:colOff>50800</xdr:colOff>
                    <xdr:row>35</xdr:row>
                    <xdr:rowOff>63500</xdr:rowOff>
                  </from>
                  <to>
                    <xdr:col>32</xdr:col>
                    <xdr:colOff>63500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5" name="Drop Down 11">
              <controlPr defaultSize="0" autoLine="0" autoPict="0">
                <anchor moveWithCells="1">
                  <from>
                    <xdr:col>4</xdr:col>
                    <xdr:colOff>50800</xdr:colOff>
                    <xdr:row>38</xdr:row>
                    <xdr:rowOff>63500</xdr:rowOff>
                  </from>
                  <to>
                    <xdr:col>32</xdr:col>
                    <xdr:colOff>63500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6" name="Drop Down 12">
              <controlPr defaultSize="0" autoLine="0" autoPict="0">
                <anchor moveWithCells="1">
                  <from>
                    <xdr:col>4</xdr:col>
                    <xdr:colOff>63500</xdr:colOff>
                    <xdr:row>40</xdr:row>
                    <xdr:rowOff>63500</xdr:rowOff>
                  </from>
                  <to>
                    <xdr:col>32</xdr:col>
                    <xdr:colOff>63500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7" name="Drop Down 13">
              <controlPr defaultSize="0" autoLine="0" autoPict="0">
                <anchor moveWithCells="1">
                  <from>
                    <xdr:col>4</xdr:col>
                    <xdr:colOff>50800</xdr:colOff>
                    <xdr:row>42</xdr:row>
                    <xdr:rowOff>63500</xdr:rowOff>
                  </from>
                  <to>
                    <xdr:col>32</xdr:col>
                    <xdr:colOff>63500</xdr:colOff>
                    <xdr:row>42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8" name="Drop Down 14">
              <controlPr defaultSize="0" autoLine="0" autoPict="0">
                <anchor moveWithCells="1">
                  <from>
                    <xdr:col>4</xdr:col>
                    <xdr:colOff>50800</xdr:colOff>
                    <xdr:row>44</xdr:row>
                    <xdr:rowOff>63500</xdr:rowOff>
                  </from>
                  <to>
                    <xdr:col>32</xdr:col>
                    <xdr:colOff>63500</xdr:colOff>
                    <xdr:row>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9" name="Drop Down 15">
              <controlPr defaultSize="0" autoLine="0" autoPict="0">
                <anchor moveWithCells="1">
                  <from>
                    <xdr:col>4</xdr:col>
                    <xdr:colOff>50800</xdr:colOff>
                    <xdr:row>46</xdr:row>
                    <xdr:rowOff>50800</xdr:rowOff>
                  </from>
                  <to>
                    <xdr:col>32</xdr:col>
                    <xdr:colOff>63500</xdr:colOff>
                    <xdr:row>46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20" name="Drop Down 16">
              <controlPr defaultSize="0" autoLine="0" autoPict="0">
                <anchor moveWithCells="1">
                  <from>
                    <xdr:col>4</xdr:col>
                    <xdr:colOff>50800</xdr:colOff>
                    <xdr:row>48</xdr:row>
                    <xdr:rowOff>50800</xdr:rowOff>
                  </from>
                  <to>
                    <xdr:col>32</xdr:col>
                    <xdr:colOff>63500</xdr:colOff>
                    <xdr:row>48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21" name="Drop Down 17">
              <controlPr defaultSize="0" autoLine="0" autoPict="0">
                <anchor moveWithCells="1">
                  <from>
                    <xdr:col>4</xdr:col>
                    <xdr:colOff>50800</xdr:colOff>
                    <xdr:row>51</xdr:row>
                    <xdr:rowOff>63500</xdr:rowOff>
                  </from>
                  <to>
                    <xdr:col>32</xdr:col>
                    <xdr:colOff>63500</xdr:colOff>
                    <xdr:row>51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22" name="Drop Down 18">
              <controlPr defaultSize="0" autoLine="0" autoPict="0">
                <anchor moveWithCells="1">
                  <from>
                    <xdr:col>4</xdr:col>
                    <xdr:colOff>50800</xdr:colOff>
                    <xdr:row>53</xdr:row>
                    <xdr:rowOff>63500</xdr:rowOff>
                  </from>
                  <to>
                    <xdr:col>32</xdr:col>
                    <xdr:colOff>63500</xdr:colOff>
                    <xdr:row>53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0" r:id="rId23" name="Option Button 20">
              <controlPr defaultSize="0" autoFill="0" autoLine="0" autoPict="0" altText="Suomi">
                <anchor moveWithCells="1">
                  <from>
                    <xdr:col>23</xdr:col>
                    <xdr:colOff>12700</xdr:colOff>
                    <xdr:row>2</xdr:row>
                    <xdr:rowOff>63500</xdr:rowOff>
                  </from>
                  <to>
                    <xdr:col>25</xdr:col>
                    <xdr:colOff>139700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4" name="Option Button 21">
              <controlPr defaultSize="0" autoFill="0" autoLine="0" autoPict="0">
                <anchor moveWithCells="1">
                  <from>
                    <xdr:col>24</xdr:col>
                    <xdr:colOff>292100</xdr:colOff>
                    <xdr:row>2</xdr:row>
                    <xdr:rowOff>63500</xdr:rowOff>
                  </from>
                  <to>
                    <xdr:col>27</xdr:col>
                    <xdr:colOff>101600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topLeftCell="Q1" zoomScale="85" zoomScaleNormal="85" workbookViewId="0">
      <selection activeCell="AV36" sqref="AV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19.881414017281031</v>
      </c>
      <c r="Q5" s="52">
        <v>-30.555449772209123</v>
      </c>
      <c r="R5" t="s">
        <v>28</v>
      </c>
      <c r="T5" s="4"/>
      <c r="U5" s="39" t="s">
        <v>43</v>
      </c>
      <c r="V5" t="s">
        <v>8</v>
      </c>
      <c r="W5" s="9">
        <f>$P$5*LN($J$3)+$Q$5</f>
        <v>44.948869406533539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20.266307645153912</v>
      </c>
      <c r="Q6" s="52">
        <v>-20.807131522595824</v>
      </c>
      <c r="R6" t="s">
        <v>7</v>
      </c>
      <c r="T6" s="4"/>
      <c r="U6" s="39" t="s">
        <v>43</v>
      </c>
      <c r="V6" t="s">
        <v>57</v>
      </c>
      <c r="W6" s="9">
        <f>$P$6*LN($J$3)+$Q$6</f>
        <v>56.158911218843045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12.216874275272538</v>
      </c>
      <c r="R9" s="52">
        <v>-4.9166039658422562</v>
      </c>
      <c r="S9" s="84">
        <f>(J3-R9)/Q9</f>
        <v>4.0531319918766719</v>
      </c>
      <c r="U9" s="39" t="s">
        <v>42</v>
      </c>
      <c r="V9" t="s">
        <v>58</v>
      </c>
      <c r="W9" s="9">
        <f>IF($J$3&gt;$AM$35,($J$3-$R$10)/$Q$10,($J$3-$R$9)/$Q$9)</f>
        <v>4.0531319918766719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8.082486867822027</v>
      </c>
      <c r="R10" s="52">
        <v>32.137299536812066</v>
      </c>
      <c r="S10" s="84">
        <f>(J3-R10)/Q10</f>
        <v>1.5419388446895474</v>
      </c>
      <c r="W10" t="b">
        <f>IF(AND(W9&gt;=0,W9&lt;=10.01,'R-series'!G33&gt;=W11,P21),TRUE,FALSE)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2.3307141737348921E-2</v>
      </c>
      <c r="Q13" s="51">
        <v>-1.4707996871121256</v>
      </c>
      <c r="R13" s="51">
        <v>35.464336078457364</v>
      </c>
      <c r="U13" s="39" t="s">
        <v>43</v>
      </c>
      <c r="V13" t="s">
        <v>44</v>
      </c>
      <c r="W13" s="9">
        <f>$P$13*J3^2+$Q$13*J3+$R$13</f>
        <v>16.228304091521537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16.228304091521537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130'!W13</f>
        <v>22.063588519004107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42.691892610525642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44.6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0.95721732310595609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8" t="s">
        <v>594</v>
      </c>
      <c r="U28" s="4" t="s">
        <v>17</v>
      </c>
    </row>
    <row r="29" spans="3:45" x14ac:dyDescent="0.15">
      <c r="U29" s="4">
        <f>(L3/J3)^2/L3</f>
        <v>2.7147137485169618E-2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-9.2967428855386211E-2</v>
      </c>
      <c r="Z34" s="28">
        <f>(-W34+SQRT(W34^2-(4*Y34*X34)))/(2*Y34)</f>
        <v>-22.184641028876488</v>
      </c>
      <c r="AA34" s="29">
        <f>(-W34-SQRT(W34^2-(4*Y34*X34)))/(2*Y34)</f>
        <v>112.96216821503235</v>
      </c>
      <c r="AB34" s="36">
        <f>AB6</f>
        <v>149.37198438834608</v>
      </c>
      <c r="AC34" s="53">
        <f>IF(Z34&lt;0,AA34,IF(Z34&gt;AB34,AA34,Z34))</f>
        <v>112.96216821503235</v>
      </c>
      <c r="AD34" s="53">
        <f>V34*AC34^2+W34*AC34+X34</f>
        <v>346.40972982737833</v>
      </c>
      <c r="AE34" s="53">
        <f>X51*AC34^2+Y51*AC34+Z51</f>
        <v>163.49413242133181</v>
      </c>
      <c r="AF34" s="53">
        <f>$H$60*AC34^2+$I$60*AC34+$J$60</f>
        <v>63.858071201980053</v>
      </c>
      <c r="AG34" s="53">
        <f>$R$60*AC34^2+$S$60*AC34+$T$60</f>
        <v>75.119907633352625</v>
      </c>
      <c r="AI34">
        <v>10</v>
      </c>
      <c r="AJ34" s="3">
        <f>AC34</f>
        <v>112.96216821503235</v>
      </c>
      <c r="AL34">
        <v>10</v>
      </c>
      <c r="AM34" s="3">
        <f>AJ34</f>
        <v>112.96216821503235</v>
      </c>
      <c r="AS34" s="618">
        <f>AC34/$J$3-1</f>
        <v>1.5327840406957924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-5.8497137485169617E-2</v>
      </c>
      <c r="Z35" s="28">
        <f t="shared" ref="Z35:Z38" si="4">(-W35+SQRT(W35^2-(4*Y35*X35)))/(2*Y35)</f>
        <v>-62.581340814918505</v>
      </c>
      <c r="AA35" s="29">
        <f t="shared" ref="AA35:AA38" si="5">(-W35-SQRT(W35^2-(4*Y35*X35)))/(2*Y35)</f>
        <v>92.875130839246935</v>
      </c>
      <c r="AB35" s="36">
        <f>AD6</f>
        <v>133.17332240375293</v>
      </c>
      <c r="AC35" s="53">
        <f t="shared" ref="AC35:AC38" si="6">IF(Z35&lt;0,AA35,IF(Z35&gt;AB35,AA35,Z35))</f>
        <v>92.875130839246935</v>
      </c>
      <c r="AD35" s="53">
        <f>V35*AC35^2+W35*AC35+X35</f>
        <v>234.1655051046626</v>
      </c>
      <c r="AE35" s="53">
        <f t="shared" ref="AE35:AE37" si="7">X52*AC35^2+Y52*AC35+Z52</f>
        <v>97.174003795856535</v>
      </c>
      <c r="AF35" s="53">
        <f>$H$65*AC35^2+$I$65*AC35+$J$65</f>
        <v>59.357096988441683</v>
      </c>
      <c r="AG35" s="53">
        <f>$R$65*AC35^2+$S$65*AC35+$T$65</f>
        <v>70.924316667215521</v>
      </c>
      <c r="AI35">
        <v>8</v>
      </c>
      <c r="AJ35" s="3">
        <f t="shared" ref="AJ35:AJ38" si="8">AC35</f>
        <v>92.875130839246935</v>
      </c>
      <c r="AL35">
        <v>9</v>
      </c>
      <c r="AM35" s="3">
        <f>AJ38</f>
        <v>104.87968134721032</v>
      </c>
      <c r="AO35">
        <v>9</v>
      </c>
      <c r="AP35">
        <f>Q9*AO35+R9</f>
        <v>105.03526451161059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-5.2252190694993365E-2</v>
      </c>
      <c r="Z36" s="28">
        <f t="shared" si="4"/>
        <v>-56.618856146719104</v>
      </c>
      <c r="AA36" s="29">
        <f t="shared" si="5"/>
        <v>68.660118390975811</v>
      </c>
      <c r="AB36" s="36">
        <f>AF6</f>
        <v>99.999058386718588</v>
      </c>
      <c r="AC36" s="53">
        <f t="shared" si="6"/>
        <v>68.660118390975811</v>
      </c>
      <c r="AD36" s="53">
        <f>V36*AC36^2+W36*AC36+X36</f>
        <v>127.97735742875983</v>
      </c>
      <c r="AE36" s="53">
        <f t="shared" si="7"/>
        <v>44.133401085330902</v>
      </c>
      <c r="AF36" s="53">
        <f>$H$70*AC36^2+$I$70*AC36+$J$70</f>
        <v>52.90723266033018</v>
      </c>
      <c r="AG36" s="53">
        <f>$R$70*AC36^2+$S$70*AC36+$T$70</f>
        <v>64.802494368330841</v>
      </c>
      <c r="AI36">
        <v>6</v>
      </c>
      <c r="AJ36" s="3">
        <f t="shared" si="8"/>
        <v>68.660118390975811</v>
      </c>
      <c r="AL36">
        <v>8</v>
      </c>
      <c r="AM36" s="3">
        <f>AJ35</f>
        <v>92.875130839246935</v>
      </c>
      <c r="AS36" s="279">
        <f>Tulokset!$CS$16</f>
        <v>53.52</v>
      </c>
      <c r="AT36" t="s">
        <v>13</v>
      </c>
      <c r="AV36" s="619">
        <f>IF($AS$36&gt;$AM$35,($AS$36-$R$10)/$Q$10,($AS$36-$R$9)/$Q$9)</f>
        <v>4.7832696522154095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-4.961373794849358E-2</v>
      </c>
      <c r="Z37" s="30">
        <f t="shared" si="4"/>
        <v>-43.70800173024714</v>
      </c>
      <c r="AA37" s="31">
        <f t="shared" si="5"/>
        <v>43.774258991556408</v>
      </c>
      <c r="AB37" s="37">
        <f>AH6</f>
        <v>61.555446560450939</v>
      </c>
      <c r="AC37" s="53">
        <f t="shared" si="6"/>
        <v>43.774258991556408</v>
      </c>
      <c r="AD37" s="53">
        <f>V37*AC37^2+W37*AC37+X37</f>
        <v>52.018958009427216</v>
      </c>
      <c r="AE37" s="53">
        <f t="shared" si="7"/>
        <v>15.981485783395716</v>
      </c>
      <c r="AF37" s="53">
        <f>$H$75*AC37^2+$I$75*AC37+$J$75</f>
        <v>44.938699273780458</v>
      </c>
      <c r="AG37" s="53">
        <f>$R$75*AC37^2+$S$75*AC37+$T$75</f>
        <v>55.853429264173442</v>
      </c>
      <c r="AI37">
        <v>4</v>
      </c>
      <c r="AJ37" s="3">
        <f t="shared" si="8"/>
        <v>43.774258991556408</v>
      </c>
      <c r="AL37">
        <v>6</v>
      </c>
      <c r="AM37" s="3">
        <f t="shared" ref="AM37:AM38" si="9">AJ36</f>
        <v>68.660118390975811</v>
      </c>
      <c r="AS37" s="279">
        <f>Tulokset!$CS$17</f>
        <v>77.760000000000005</v>
      </c>
      <c r="AT37" t="s">
        <v>14</v>
      </c>
    </row>
    <row r="38" spans="21:49" ht="14" thickBot="1" x14ac:dyDescent="0.2">
      <c r="U38" s="470">
        <v>9</v>
      </c>
      <c r="V38" s="471">
        <f>C27</f>
        <v>-3.946198901528352E-2</v>
      </c>
      <c r="W38" s="471">
        <f t="shared" ref="W38:X38" si="10">D27</f>
        <v>3.9322513558817733</v>
      </c>
      <c r="X38" s="471">
        <f t="shared" si="10"/>
        <v>320.27030748126242</v>
      </c>
      <c r="Y38" s="472">
        <f>C27-U29</f>
        <v>-6.6609126500453142E-2</v>
      </c>
      <c r="Z38" s="473">
        <f t="shared" si="4"/>
        <v>-45.84495799207037</v>
      </c>
      <c r="AA38" s="474">
        <f t="shared" si="5"/>
        <v>104.87968134721032</v>
      </c>
      <c r="AB38" s="475">
        <v>120</v>
      </c>
      <c r="AC38" s="476">
        <f t="shared" si="6"/>
        <v>104.87968134721032</v>
      </c>
      <c r="AD38" s="477">
        <f>V38*AC38^2+W38*AC38+X38</f>
        <v>298.61165929969866</v>
      </c>
      <c r="AE38" s="53">
        <f>X55*AC38^2+Y55*AC38+Z55</f>
        <v>143.52822392425961</v>
      </c>
      <c r="AI38">
        <v>9</v>
      </c>
      <c r="AJ38" s="3">
        <f t="shared" si="8"/>
        <v>104.87968134721032</v>
      </c>
      <c r="AL38">
        <v>4</v>
      </c>
      <c r="AM38" s="3">
        <f t="shared" si="9"/>
        <v>43.774258991556408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55.948869406533539</v>
      </c>
      <c r="AG43" s="53">
        <f t="shared" ref="AG43:AM43" si="11">$W$5+X43</f>
        <v>53.948869406533539</v>
      </c>
      <c r="AH43" s="53">
        <f t="shared" si="11"/>
        <v>46.948869406533539</v>
      </c>
      <c r="AI43" s="53">
        <f t="shared" si="11"/>
        <v>41.948869406533539</v>
      </c>
      <c r="AJ43" s="53">
        <f t="shared" si="11"/>
        <v>38.948869406533539</v>
      </c>
      <c r="AK43" s="53">
        <f t="shared" si="11"/>
        <v>31.948869406533539</v>
      </c>
      <c r="AL43" s="53">
        <f t="shared" si="11"/>
        <v>20.948869406533539</v>
      </c>
      <c r="AM43" s="53">
        <f t="shared" si="11"/>
        <v>12.948869406533539</v>
      </c>
      <c r="AN43" s="5">
        <f t="array" ref="AN43">10*LOG10(SUM(10^(AF43:AM43/10)))</f>
        <v>58.551875002580147</v>
      </c>
      <c r="AO43" s="5">
        <f t="array" ref="AO43">10*LOG10(SUM(10^((AF43:AM43+AF46:AM46)/10)))</f>
        <v>44.977451915065387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65.158911218843045</v>
      </c>
      <c r="AG44" s="53">
        <f t="shared" ref="AG44:AM44" si="12">$W$6+X44</f>
        <v>63.158911218843045</v>
      </c>
      <c r="AH44" s="53">
        <f t="shared" si="12"/>
        <v>59.158911218843045</v>
      </c>
      <c r="AI44" s="53">
        <f t="shared" si="12"/>
        <v>53.158911218843045</v>
      </c>
      <c r="AJ44" s="53">
        <f t="shared" si="12"/>
        <v>49.158911218843045</v>
      </c>
      <c r="AK44" s="53">
        <f t="shared" si="12"/>
        <v>47.158911218843045</v>
      </c>
      <c r="AL44" s="53">
        <f t="shared" si="12"/>
        <v>40.158911218843045</v>
      </c>
      <c r="AM44" s="53">
        <f t="shared" si="12"/>
        <v>30.158911218843045</v>
      </c>
      <c r="AN44" s="5">
        <f t="array" ref="AN44">10*LOG10(SUM(10^(AF44:AM44/10)))</f>
        <v>68.146761077474793</v>
      </c>
      <c r="AO44" s="5">
        <f t="array" ref="AO44">10*LOG10(SUM(10^((AF44:AM44+AF46:AM46)/10)))</f>
        <v>56.397380919667761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8">
        <v>145.93280562131633</v>
      </c>
      <c r="Y59" s="478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8">
        <v>141.05384772765888</v>
      </c>
      <c r="Y60" s="478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8">
        <v>137.14938858370206</v>
      </c>
      <c r="Y61" s="478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8">
        <v>131.55494143634706</v>
      </c>
      <c r="Y62" s="478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126.45313821471686</v>
      </c>
      <c r="Y63" s="478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8">
        <v>121.46818656102965</v>
      </c>
      <c r="Y64" s="478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8">
        <v>113.97454094383536</v>
      </c>
      <c r="Y65" s="478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8">
        <v>98.894194031361593</v>
      </c>
      <c r="Y66" s="478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8">
        <v>82.599850212683407</v>
      </c>
      <c r="Y67" s="478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59.628845690569321</v>
      </c>
      <c r="Y68" s="478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P28" sqref="P28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130'!W9</f>
        <v>4.7127720046843589</v>
      </c>
      <c r="D4" t="s">
        <v>25</v>
      </c>
    </row>
    <row r="5" spans="2:12" x14ac:dyDescent="0.15">
      <c r="B5" t="s">
        <v>8</v>
      </c>
      <c r="C5" s="3">
        <f>'Laskenta poistopuoli 130'!W9</f>
        <v>4.0531319918766719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81">
        <v>50.727797451867104</v>
      </c>
    </row>
    <row r="10" spans="2:12" x14ac:dyDescent="0.15">
      <c r="K10" s="8">
        <v>10</v>
      </c>
      <c r="L10" s="481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81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81">
        <v>46.855554140426776</v>
      </c>
    </row>
    <row r="13" spans="2:12" x14ac:dyDescent="0.15">
      <c r="K13" s="8">
        <v>6</v>
      </c>
      <c r="L13" s="481">
        <v>40.081737985343281</v>
      </c>
    </row>
    <row r="14" spans="2:12" x14ac:dyDescent="0.15">
      <c r="K14" s="8">
        <v>4</v>
      </c>
      <c r="L14" s="481">
        <v>31.57611766294508</v>
      </c>
    </row>
    <row r="15" spans="2:12" x14ac:dyDescent="0.15">
      <c r="B15" t="s">
        <v>91</v>
      </c>
      <c r="C15" s="3">
        <f>MAX(C4,C5)</f>
        <v>4.7127720046843589</v>
      </c>
      <c r="D15" t="s">
        <v>25</v>
      </c>
      <c r="E15" s="82" t="s">
        <v>42</v>
      </c>
      <c r="F15" s="5">
        <f>$C$12*LN(C15)+$D$12</f>
        <v>35.093811760692638</v>
      </c>
      <c r="G15" t="s">
        <v>31</v>
      </c>
    </row>
    <row r="16" spans="2:12" x14ac:dyDescent="0.15">
      <c r="B16" t="s">
        <v>92</v>
      </c>
      <c r="C16" s="79">
        <f>(2*MAX(C4,C5)+MIN(C4,C5))/3</f>
        <v>4.4928920004151296</v>
      </c>
      <c r="D16" t="s">
        <v>25</v>
      </c>
      <c r="E16" s="82" t="s">
        <v>42</v>
      </c>
      <c r="F16" s="5">
        <f>$C$12*LN(C16)+$D$12</f>
        <v>34.072362150681435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4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>
        <f>'R-series'!N55</f>
        <v>48.991849262605832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4">
        <v>61.559765602426999</v>
      </c>
      <c r="T22" s="68">
        <v>46.855554140426776</v>
      </c>
    </row>
    <row r="23" spans="2:21" x14ac:dyDescent="0.15">
      <c r="C23" t="s">
        <v>87</v>
      </c>
      <c r="D23" s="3">
        <f>ABS(D21-D22)</f>
        <v>3.0623439613788719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4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4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21" x14ac:dyDescent="0.15">
      <c r="B26" s="25"/>
      <c r="C26" s="25" t="s">
        <v>57</v>
      </c>
      <c r="D26" s="81">
        <f>'R-series'!N56</f>
        <v>61.131940217930122</v>
      </c>
      <c r="E26" t="s">
        <v>31</v>
      </c>
      <c r="K26" s="19">
        <f>K21-$T21</f>
        <v>9.7468202549653924</v>
      </c>
      <c r="L26" s="483">
        <f t="shared" ref="L26:R26" si="0">L21-$T21</f>
        <v>10.219263302672097</v>
      </c>
      <c r="M26" s="483">
        <f t="shared" si="0"/>
        <v>5.3781920854758241</v>
      </c>
      <c r="N26" s="483">
        <f t="shared" si="0"/>
        <v>-3.9657985891290366</v>
      </c>
      <c r="O26" s="483">
        <f t="shared" si="0"/>
        <v>-13.359993973034364</v>
      </c>
      <c r="P26" s="483">
        <f t="shared" si="0"/>
        <v>-20.064650430155496</v>
      </c>
      <c r="Q26" s="483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>
        <f>ABS(D25-D26)</f>
        <v>2.0349018717580236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>
        <f>AVERAGE(D27,D23)</f>
        <v>2.5486229165684477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>
        <f>-10*LOG10((1-10^(-C29/10)))-3</f>
        <v>0.52695830397018284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>
        <f>F15+C30</f>
        <v>35.620770064662821</v>
      </c>
      <c r="D32" t="s">
        <v>31</v>
      </c>
    </row>
    <row r="33" spans="2:23" x14ac:dyDescent="0.15">
      <c r="B33" t="s">
        <v>95</v>
      </c>
      <c r="C33" s="3">
        <f>F15-2.6</f>
        <v>32.493811760692637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34.072362150681435</v>
      </c>
      <c r="D35" s="2" t="s">
        <v>31</v>
      </c>
      <c r="F35" s="5">
        <f>C35+10*LOG10(4/10)</f>
        <v>30.09296206396106</v>
      </c>
      <c r="G35" s="5">
        <f>C35+10*LOG10(4/2.5)</f>
        <v>36.113561977240686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2">
        <f>K31</f>
        <v>12</v>
      </c>
      <c r="D39" s="482">
        <f t="shared" ref="D39:J39" si="4">L31</f>
        <v>11</v>
      </c>
      <c r="E39" s="482">
        <f t="shared" si="4"/>
        <v>5</v>
      </c>
      <c r="F39" s="482">
        <f t="shared" si="4"/>
        <v>-4</v>
      </c>
      <c r="G39" s="482">
        <f t="shared" si="4"/>
        <v>-13</v>
      </c>
      <c r="H39" s="482">
        <f t="shared" si="4"/>
        <v>-19</v>
      </c>
      <c r="I39" s="482">
        <f t="shared" si="4"/>
        <v>-23</v>
      </c>
      <c r="J39" s="482">
        <f t="shared" si="4"/>
        <v>-30</v>
      </c>
      <c r="K39" s="87" t="s">
        <v>42</v>
      </c>
      <c r="L39" s="86">
        <f>$C$35+C39</f>
        <v>46.072362150681435</v>
      </c>
      <c r="M39" s="86">
        <f t="shared" ref="M39:S39" si="5">$C$35+D39</f>
        <v>45.072362150681435</v>
      </c>
      <c r="N39" s="86">
        <f t="shared" si="5"/>
        <v>39.072362150681435</v>
      </c>
      <c r="O39" s="86">
        <f t="shared" si="5"/>
        <v>30.072362150681435</v>
      </c>
      <c r="P39" s="86">
        <f t="shared" si="5"/>
        <v>21.072362150681435</v>
      </c>
      <c r="Q39" s="86">
        <f t="shared" si="5"/>
        <v>15.072362150681435</v>
      </c>
      <c r="R39" s="86">
        <f t="shared" si="5"/>
        <v>11.072362150681435</v>
      </c>
      <c r="S39" s="86">
        <f t="shared" si="5"/>
        <v>4.0723621506814354</v>
      </c>
      <c r="T39" s="5">
        <f t="array" ref="T39">10*LOG10(SUM(10^(L39:S39/10)))</f>
        <v>49.132984842041083</v>
      </c>
      <c r="U39" s="5">
        <f t="array" ref="U39">10*LOG10(SUM(10^((L39:S39+L41:S41)/10)))</f>
        <v>34.275605313495042</v>
      </c>
      <c r="W39" t="str">
        <f>IF(ABS(C35-U39)&lt;0.5,"OK","Tarkista laskenta!")</f>
        <v>OK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zoomScale="70" zoomScaleNormal="70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45.1</v>
      </c>
      <c r="K3" t="s">
        <v>13</v>
      </c>
      <c r="L3" s="7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15.643400561905178</v>
      </c>
      <c r="Q5" s="52">
        <v>-7.9036513145048559</v>
      </c>
      <c r="R5" t="s">
        <v>28</v>
      </c>
      <c r="T5" s="4"/>
      <c r="U5" s="39" t="s">
        <v>43</v>
      </c>
      <c r="V5" t="s">
        <v>28</v>
      </c>
      <c r="W5" s="9">
        <f>$P$5*LN($J$3)+$Q$5</f>
        <v>51.680219360758947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16.782930529763831</v>
      </c>
      <c r="Q6" s="52">
        <v>-1.5186605172582404</v>
      </c>
      <c r="R6" t="s">
        <v>7</v>
      </c>
      <c r="T6" s="4"/>
      <c r="U6" s="39" t="s">
        <v>43</v>
      </c>
      <c r="V6" t="s">
        <v>7</v>
      </c>
      <c r="W6" s="9">
        <f>$P$6*LN($J$3)+$Q$6</f>
        <v>62.405545621946942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1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11.142139893079861</v>
      </c>
      <c r="R9" s="52">
        <v>-10.947517876871878</v>
      </c>
      <c r="U9" s="39" t="s">
        <v>42</v>
      </c>
      <c r="V9" t="s">
        <v>44</v>
      </c>
      <c r="W9" s="9">
        <f>IF($J$3&gt;$AC$35,($J$3-$R$10)/$Q$10,($J$3-$R$9)/$Q$9)</f>
        <v>5.0302292391501711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3.9848369945250393</v>
      </c>
      <c r="R10" s="52">
        <v>42.718035232612642</v>
      </c>
      <c r="W10" t="b">
        <f>IF(AND(W9&lt;=10.01,'R-series'!E33&gt;=W11),TRUE,FALSE)</f>
        <v>1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2.4027101739221068E-2</v>
      </c>
      <c r="Q13" s="51">
        <v>-0.92752945689609601</v>
      </c>
      <c r="R13" s="51">
        <v>15.774060476342314</v>
      </c>
      <c r="U13" s="39" t="s">
        <v>43</v>
      </c>
      <c r="V13" t="s">
        <v>44</v>
      </c>
      <c r="W13" s="9">
        <f>$P$13*J3^2+$Q$13*J3+$R$13</f>
        <v>22.813847178921428</v>
      </c>
      <c r="X13" t="s">
        <v>49</v>
      </c>
    </row>
    <row r="14" spans="3:34" x14ac:dyDescent="0.1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22.813847178921428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17.754934733499603</v>
      </c>
    </row>
    <row r="17" spans="3:35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43.568781912421031</v>
      </c>
      <c r="X19" s="75" t="s">
        <v>49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35" ht="15" x14ac:dyDescent="0.15">
      <c r="C22" t="s">
        <v>11</v>
      </c>
      <c r="D22" s="1"/>
      <c r="E22" s="1"/>
      <c r="H22" s="1"/>
      <c r="V22" t="s">
        <v>75</v>
      </c>
      <c r="W22">
        <f>W19/W21</f>
        <v>0.96604837943283883</v>
      </c>
      <c r="X22" t="s">
        <v>77</v>
      </c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2.9990019714750665E-2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-5.5217599798282363E-2</v>
      </c>
      <c r="Z34" s="28">
        <f>(-W34+SQRT(W34^2-(4*Y34*X34)))/(2*Y34)</f>
        <v>-114.38845360982064</v>
      </c>
      <c r="AA34" s="29">
        <f>(-W34-SQRT(W34^2-(4*Y34*X34)))/(2*Y34)</f>
        <v>82.566405177863032</v>
      </c>
      <c r="AB34" s="36">
        <f>AB6</f>
        <v>109.72216307386144</v>
      </c>
      <c r="AC34" s="53">
        <f>IF(Z34&lt;0,AA34,IF(Z34&gt;AB34,AA34,Z34))</f>
        <v>82.566405177863032</v>
      </c>
      <c r="AD34" s="53">
        <f>V34*AC34^2+W34*AC34+X34</f>
        <v>204.44830020683185</v>
      </c>
      <c r="AE34" s="53">
        <f>X51*AC34^2+Y51*AC34+Z51</f>
        <v>103.58447842556433</v>
      </c>
      <c r="AF34" s="53">
        <f>$H$60*AC34+$I$60</f>
        <v>61.198023167181752</v>
      </c>
      <c r="AG34" s="53">
        <f>$R$60*AC34^2+$S$60*AC34+$T$60</f>
        <v>72.824145449934122</v>
      </c>
      <c r="AI34" s="618">
        <f>AC34/$J$3-1</f>
        <v>0.83074069130516692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-5.7481358763262477E-2</v>
      </c>
      <c r="Z35" s="28">
        <f t="shared" ref="Z35:Z37" si="3">(-W35+SQRT(W35^2-(4*Y35*X35)))/(2*Y35)</f>
        <v>-92.224220640915959</v>
      </c>
      <c r="AA35" s="29">
        <f t="shared" ref="AA35:AA37" si="4">(-W35-SQRT(W35^2-(4*Y35*X35)))/(2*Y35)</f>
        <v>72.604312691550433</v>
      </c>
      <c r="AB35" s="36">
        <f>AD6</f>
        <v>96.507952803164471</v>
      </c>
      <c r="AC35" s="53">
        <f t="shared" ref="AC35:AC37" si="5">IF(Z35&lt;0,AA35,IF(Z35&gt;AB35,AA35,Z35))</f>
        <v>72.604312691550433</v>
      </c>
      <c r="AD35" s="53">
        <f>V35*AC35^2+W35*AC35+X35</f>
        <v>158.0889767042238</v>
      </c>
      <c r="AE35" s="53">
        <f t="shared" ref="AE35:AE37" si="6">X52*AC35^2+Y52*AC35+Z52</f>
        <v>74.118260611681706</v>
      </c>
      <c r="AF35" s="53">
        <f>$H$65*AC35+$I$65</f>
        <v>59.332735309711786</v>
      </c>
      <c r="AG35" s="53">
        <f>$R$65*AC35^2+$S$65*AC35+$T$65</f>
        <v>70.462999129185164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-4.7118928813009803E-2</v>
      </c>
      <c r="Z36" s="28">
        <f t="shared" si="3"/>
        <v>-78.517554510156103</v>
      </c>
      <c r="AA36" s="29">
        <f t="shared" si="4"/>
        <v>44.795173505299879</v>
      </c>
      <c r="AB36" s="36">
        <f>AF6</f>
        <v>59.097603965649029</v>
      </c>
      <c r="AC36" s="53">
        <f t="shared" si="5"/>
        <v>44.795173505299879</v>
      </c>
      <c r="AD36" s="53">
        <f>V36*AC36^2+W36*AC36+X36</f>
        <v>60.178200565171835</v>
      </c>
      <c r="AE36" s="53">
        <f t="shared" si="6"/>
        <v>23.012152222672796</v>
      </c>
      <c r="AF36" s="53">
        <f>$H$70*AC36^2+$I$70*AC36+$J$70</f>
        <v>51.118135525881435</v>
      </c>
      <c r="AG36" s="53">
        <f>$R$70*AC36^2+$S$70*AC36+$T$70</f>
        <v>61.67043540609842</v>
      </c>
      <c r="AI36" s="611">
        <f>Tulokset!$CR$16</f>
        <v>54.12</v>
      </c>
      <c r="AJ36" t="s">
        <v>13</v>
      </c>
      <c r="AL36" s="619">
        <f>IF($AI$36&gt;$AC$35,($AI$36-$R$10)/$Q$10,($AI$36-$R$9)/$Q$9)</f>
        <v>5.8397685275235043</v>
      </c>
      <c r="AM36" t="s">
        <v>25</v>
      </c>
    </row>
    <row r="37" spans="21:42" x14ac:dyDescent="0.1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-3.8264014409832042E-2</v>
      </c>
      <c r="Z37" s="30">
        <f t="shared" si="3"/>
        <v>-68.209872624455059</v>
      </c>
      <c r="AA37" s="31">
        <f t="shared" si="4"/>
        <v>22.461128515271891</v>
      </c>
      <c r="AB37" s="37">
        <f>AH6</f>
        <v>24.856065562361952</v>
      </c>
      <c r="AC37" s="53">
        <f t="shared" si="5"/>
        <v>22.461128515271891</v>
      </c>
      <c r="AD37" s="53">
        <f>V37*AC37^2+W37*AC37+X37</f>
        <v>15.130033748581958</v>
      </c>
      <c r="AE37" s="53">
        <f t="shared" si="6"/>
        <v>6.8623915241176103</v>
      </c>
      <c r="AF37" s="53">
        <f>$H$75*AC37^2+$I$75*AC37+$J$75</f>
        <v>40.9693078489491</v>
      </c>
      <c r="AG37" s="53">
        <f>$R$75*AC37^2+$S$75*AC37+$T$75</f>
        <v>50.991512401145307</v>
      </c>
      <c r="AI37" s="611">
        <f>Tulokset!$CR$17</f>
        <v>87.839999999999975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74.68021936075894</v>
      </c>
      <c r="AG43" s="53">
        <f t="shared" ref="AG43:AM43" si="7">$W$5+X43</f>
        <v>57.680219360758947</v>
      </c>
      <c r="AH43" s="53">
        <f t="shared" si="7"/>
        <v>54.680219360758947</v>
      </c>
      <c r="AI43" s="53">
        <f t="shared" si="7"/>
        <v>45.680219360758947</v>
      </c>
      <c r="AJ43" s="53">
        <f t="shared" si="7"/>
        <v>35.680219360758947</v>
      </c>
      <c r="AK43" s="53">
        <f t="shared" si="7"/>
        <v>29.680219360758947</v>
      </c>
      <c r="AL43" s="53">
        <f t="shared" si="7"/>
        <v>21.680219360758947</v>
      </c>
      <c r="AM43" s="53">
        <f t="shared" si="7"/>
        <v>18.680219360758947</v>
      </c>
      <c r="AN43" s="5">
        <f t="array" ref="AN43">10*LOG10(SUM(10^(AF43:AM43/10)))</f>
        <v>74.814392047259815</v>
      </c>
      <c r="AO43" s="5">
        <f t="array" ref="AO43">10*LOG10(SUM(10^((AF43:AM43+AF46:AM46)/10)))</f>
        <v>51.710891850683666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83.405545621946942</v>
      </c>
      <c r="AG44" s="53">
        <f t="shared" ref="AG44:AM44" si="8">$W$6+X44</f>
        <v>66.405545621946942</v>
      </c>
      <c r="AH44" s="53">
        <f t="shared" si="8"/>
        <v>62.405545621946942</v>
      </c>
      <c r="AI44" s="53">
        <f t="shared" si="8"/>
        <v>59.405545621946942</v>
      </c>
      <c r="AJ44" s="53">
        <f t="shared" si="8"/>
        <v>53.405545621946942</v>
      </c>
      <c r="AK44" s="53">
        <f t="shared" si="8"/>
        <v>51.405545621946942</v>
      </c>
      <c r="AL44" s="53">
        <f t="shared" si="8"/>
        <v>46.405545621946942</v>
      </c>
      <c r="AM44" s="53">
        <f t="shared" si="8"/>
        <v>38.405545621946942</v>
      </c>
      <c r="AN44" s="5">
        <f t="array" ref="AN44">10*LOG10(SUM(10^(AF44:AM44/10)))</f>
        <v>83.54965498562467</v>
      </c>
      <c r="AO44" s="5">
        <f t="array" ref="AO44">10*LOG10(SUM(10^((AF44:AM44+AF46:AM46)/10)))</f>
        <v>62.435386854686179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4.83203125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'R-series'!G33</f>
        <v>44.6</v>
      </c>
      <c r="K3" t="s">
        <v>13</v>
      </c>
      <c r="L3" s="7">
        <f>'R-series'!G39</f>
        <v>54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18.608209771808575</v>
      </c>
      <c r="Q5" s="52">
        <v>-20.625248857898335</v>
      </c>
      <c r="R5" t="s">
        <v>8</v>
      </c>
      <c r="T5" s="4"/>
      <c r="U5" s="39" t="s">
        <v>43</v>
      </c>
      <c r="V5" t="s">
        <v>8</v>
      </c>
      <c r="W5" s="9">
        <f>$P$5*LN($J$3)+$Q$5</f>
        <v>50.043779448357903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19.556852926492276</v>
      </c>
      <c r="Q6" s="52">
        <v>-14.13169233781089</v>
      </c>
      <c r="R6" t="s">
        <v>57</v>
      </c>
      <c r="T6" s="4"/>
      <c r="U6" s="39" t="s">
        <v>43</v>
      </c>
      <c r="V6" t="s">
        <v>57</v>
      </c>
      <c r="W6" s="9">
        <f>$P$6*LN($J$3)+$Q$6</f>
        <v>60.140030197120907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1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12.38302427419379</v>
      </c>
      <c r="R9" s="52">
        <v>-8.7687723085973914</v>
      </c>
      <c r="U9" s="39" t="s">
        <v>42</v>
      </c>
      <c r="V9" t="s">
        <v>58</v>
      </c>
      <c r="W9" s="273">
        <f>IF($J$3&gt;$AC$35,($J$3-$R$10)/$Q$10,($J$3-$R$9)/$Q$9)</f>
        <v>4.309833456421293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2.9723339318127326</v>
      </c>
      <c r="R10" s="52">
        <v>62.06692110541475</v>
      </c>
      <c r="W10" t="b">
        <f>IF(AND(W9&lt;=10.01,'R-series'!G33&gt;=W11),TRUE,FALSE)</f>
        <v>1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2.2232182948136201E-2</v>
      </c>
      <c r="Q13" s="51">
        <v>-1.0168119002655855</v>
      </c>
      <c r="R13" s="51">
        <v>18.881376452230114</v>
      </c>
      <c r="U13" s="39" t="s">
        <v>43</v>
      </c>
      <c r="V13" t="s">
        <v>58</v>
      </c>
      <c r="W13" s="9">
        <f>$P$13*J3^2+$Q$13*J3+$R$13</f>
        <v>17.754934733499603</v>
      </c>
      <c r="X13" t="s">
        <v>49</v>
      </c>
    </row>
    <row r="14" spans="3:34" x14ac:dyDescent="0.1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17.754934733499603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</row>
    <row r="17" spans="3:35" x14ac:dyDescent="0.15">
      <c r="C17" t="s">
        <v>11</v>
      </c>
      <c r="D17" s="1"/>
      <c r="E17" s="1"/>
      <c r="H17" s="1"/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AB21" s="6"/>
      <c r="AC21" s="6"/>
    </row>
    <row r="22" spans="3:35" x14ac:dyDescent="0.15">
      <c r="C22" t="s">
        <v>11</v>
      </c>
      <c r="D22" s="1"/>
      <c r="E22" s="1"/>
      <c r="H22" s="1"/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2.7147137485169618E-2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-8.4795892350712665E-2</v>
      </c>
      <c r="Z34" s="28">
        <f>(-W34+SQRT(W34^2-(4*Y34*X34)))/(2*Y34)</f>
        <v>-47.256083304422425</v>
      </c>
      <c r="AA34" s="29">
        <f>(-W34-SQRT(W34^2-(4*Y34*X34)))/(2*Y34)</f>
        <v>91.79026042354208</v>
      </c>
      <c r="AB34" s="36">
        <f>AB6</f>
        <v>116.53439357132875</v>
      </c>
      <c r="AC34" s="53">
        <f>IF(Z34&lt;0,AA34,IF(Z34&gt;AB34,AA34,Z34))</f>
        <v>91.79026042354208</v>
      </c>
      <c r="AD34" s="53">
        <f>V34*AC34^2+W34*AC34+X34</f>
        <v>228.72690133803752</v>
      </c>
      <c r="AE34" s="53">
        <f>X51*AC34^2+Y51*AC34+Z51</f>
        <v>114.23560883962223</v>
      </c>
      <c r="AF34" s="53">
        <f>$H$60*AC34+$I$60</f>
        <v>63.809183640227481</v>
      </c>
      <c r="AG34" s="53">
        <f>$R$60*AC34^2+$S$60*AC34+$T$60</f>
        <v>74.194050248878867</v>
      </c>
      <c r="AI34" s="618">
        <f>AC34/J3-1</f>
        <v>1.0580775879717956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-6.4160045218944362E-2</v>
      </c>
      <c r="Z35" s="28">
        <f t="shared" ref="Z35:Z37" si="3">(-W35+SQRT(W35^2-(4*Y35*X35)))/(2*Y35)</f>
        <v>-63.777670708560997</v>
      </c>
      <c r="AA35" s="29">
        <f t="shared" ref="AA35:AA37" si="4">(-W35-SQRT(W35^2-(4*Y35*X35)))/(2*Y35)</f>
        <v>84.359425594010247</v>
      </c>
      <c r="AB35" s="36">
        <f>AD6</f>
        <v>112.6869797142791</v>
      </c>
      <c r="AC35" s="53">
        <f t="shared" ref="AC35:AC37" si="5">IF(Z35&lt;0,AA35,IF(Z35&gt;AB35,AA35,Z35))</f>
        <v>84.359425594010247</v>
      </c>
      <c r="AD35" s="53">
        <f>V35*AC35^2+W35*AC35+X35</f>
        <v>193.19294831676325</v>
      </c>
      <c r="AE35" s="53">
        <f t="shared" ref="AE35:AE37" si="6">X52*AC35^2+Y52*AC35+Z52</f>
        <v>89.401348971642591</v>
      </c>
      <c r="AF35" s="53">
        <f>$H$65*AC35+$I$65</f>
        <v>61.724794198700707</v>
      </c>
      <c r="AG35" s="53">
        <f>$R$65*AC35^2+$S$65*AC35+$T$65</f>
        <v>72.627922286967632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-4.5636469833031997E-2</v>
      </c>
      <c r="Z36" s="28">
        <f t="shared" si="3"/>
        <v>-66.488306462918999</v>
      </c>
      <c r="AA36" s="29">
        <f t="shared" si="4"/>
        <v>52.571438408524578</v>
      </c>
      <c r="AB36" s="36">
        <f>AF6</f>
        <v>72.284594299567686</v>
      </c>
      <c r="AC36" s="53">
        <f t="shared" si="5"/>
        <v>52.571438408524578</v>
      </c>
      <c r="AD36" s="53">
        <f>V36*AC36^2+W36*AC36+X36</f>
        <v>75.028067808738285</v>
      </c>
      <c r="AE36" s="53">
        <f t="shared" si="6"/>
        <v>27.717754071956222</v>
      </c>
      <c r="AF36" s="53">
        <f>$H$70*AC36^2+$I$70*AC36+$J$70</f>
        <v>52.779986304920797</v>
      </c>
      <c r="AG36" s="53">
        <f>$R$70*AC36^2+$S$70*AC36+$T$70</f>
        <v>63.432746796363475</v>
      </c>
      <c r="AI36" s="279">
        <f>Tulokset!$CS$16</f>
        <v>53.52</v>
      </c>
      <c r="AJ36" t="s">
        <v>13</v>
      </c>
      <c r="AL36" s="619">
        <f>IF($AI$36&gt;$AC$35,($AI$36-$R$10)/$Q$10,($AI$36-$R$9)/$Q$9)</f>
        <v>5.0301744492585003</v>
      </c>
      <c r="AM36" t="s">
        <v>25</v>
      </c>
    </row>
    <row r="37" spans="21:42" x14ac:dyDescent="0.1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-4.8723350771098933E-2</v>
      </c>
      <c r="Z37" s="30">
        <f t="shared" si="3"/>
        <v>-34.282575304439995</v>
      </c>
      <c r="AA37" s="31">
        <f t="shared" si="4"/>
        <v>28.699695321676753</v>
      </c>
      <c r="AB37" s="37">
        <f>AH6</f>
        <v>36.100405459595137</v>
      </c>
      <c r="AC37" s="53">
        <f t="shared" si="5"/>
        <v>28.699695321676753</v>
      </c>
      <c r="AD37" s="53">
        <f>V37*AC37^2+W37*AC37+X37</f>
        <v>22.360350913994857</v>
      </c>
      <c r="AE37" s="53">
        <f t="shared" si="6"/>
        <v>7.7104112968649705</v>
      </c>
      <c r="AF37" s="53">
        <f>$H$75*AC37^2+$I$75*AC37+$J$75</f>
        <v>42.008574798830779</v>
      </c>
      <c r="AG37" s="53">
        <f>$R$75*AC37^2+$S$75*AC37+$T$75</f>
        <v>51.479934476687312</v>
      </c>
      <c r="AI37" s="279">
        <f>Tulokset!$CS$17</f>
        <v>77.760000000000005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73.043779448357895</v>
      </c>
      <c r="AG43" s="53">
        <f t="shared" ref="AG43:AM43" si="7">$W$5+X43</f>
        <v>54.043779448357903</v>
      </c>
      <c r="AH43" s="53">
        <f t="shared" si="7"/>
        <v>49.043779448357903</v>
      </c>
      <c r="AI43" s="53">
        <f t="shared" si="7"/>
        <v>46.043779448357903</v>
      </c>
      <c r="AJ43" s="53">
        <f t="shared" si="7"/>
        <v>40.043779448357903</v>
      </c>
      <c r="AK43" s="53">
        <f t="shared" si="7"/>
        <v>33.043779448357903</v>
      </c>
      <c r="AL43" s="53">
        <f t="shared" si="7"/>
        <v>24.043779448357903</v>
      </c>
      <c r="AM43" s="53">
        <f t="shared" si="7"/>
        <v>18.043779448357903</v>
      </c>
      <c r="AN43" s="5">
        <f t="array" ref="AN43">10*LOG10(SUM(10^(AF43:AM43/10)))</f>
        <v>73.12629914247897</v>
      </c>
      <c r="AO43" s="5">
        <f t="array" ref="AO43">10*LOG10(SUM(10^((AF43:AM43+AF46:AM46)/10)))</f>
        <v>49.913458375441579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80.140030197120907</v>
      </c>
      <c r="AG44" s="53">
        <f t="shared" ref="AG44:AM44" si="8">$W$6+X44</f>
        <v>64.140030197120907</v>
      </c>
      <c r="AH44" s="53">
        <f t="shared" si="8"/>
        <v>62.140030197120907</v>
      </c>
      <c r="AI44" s="53">
        <f t="shared" si="8"/>
        <v>55.140030197120907</v>
      </c>
      <c r="AJ44" s="53">
        <f t="shared" si="8"/>
        <v>52.140030197120907</v>
      </c>
      <c r="AK44" s="53">
        <f t="shared" si="8"/>
        <v>50.140030197120907</v>
      </c>
      <c r="AL44" s="53">
        <f t="shared" si="8"/>
        <v>45.140030197120907</v>
      </c>
      <c r="AM44" s="53">
        <f t="shared" si="8"/>
        <v>41.140030197120907</v>
      </c>
      <c r="AN44" s="5">
        <f t="array" ref="AN44">10*LOG10(SUM(10^(AF44:AM44/10)))</f>
        <v>80.34014856188854</v>
      </c>
      <c r="AO44" s="5">
        <f t="array" ref="AO44">10*LOG10(SUM(10^((AF44:AM44+AF46:AM46)/10)))</f>
        <v>60.190003181591635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L15" sqref="L15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'R-series'!G33</f>
        <v>44.6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'R-series'!G39</f>
        <v>54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>
        <f>'R-series'!G42</f>
        <v>4.5864116691067442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>
        <f>$C$12*LN($C$8)+$D$12</f>
        <v>56.958073773016018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>
        <f>$C$15*$C$8+$D$15</f>
        <v>65.451630973047088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>
        <f>IF(C8&lt;=7.5,F12,F15)</f>
        <v>56.958073773016018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1528" t="s">
        <v>386</v>
      </c>
      <c r="I19" s="1529"/>
      <c r="J19" s="128"/>
      <c r="K19" s="276"/>
      <c r="L19" s="277"/>
    </row>
    <row r="20" spans="2:12" x14ac:dyDescent="0.15">
      <c r="B20" s="2" t="s">
        <v>382</v>
      </c>
      <c r="C20" s="4"/>
      <c r="D20" s="4"/>
      <c r="H20" s="1522" t="s">
        <v>387</v>
      </c>
      <c r="I20" s="1523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60'!U29</f>
        <v>2.7147137485169618E-2</v>
      </c>
      <c r="D21" s="4"/>
      <c r="H21" s="1524" t="s">
        <v>388</v>
      </c>
      <c r="I21" s="1525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0.16476388404371153</v>
      </c>
      <c r="D22" s="4"/>
      <c r="H22" s="1526" t="s">
        <v>389</v>
      </c>
      <c r="I22" s="1527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1526" t="s">
        <v>383</v>
      </c>
      <c r="I23" s="1527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0.55180496780168875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>
        <f>D17+F25</f>
        <v>57.509878740817705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>
        <f>ROUND($D$27+C31,0)</f>
        <v>71</v>
      </c>
      <c r="D32" s="108">
        <f t="shared" ref="D32:J32" si="1">ROUND($D$27+D31,0)</f>
        <v>66</v>
      </c>
      <c r="E32" s="108">
        <f t="shared" si="1"/>
        <v>62</v>
      </c>
      <c r="F32" s="108">
        <f t="shared" si="1"/>
        <v>55</v>
      </c>
      <c r="G32" s="108">
        <f t="shared" si="1"/>
        <v>52</v>
      </c>
      <c r="H32" s="108">
        <f t="shared" si="1"/>
        <v>43</v>
      </c>
      <c r="I32" s="108">
        <f t="shared" si="1"/>
        <v>32</v>
      </c>
      <c r="J32" s="108">
        <f t="shared" si="1"/>
        <v>24</v>
      </c>
      <c r="K32" s="5">
        <f t="array" ref="K32">10*LOG10(SUM(10^(C32:J32/10)))</f>
        <v>72.707189991030347</v>
      </c>
      <c r="L32" s="5">
        <f t="array" ref="L32">10*LOG10(SUM(10^((C32:J32+$C$34:$J$34)/10)))</f>
        <v>58.357145188304891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W10" sqref="W1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Tulokset!E23</f>
        <v>5.0302292391501711</v>
      </c>
      <c r="D4" t="s">
        <v>25</v>
      </c>
    </row>
    <row r="5" spans="2:7" x14ac:dyDescent="0.15">
      <c r="B5" t="s">
        <v>8</v>
      </c>
      <c r="C5" s="3">
        <f>Tulokset!H23</f>
        <v>4.309833456421293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5.0302292391501711</v>
      </c>
      <c r="D15" t="s">
        <v>25</v>
      </c>
      <c r="E15" s="82" t="s">
        <v>42</v>
      </c>
      <c r="F15" s="5">
        <f>IF(C15&gt;7.5,C12*LN(C15)+D12,C13*LN(C15)+D13)</f>
        <v>37.472170924984461</v>
      </c>
      <c r="G15" t="s">
        <v>31</v>
      </c>
    </row>
    <row r="16" spans="2:7" x14ac:dyDescent="0.15">
      <c r="B16" t="s">
        <v>92</v>
      </c>
      <c r="C16" s="79">
        <f>(2*MAX(C4,C5)+MIN(C4,C5))/3</f>
        <v>4.7900973115738781</v>
      </c>
      <c r="D16" t="s">
        <v>25</v>
      </c>
      <c r="E16" s="82" t="s">
        <v>42</v>
      </c>
      <c r="F16" s="5">
        <f>IF(C16&gt;7.5,C12*LN(C16)+D12,C13*LN(C16)+D13)</f>
        <v>36.26181180292869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15">
      <c r="C23" t="s">
        <v>87</v>
      </c>
      <c r="D23" s="3">
        <f>ABS(D21-D22)</f>
        <v>3.0623439613788719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15">
      <c r="C27" t="s">
        <v>87</v>
      </c>
      <c r="D27" s="3">
        <f>ABS(D25-D26)</f>
        <v>2.0349018717580236</v>
      </c>
      <c r="E27" t="s">
        <v>31</v>
      </c>
    </row>
    <row r="29" spans="2:5" x14ac:dyDescent="0.15">
      <c r="B29" t="s">
        <v>94</v>
      </c>
      <c r="C29" s="3">
        <f>AVERAGE(D27,D23)</f>
        <v>2.5486229165684477</v>
      </c>
      <c r="D29" t="s">
        <v>31</v>
      </c>
    </row>
    <row r="30" spans="2:5" x14ac:dyDescent="0.1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15">
      <c r="B32" t="s">
        <v>83</v>
      </c>
      <c r="C32" s="3">
        <f>F15+C30</f>
        <v>37.999129228954644</v>
      </c>
      <c r="D32" t="s">
        <v>31</v>
      </c>
    </row>
    <row r="33" spans="2:23" x14ac:dyDescent="0.15">
      <c r="B33" t="s">
        <v>95</v>
      </c>
      <c r="C33" s="3">
        <f>F15-2.6</f>
        <v>34.872170924984459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36.26181180292869</v>
      </c>
      <c r="D35" s="2" t="s">
        <v>31</v>
      </c>
      <c r="F35" s="5">
        <f>C35+10*LOG10(4/10)</f>
        <v>32.282411716208316</v>
      </c>
      <c r="G35" s="5">
        <f>C35+10*LOG10(4/2.5)</f>
        <v>38.303011629487941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50.26181180292869</v>
      </c>
      <c r="M39" s="86">
        <f t="shared" ref="M39:S39" si="0">$C$35+D39</f>
        <v>46.26181180292869</v>
      </c>
      <c r="N39" s="86">
        <f t="shared" si="0"/>
        <v>41.26181180292869</v>
      </c>
      <c r="O39" s="86">
        <f t="shared" si="0"/>
        <v>32.26181180292869</v>
      </c>
      <c r="P39" s="86">
        <f t="shared" si="0"/>
        <v>24.26181180292869</v>
      </c>
      <c r="Q39" s="86">
        <f t="shared" si="0"/>
        <v>18.26181180292869</v>
      </c>
      <c r="R39" s="86">
        <f t="shared" si="0"/>
        <v>11.26181180292869</v>
      </c>
      <c r="S39" s="86">
        <f t="shared" si="0"/>
        <v>10.26181180292869</v>
      </c>
      <c r="T39" s="5">
        <f t="array" ref="T39">10*LOG10(SUM(10^(L39:S39/10)))</f>
        <v>52.146082860540226</v>
      </c>
      <c r="U39" s="5">
        <f t="array" ref="U39">10*LOG10(SUM(10^((L39:S39+L41:S41)/10)))</f>
        <v>36.359329890055697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1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15">
      <c r="C2" s="2" t="s">
        <v>0</v>
      </c>
      <c r="J2" t="s">
        <v>15</v>
      </c>
      <c r="P2" s="259">
        <f t="array" ref="P2:R2">LINEST(AL34:AL37,AC34:AC37^{1,2})</f>
        <v>2.9164993423366349E-2</v>
      </c>
      <c r="Q2" s="259">
        <v>0.9281612886611923</v>
      </c>
      <c r="R2" s="259">
        <v>-8.4619629319433898</v>
      </c>
      <c r="V2" t="s">
        <v>519</v>
      </c>
      <c r="W2" s="84">
        <f>P2*J3^2+Q2*J3+R2</f>
        <v>92.719999459737778</v>
      </c>
      <c r="X2" t="s">
        <v>14</v>
      </c>
      <c r="AU2" t="s">
        <v>533</v>
      </c>
    </row>
    <row r="3" spans="2:50" ht="18" thickBot="1" x14ac:dyDescent="0.3">
      <c r="J3" s="7">
        <f>'R-series'!E33</f>
        <v>45.1</v>
      </c>
      <c r="K3" t="s">
        <v>13</v>
      </c>
      <c r="L3" s="122">
        <f>'R-series'!E39</f>
        <v>61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15">
      <c r="C5" t="s">
        <v>2</v>
      </c>
      <c r="D5" s="1"/>
      <c r="E5" s="1"/>
      <c r="H5" s="1"/>
      <c r="P5" s="52">
        <f t="array" ref="P5:Q5">LINEST(AF34:AF37,LN(AC34:AC37))</f>
        <v>19.314575585049596</v>
      </c>
      <c r="Q5" s="52">
        <v>-36.452175832612028</v>
      </c>
      <c r="R5" t="s">
        <v>28</v>
      </c>
      <c r="T5" s="4"/>
      <c r="U5" s="39" t="s">
        <v>43</v>
      </c>
      <c r="V5" t="s">
        <v>28</v>
      </c>
      <c r="W5" s="9">
        <f>$P$5*LN($J$3)+$Q$5</f>
        <v>37.114768212132461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15">
      <c r="C6" s="2" t="s">
        <v>3</v>
      </c>
      <c r="D6" s="1"/>
      <c r="E6" s="1"/>
      <c r="H6" s="1"/>
      <c r="P6" s="52">
        <f t="array" ref="P6:Q6">LINEST(AG34:AG37,LN(AC34:AC37))</f>
        <v>19.128138027142189</v>
      </c>
      <c r="Q6" s="52">
        <v>-18.171924348202353</v>
      </c>
      <c r="R6" t="s">
        <v>7</v>
      </c>
      <c r="T6" s="4"/>
      <c r="U6" s="39" t="s">
        <v>43</v>
      </c>
      <c r="V6" t="s">
        <v>7</v>
      </c>
      <c r="W6" s="9">
        <f>$P$6*LN($J$3)+$Q$6</f>
        <v>54.684900992146197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92.719999459737778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1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15.852631702711868</v>
      </c>
      <c r="R9" s="52">
        <v>-12.454333659693617</v>
      </c>
      <c r="T9" s="111">
        <f>(J3-R9)/Q9</f>
        <v>3.630585428276111</v>
      </c>
      <c r="U9" s="39" t="s">
        <v>42</v>
      </c>
      <c r="V9" t="s">
        <v>44</v>
      </c>
      <c r="W9" s="125">
        <f>IF($J$3&gt;$AJ$35,AVERAGE(T10,T11,T11),AVERAGE(T9,T9,T11))</f>
        <v>3.6362588253855237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77.874823469031625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12.248273077706079</v>
      </c>
      <c r="R10" s="52">
        <v>19.984893965358481</v>
      </c>
      <c r="T10" s="111">
        <f>(J3-R10)/Q10</f>
        <v>2.0505018034220059</v>
      </c>
      <c r="W10" t="b">
        <f>IF(AND(W9&lt;=7.51,J3&gt;=W11),TRUE,FALSE)</f>
        <v>1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4.9158391424368632E-5</v>
      </c>
      <c r="R11" s="7">
        <v>5.5725267923633907E-2</v>
      </c>
      <c r="S11" s="7">
        <v>1.0344073765073798</v>
      </c>
      <c r="T11" s="111">
        <f>Q11*J3^2+R11*J3+S11</f>
        <v>3.6476056196043491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0.16905639202091474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0.14989360741059088</v>
      </c>
    </row>
    <row r="13" spans="2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2.3925505219684104E-2</v>
      </c>
      <c r="Q13" s="51">
        <v>-1.9878762400709864</v>
      </c>
      <c r="R13" s="51">
        <v>67.97963805858484</v>
      </c>
      <c r="U13" s="39" t="s">
        <v>43</v>
      </c>
      <c r="V13" t="s">
        <v>44</v>
      </c>
      <c r="W13" s="295">
        <f>P18</f>
        <v>24.735367445419278</v>
      </c>
      <c r="X13" t="s">
        <v>49</v>
      </c>
      <c r="Y13" s="129" t="s">
        <v>414</v>
      </c>
      <c r="AU13" t="s">
        <v>535</v>
      </c>
    </row>
    <row r="14" spans="2:50" ht="14" thickBot="1" x14ac:dyDescent="0.2">
      <c r="C14" s="642">
        <f>AV18</f>
        <v>-5.8938322601629753E-3</v>
      </c>
      <c r="D14" s="642">
        <f t="shared" ref="D14:E14" si="5">AW18</f>
        <v>0.41704887403929791</v>
      </c>
      <c r="E14" s="642">
        <f t="shared" si="5"/>
        <v>424.65374076504946</v>
      </c>
      <c r="H14" s="2"/>
      <c r="O14" t="s">
        <v>413</v>
      </c>
      <c r="P14">
        <f t="array" ref="P14:S14">LINEST(AE34:AE37,AC34:AC37^{1,2,3})</f>
        <v>1.0844517412584961E-4</v>
      </c>
      <c r="Q14">
        <v>-7.6096411655248129E-3</v>
      </c>
      <c r="R14">
        <v>0.86623173189082148</v>
      </c>
      <c r="S14">
        <v>-11.057459938551119</v>
      </c>
      <c r="V14" t="s">
        <v>52</v>
      </c>
      <c r="W14" s="296">
        <f>IF(W13&gt;Y14,Y14,W13)</f>
        <v>24.735367445419278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1288.2350000000001</v>
      </c>
      <c r="AU14" s="451" t="b">
        <f>Tulokset!D40</f>
        <v>0</v>
      </c>
      <c r="AV14" s="2"/>
    </row>
    <row r="15" spans="2:50" x14ac:dyDescent="0.1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26.991136503273012</v>
      </c>
      <c r="Q16" t="s">
        <v>49</v>
      </c>
      <c r="V16" t="s">
        <v>58</v>
      </c>
      <c r="W16">
        <f>'Laskenta poistopuoli 250'!W13</f>
        <v>23.171215815794739</v>
      </c>
      <c r="AM16" s="129" t="s">
        <v>521</v>
      </c>
      <c r="AN16" s="3">
        <f>(AN8-L3)/AN11</f>
        <v>187.62969610645393</v>
      </c>
      <c r="AU16" t="s">
        <v>21</v>
      </c>
    </row>
    <row r="17" spans="3:50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22.479598387565545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159.2784634479664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24.735367445419278</v>
      </c>
      <c r="Q18" t="s">
        <v>49</v>
      </c>
      <c r="AM18" s="297" t="s">
        <v>529</v>
      </c>
      <c r="AN18" s="84">
        <f>AN16+AN17</f>
        <v>346.90815955442031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1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50.276583261214014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50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1.11478011665663</v>
      </c>
      <c r="X22" t="s">
        <v>77</v>
      </c>
      <c r="AB22" s="6"/>
      <c r="AC22" s="6"/>
      <c r="AU22" s="2" t="s">
        <v>564</v>
      </c>
    </row>
    <row r="23" spans="3:50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1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15">
      <c r="G25" s="2"/>
      <c r="H25" s="1"/>
    </row>
    <row r="27" spans="3:50" x14ac:dyDescent="0.1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15">
      <c r="U28" s="4" t="s">
        <v>17</v>
      </c>
    </row>
    <row r="29" spans="3:50" x14ac:dyDescent="0.15">
      <c r="U29" s="4">
        <f>L3/J3^2</f>
        <v>2.9990019714750661E-2</v>
      </c>
    </row>
    <row r="31" spans="3:50" x14ac:dyDescent="0.15">
      <c r="U31" s="2" t="s">
        <v>16</v>
      </c>
      <c r="AP31" s="2" t="s">
        <v>1110</v>
      </c>
    </row>
    <row r="32" spans="3:5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-3.6302456654004993E-2</v>
      </c>
      <c r="Z34" s="28">
        <f>(-W34+SQRT(W34^2-(4*Y34*X34)))/(2*Y34)</f>
        <v>-124.98739873649545</v>
      </c>
      <c r="AA34" s="29">
        <f>(-W34-SQRT(W34^2-(4*Y34*X34)))/(2*Y34)</f>
        <v>142.46762474241928</v>
      </c>
      <c r="AB34" s="36">
        <f>AB6</f>
        <v>276.93002872317612</v>
      </c>
      <c r="AC34" s="53">
        <f>IF(Z34&lt;0,AA34,IF(Z34&gt;AB34,AA34,Z34))</f>
        <v>142.46762474241928</v>
      </c>
      <c r="AD34" s="53">
        <f>V34*AC34^2+W34*AC34+X34</f>
        <v>608.70815290217581</v>
      </c>
      <c r="AE34" s="53">
        <f>X51*AC34^2+Y51*AC34+Z51</f>
        <v>271.48697517506355</v>
      </c>
      <c r="AF34" s="53">
        <f>AVERAGE(K61:K62,K61)</f>
        <v>59.766386746332813</v>
      </c>
      <c r="AG34" s="53">
        <f>AVERAGE(U61:U62,U61)</f>
        <v>76.621681215119608</v>
      </c>
      <c r="AI34">
        <v>10</v>
      </c>
      <c r="AJ34" s="3">
        <f>AC34</f>
        <v>142.46762474241928</v>
      </c>
      <c r="AL34">
        <f>AN52*AC34^2+AO52*AC34+AP52</f>
        <v>716.72321876177148</v>
      </c>
      <c r="AM34" t="s">
        <v>14</v>
      </c>
      <c r="AP34" s="618">
        <f>AC38/$J$3-1</f>
        <v>1.3579046713691443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-3.5883851974913637E-2</v>
      </c>
      <c r="Z35" s="28">
        <f t="shared" ref="Z35:Z37" si="12">(-W35+SQRT(W35^2-(4*Y35*X35)))/(2*Y35)</f>
        <v>-103.12873743978484</v>
      </c>
      <c r="AA35" s="29">
        <f t="shared" ref="AA35:AA38" si="13">(-W35-SQRT(W35^2-(4*Y35*X35)))/(2*Y35)</f>
        <v>114.75092544599043</v>
      </c>
      <c r="AB35" s="36">
        <f>AD6</f>
        <v>276.93002872317612</v>
      </c>
      <c r="AC35" s="53">
        <f t="shared" ref="AC35:AC38" si="14">IF(Z35&lt;0,AA35,IF(Z35&gt;AB35,AA35,Z35))</f>
        <v>114.75092544599043</v>
      </c>
      <c r="AD35" s="53">
        <f>V35*AC35^2+W35*AC35+X35</f>
        <v>394.90182857182918</v>
      </c>
      <c r="AE35" s="53">
        <f t="shared" ref="AE35:AE37" si="15">X52*AC35^2+Y52*AC35+Z52</f>
        <v>152.00360588996386</v>
      </c>
      <c r="AF35" s="53">
        <f>AVERAGE(K66:K67,K66)</f>
        <v>54.387346769698617</v>
      </c>
      <c r="AG35" s="53">
        <f>AVERAGE(U66:U67,U66)</f>
        <v>72.373720338502551</v>
      </c>
      <c r="AI35">
        <v>9</v>
      </c>
      <c r="AJ35" s="3">
        <f>Q9*AI35+R9</f>
        <v>130.2193516647132</v>
      </c>
      <c r="AL35">
        <f t="shared" ref="AL35:AL37" si="16">AN53*AC35^2+AO53*AC35+AP53</f>
        <v>479.46149159892548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-3.689101954136384E-2</v>
      </c>
      <c r="Z36" s="28">
        <f t="shared" si="12"/>
        <v>-65.946566357978639</v>
      </c>
      <c r="AA36" s="29">
        <f t="shared" si="13"/>
        <v>81.893045588599378</v>
      </c>
      <c r="AB36" s="36">
        <f>AF6</f>
        <v>213.61335762915562</v>
      </c>
      <c r="AC36" s="53">
        <f t="shared" si="14"/>
        <v>81.893045588599378</v>
      </c>
      <c r="AD36" s="53">
        <f>V36*AC36^2+W36*AC36+X36</f>
        <v>201.12719498053667</v>
      </c>
      <c r="AE36" s="53">
        <f t="shared" si="15"/>
        <v>68.406592650767124</v>
      </c>
      <c r="AF36" s="53">
        <f>AVERAGE(K71:K72,K71)</f>
        <v>49.002505039094423</v>
      </c>
      <c r="AG36" s="53">
        <f>AVERAGE(U71:U72,U71)</f>
        <v>66.538320868792781</v>
      </c>
      <c r="AI36">
        <v>8</v>
      </c>
      <c r="AJ36" s="3">
        <f>AC35</f>
        <v>114.75092544599043</v>
      </c>
      <c r="AL36">
        <f t="shared" si="16"/>
        <v>265.63213592390093</v>
      </c>
      <c r="AM36" t="s">
        <v>14</v>
      </c>
      <c r="AP36" s="611">
        <f>Tulokset!$CR$16</f>
        <v>54.12</v>
      </c>
      <c r="AQ36" t="s">
        <v>13</v>
      </c>
      <c r="AS36" s="629">
        <f>IF($AP$36&gt;$AJ$35,AVERAGE(AS40,AS41,AS41),AVERAGE(AS39,AS39,AS41))</f>
        <v>4.1977982673106373</v>
      </c>
      <c r="AT36" t="s">
        <v>25</v>
      </c>
    </row>
    <row r="37" spans="21:47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-3.4518725679268343E-2</v>
      </c>
      <c r="Z37" s="30">
        <f t="shared" si="12"/>
        <v>-56.459470481644175</v>
      </c>
      <c r="AA37" s="31">
        <f t="shared" si="13"/>
        <v>51.340398635142975</v>
      </c>
      <c r="AB37" s="37">
        <f>AH6</f>
        <v>122.85148290021115</v>
      </c>
      <c r="AC37" s="53">
        <f t="shared" si="14"/>
        <v>51.340398635142975</v>
      </c>
      <c r="AD37" s="53">
        <f>V37*AC37^2+W37*AC37+X37</f>
        <v>79.04878956000158</v>
      </c>
      <c r="AE37" s="53">
        <f t="shared" si="15"/>
        <v>28.032784466218004</v>
      </c>
      <c r="AF37" s="53">
        <f>AVERAGE(K76:K77,K76)</f>
        <v>39.581460420087545</v>
      </c>
      <c r="AG37" s="53">
        <f>AVERAGE(U76:U77,U76)</f>
        <v>56.960573069316865</v>
      </c>
      <c r="AI37">
        <v>6</v>
      </c>
      <c r="AJ37" s="3">
        <f t="shared" ref="AJ37:AJ38" si="17">AC36</f>
        <v>81.893045588599378</v>
      </c>
      <c r="AL37">
        <f t="shared" si="16"/>
        <v>115.20670602644462</v>
      </c>
      <c r="AM37" t="s">
        <v>14</v>
      </c>
      <c r="AP37" s="611">
        <f>Tulokset!$CR$17</f>
        <v>87.839999999999975</v>
      </c>
      <c r="AQ37" t="s">
        <v>14</v>
      </c>
    </row>
    <row r="38" spans="21:47" x14ac:dyDescent="0.15">
      <c r="U38" s="641">
        <v>7.5</v>
      </c>
      <c r="V38" s="635">
        <f>C15</f>
        <v>-6.2567305087769002E-3</v>
      </c>
      <c r="W38" s="636">
        <f t="shared" ref="W38:X38" si="18">D15</f>
        <v>0.52719406327833773</v>
      </c>
      <c r="X38" s="637">
        <f t="shared" si="18"/>
        <v>353.83430230637669</v>
      </c>
      <c r="Y38" s="638">
        <f>C15-U29</f>
        <v>-3.6246750223527559E-2</v>
      </c>
      <c r="Z38" s="639">
        <f>(-W38+SQRT(W38^2-(4*Y38*X38)))/(2*Y38)</f>
        <v>-91.796912266622584</v>
      </c>
      <c r="AA38" s="640">
        <f t="shared" si="13"/>
        <v>106.3415006787484</v>
      </c>
      <c r="AB38" s="638">
        <f>AD6</f>
        <v>276.93002872317612</v>
      </c>
      <c r="AC38" s="53">
        <f t="shared" si="14"/>
        <v>106.3415006787484</v>
      </c>
      <c r="AD38" s="53">
        <f>V38*AC38^2+W38*AC38+X38</f>
        <v>339.14258079513024</v>
      </c>
      <c r="AE38" s="2" t="s">
        <v>1156</v>
      </c>
      <c r="AI38">
        <v>4</v>
      </c>
      <c r="AJ38" s="3">
        <f t="shared" si="17"/>
        <v>51.340398635142975</v>
      </c>
      <c r="AS38" s="4" t="s">
        <v>418</v>
      </c>
    </row>
    <row r="39" spans="21:47" x14ac:dyDescent="0.15">
      <c r="AR39" t="s">
        <v>415</v>
      </c>
      <c r="AS39" s="111">
        <f>(AP36-R9)/Q9</f>
        <v>4.1995761276851544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2.7869321510126324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4.1942425465616022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52.114768212132461</v>
      </c>
      <c r="AG43" s="53">
        <f t="shared" ref="AG43:AM43" si="19">$W$5+X43</f>
        <v>50.114768212132461</v>
      </c>
      <c r="AH43" s="53">
        <f t="shared" si="19"/>
        <v>38.114768212132461</v>
      </c>
      <c r="AI43" s="53">
        <f t="shared" si="19"/>
        <v>32.114768212132461</v>
      </c>
      <c r="AJ43" s="53">
        <f t="shared" si="19"/>
        <v>28.114768212132461</v>
      </c>
      <c r="AK43" s="53">
        <f t="shared" si="19"/>
        <v>23.114768212132461</v>
      </c>
      <c r="AL43" s="53">
        <f t="shared" si="19"/>
        <v>13.114768212132461</v>
      </c>
      <c r="AM43" s="53">
        <f t="shared" si="19"/>
        <v>8.1147682121324607</v>
      </c>
      <c r="AN43" s="5">
        <f t="array" ref="AN43">10*LOG10(SUM(10^(AF43:AM43/10)))</f>
        <v>54.383791482936147</v>
      </c>
      <c r="AO43" s="5">
        <f t="array" ref="AO43">10*LOG10(SUM(10^((AF43:AM43+AF46:AM46)/10)))</f>
        <v>37.429398946035136</v>
      </c>
      <c r="AP43" t="str">
        <f>IF(ABS(W5-AO43)&lt;0.5,"OK","Tarkista laskenta!")</f>
        <v>OK</v>
      </c>
    </row>
    <row r="44" spans="21:47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60.684900992146197</v>
      </c>
      <c r="AG44" s="53">
        <f t="shared" ref="AG44:AM44" si="20">$W$6+X44</f>
        <v>62.684900992146197</v>
      </c>
      <c r="AH44" s="53">
        <f t="shared" si="20"/>
        <v>53.684900992146197</v>
      </c>
      <c r="AI44" s="53">
        <f t="shared" si="20"/>
        <v>50.684900992146197</v>
      </c>
      <c r="AJ44" s="53">
        <f t="shared" si="20"/>
        <v>49.684900992146197</v>
      </c>
      <c r="AK44" s="53">
        <f t="shared" si="20"/>
        <v>44.684900992146197</v>
      </c>
      <c r="AL44" s="53">
        <f t="shared" si="20"/>
        <v>40.684900992146197</v>
      </c>
      <c r="AM44" s="53">
        <f t="shared" si="20"/>
        <v>38.684900992146197</v>
      </c>
      <c r="AN44" s="5">
        <f t="array" ref="AN44">10*LOG10(SUM(10^(AF44:AM44/10)))</f>
        <v>65.463751393925008</v>
      </c>
      <c r="AO44" s="5">
        <f t="array" ref="AO44">10*LOG10(SUM(10^((AF44:AM44+AF46:AM46)/10)))</f>
        <v>54.607325138590745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61.46301655516735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77.528504257517298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59.847955165537485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76.908671364808171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59.60324990792347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76.047700915742439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55.180127625054297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73.511285067098768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54.58255723389393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72.664795066717588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53.996925841307984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71.791570882072492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51.860993325353874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67.049430001643231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49.10606003291575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66.763645146065514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48.795395051451763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66.087672314247342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43.044068150520317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57.600772611775369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39.705549275261099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57.11773992200051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39.333282709740445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56.646239363949576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15">
      <c r="P1" t="s">
        <v>518</v>
      </c>
    </row>
    <row r="2" spans="2:38" x14ac:dyDescent="0.15">
      <c r="C2" s="2" t="s">
        <v>59</v>
      </c>
      <c r="J2" t="s">
        <v>15</v>
      </c>
      <c r="P2" s="259">
        <f t="array" ref="P2:R2">LINEST(AL34:AL37,AC34:AC37^{1,2})</f>
        <v>2.8909014745188328E-2</v>
      </c>
      <c r="Q2" s="259">
        <v>0.2718827323714994</v>
      </c>
      <c r="R2" s="259">
        <v>8.2441978347239342</v>
      </c>
      <c r="V2" t="s">
        <v>519</v>
      </c>
      <c r="W2" s="84">
        <f>P2*J3^2+Q2*J3+R2</f>
        <v>77.874823469031625</v>
      </c>
      <c r="X2" t="s">
        <v>14</v>
      </c>
    </row>
    <row r="3" spans="2:38" x14ac:dyDescent="0.15">
      <c r="J3" s="7">
        <f>'R-series'!G33</f>
        <v>44.6</v>
      </c>
      <c r="K3" t="s">
        <v>13</v>
      </c>
      <c r="L3" s="122">
        <f>'R-series'!G39</f>
        <v>54</v>
      </c>
      <c r="M3" t="s">
        <v>14</v>
      </c>
      <c r="P3" t="s">
        <v>34</v>
      </c>
      <c r="AA3" s="2" t="s">
        <v>53</v>
      </c>
    </row>
    <row r="4" spans="2:38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15">
      <c r="C5" t="s">
        <v>2</v>
      </c>
      <c r="D5" s="1"/>
      <c r="E5" s="1"/>
      <c r="H5" s="1"/>
      <c r="P5" s="52">
        <f t="array" ref="P5:Q5">LINEST(AF34:AF37,LN(AC34:AC37))</f>
        <v>18.604808205084819</v>
      </c>
      <c r="Q5" s="52">
        <v>-34.874247063712069</v>
      </c>
      <c r="R5" t="s">
        <v>8</v>
      </c>
      <c r="T5" s="4"/>
      <c r="U5" s="39" t="s">
        <v>43</v>
      </c>
      <c r="V5" t="s">
        <v>8</v>
      </c>
      <c r="W5" s="9">
        <f>$P$5*LN($J$3)+$Q$5</f>
        <v>35.781862997423623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15">
      <c r="C6" s="2" t="s">
        <v>3</v>
      </c>
      <c r="D6" s="1"/>
      <c r="E6" s="1"/>
      <c r="H6" s="1"/>
      <c r="P6" s="52">
        <f t="array" ref="P6:Q6">LINEST(AG34:AG37,LN(AC34:AC37))</f>
        <v>20.934207556835709</v>
      </c>
      <c r="Q6" s="52">
        <v>-28.315059652244173</v>
      </c>
      <c r="R6" t="s">
        <v>57</v>
      </c>
      <c r="T6" s="4"/>
      <c r="U6" s="39" t="s">
        <v>43</v>
      </c>
      <c r="V6" t="s">
        <v>57</v>
      </c>
      <c r="W6" s="9">
        <f>$P$6*LN($J$3)+$Q$6</f>
        <v>51.187489198229144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16.704554809502866</v>
      </c>
      <c r="R9" s="52">
        <v>-12.839495280394928</v>
      </c>
      <c r="T9" s="111">
        <f>(J3-R9)/Q9</f>
        <v>3.4385528938322154</v>
      </c>
      <c r="U9" s="39" t="s">
        <v>42</v>
      </c>
      <c r="V9" t="s">
        <v>58</v>
      </c>
      <c r="W9" s="125">
        <f>IF($J$3&gt;$AJ$35,AVERAGE(T10,T11,T11),AVERAGE(T9,T9,T11))</f>
        <v>3.4493235372979947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12.455952681371748</v>
      </c>
      <c r="R10" s="52">
        <v>25.397923872785142</v>
      </c>
      <c r="T10" s="111">
        <f>(J3-R10)/Q10</f>
        <v>1.5415983520820644</v>
      </c>
      <c r="W10" t="b">
        <f>IF(AND(W9&lt;=7.51,J3&gt;=W11),TRUE,FALSE)</f>
        <v>1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5.1297226441596621E-5</v>
      </c>
      <c r="R11" s="7">
        <v>5.1691479337036036E-2</v>
      </c>
      <c r="S11" s="7">
        <v>1.0633864548491805</v>
      </c>
      <c r="T11" s="111">
        <f>Q11*J3^2+R11*J3+S11</f>
        <v>3.4708648242295541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1.7473845293839555E-2</v>
      </c>
      <c r="Q13" s="51">
        <v>-1.1988016065286067</v>
      </c>
      <c r="R13" s="51">
        <v>41.38508024129203</v>
      </c>
      <c r="U13" s="39" t="s">
        <v>43</v>
      </c>
      <c r="V13" t="s">
        <v>58</v>
      </c>
      <c r="W13" s="295">
        <f>P18</f>
        <v>23.171215815794739</v>
      </c>
      <c r="X13" t="s">
        <v>49</v>
      </c>
      <c r="Y13" s="129" t="s">
        <v>414</v>
      </c>
    </row>
    <row r="14" spans="2:38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-1.3768476136170177E-5</v>
      </c>
      <c r="Q14">
        <v>2.169531366371702E-2</v>
      </c>
      <c r="R14">
        <v>-1.6019720262513795</v>
      </c>
      <c r="S14">
        <v>53.179622689071273</v>
      </c>
      <c r="V14" t="s">
        <v>52</v>
      </c>
      <c r="W14" s="296">
        <f>IF(W13&gt;Y14,Y14,W13)</f>
        <v>23.171215815794739</v>
      </c>
      <c r="X14" t="s">
        <v>49</v>
      </c>
      <c r="Y14" s="129">
        <v>516</v>
      </c>
      <c r="Z14" t="s">
        <v>49</v>
      </c>
    </row>
    <row r="15" spans="2:38" x14ac:dyDescent="0.1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22.676802694810057</v>
      </c>
      <c r="Q16" t="s">
        <v>49</v>
      </c>
    </row>
    <row r="17" spans="3:4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23.66562893677942</v>
      </c>
      <c r="Q17" t="s">
        <v>49</v>
      </c>
    </row>
    <row r="18" spans="3:4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23.171215815794739</v>
      </c>
      <c r="Q18" t="s">
        <v>49</v>
      </c>
    </row>
    <row r="19" spans="3:4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15">
      <c r="C20" s="2"/>
      <c r="D20" s="2"/>
      <c r="E20" s="2"/>
      <c r="H20" s="1"/>
      <c r="AB20" s="6"/>
      <c r="AC20" s="6"/>
    </row>
    <row r="21" spans="3:42" x14ac:dyDescent="0.15">
      <c r="C21" s="2" t="s">
        <v>12</v>
      </c>
      <c r="D21" s="1"/>
      <c r="E21" s="1"/>
      <c r="H21" s="1"/>
      <c r="AB21" s="6"/>
      <c r="AC21" s="6"/>
    </row>
    <row r="22" spans="3:42" x14ac:dyDescent="0.15">
      <c r="C22" t="s">
        <v>11</v>
      </c>
      <c r="D22" s="1"/>
      <c r="E22" s="1"/>
      <c r="H22" s="1"/>
      <c r="AB22" s="6"/>
      <c r="AC22" s="6"/>
    </row>
    <row r="23" spans="3:42" x14ac:dyDescent="0.15">
      <c r="C23" t="s">
        <v>4</v>
      </c>
      <c r="D23" t="s">
        <v>5</v>
      </c>
      <c r="E23" t="s">
        <v>6</v>
      </c>
      <c r="H23" s="1"/>
    </row>
    <row r="24" spans="3:4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15">
      <c r="G25" s="2"/>
      <c r="H25" s="1"/>
    </row>
    <row r="27" spans="3:42" x14ac:dyDescent="0.15">
      <c r="U27" t="s">
        <v>407</v>
      </c>
    </row>
    <row r="28" spans="3:42" x14ac:dyDescent="0.15">
      <c r="U28" s="4" t="s">
        <v>17</v>
      </c>
    </row>
    <row r="29" spans="3:42" x14ac:dyDescent="0.15">
      <c r="U29" s="4">
        <f>L3/J3^2</f>
        <v>2.7147137485169618E-2</v>
      </c>
      <c r="AP29" s="2" t="s">
        <v>1155</v>
      </c>
    </row>
    <row r="31" spans="3:42" x14ac:dyDescent="0.15">
      <c r="U31" s="2" t="s">
        <v>16</v>
      </c>
      <c r="AP31" s="2" t="s">
        <v>1110</v>
      </c>
    </row>
    <row r="32" spans="3:4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-3.3961106295268065E-2</v>
      </c>
      <c r="Z34" s="28">
        <f>(-W34+SQRT(W34^2-(4*Y34*X34)))/(2*Y34)</f>
        <v>-114.93621346775326</v>
      </c>
      <c r="AA34" s="29">
        <f>(-W34-SQRT(W34^2-(4*Y34*X34)))/(2*Y34)</f>
        <v>149.95745068650263</v>
      </c>
      <c r="AB34" s="36">
        <f>AB6</f>
        <v>296.29699977143565</v>
      </c>
      <c r="AC34" s="53">
        <f>IF(Z34&lt;0,AA34,IF(Z34&gt;AB34,AA34,Z34))</f>
        <v>149.95745068650263</v>
      </c>
      <c r="AD34" s="53">
        <f>V34*AC34^2+W34*AC34+X34</f>
        <v>610.46411494566701</v>
      </c>
      <c r="AE34" s="53">
        <f>X51*AC34^2+Y51*AC34+Z51</f>
        <v>254.39056803317524</v>
      </c>
      <c r="AF34" s="53">
        <f>AVERAGE(K61:K62,K61)</f>
        <v>58.714345219568912</v>
      </c>
      <c r="AG34" s="53">
        <f>AVERAGE(U61:U62,U61)</f>
        <v>76.769936267264811</v>
      </c>
      <c r="AI34">
        <v>10</v>
      </c>
      <c r="AJ34" s="3">
        <f>AC34</f>
        <v>149.95745068650263</v>
      </c>
      <c r="AL34">
        <f>AN52*AC34^2+AO52*AC34+AP52</f>
        <v>700.56589595263733</v>
      </c>
      <c r="AM34" t="s">
        <v>14</v>
      </c>
      <c r="AP34" s="618">
        <f>AC38/$J$3-1</f>
        <v>1.5185686615282936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-3.2345346939040426E-2</v>
      </c>
      <c r="Z35" s="28">
        <f t="shared" ref="Z35:Z37" si="4">(-W35+SQRT(W35^2-(4*Y35*X35)))/(2*Y35)</f>
        <v>-107.9322675246656</v>
      </c>
      <c r="AA35" s="29">
        <f t="shared" ref="AA35:AA37" si="5">(-W35-SQRT(W35^2-(4*Y35*X35)))/(2*Y35)</f>
        <v>121.21031277492094</v>
      </c>
      <c r="AB35" s="36">
        <f>AD6</f>
        <v>296.29699977143565</v>
      </c>
      <c r="AC35" s="53">
        <f t="shared" ref="AC35:AC38" si="6">IF(Z35&lt;0,AA35,IF(Z35&gt;AB35,AA35,Z35))</f>
        <v>121.21031277492094</v>
      </c>
      <c r="AD35" s="53">
        <f>V35*AC35^2+W35*AC35+X35</f>
        <v>398.84411301337485</v>
      </c>
      <c r="AE35" s="53">
        <f t="shared" ref="AE35:AE37" si="7">X52*AC35^2+Y52*AC35+Z52</f>
        <v>153.23123350627674</v>
      </c>
      <c r="AF35" s="53">
        <f>AVERAGE(K66:K67,K66)</f>
        <v>53.513715349666363</v>
      </c>
      <c r="AG35" s="53">
        <f>AVERAGE(U66:U67,U66)</f>
        <v>71.743113991983364</v>
      </c>
      <c r="AI35">
        <v>9</v>
      </c>
      <c r="AJ35" s="3">
        <f>Q9*AI35+R9</f>
        <v>137.50149800513088</v>
      </c>
      <c r="AL35">
        <f t="shared" ref="AL35:AL37" si="8">AN53*AC35^2+AO53*AC35+AP53</f>
        <v>462.08982449798731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-3.2554759530807692E-2</v>
      </c>
      <c r="Z36" s="28">
        <f t="shared" si="4"/>
        <v>-74.73860024485397</v>
      </c>
      <c r="AA36" s="29">
        <f t="shared" si="5"/>
        <v>86.561094418036447</v>
      </c>
      <c r="AB36" s="36">
        <f>AF6</f>
        <v>231.45482058174542</v>
      </c>
      <c r="AC36" s="53">
        <f t="shared" si="6"/>
        <v>86.561094418036447</v>
      </c>
      <c r="AD36" s="53">
        <f>V36*AC36^2+W36*AC36+X36</f>
        <v>203.40869794777888</v>
      </c>
      <c r="AE36" s="53">
        <f t="shared" si="7"/>
        <v>68.14026338257375</v>
      </c>
      <c r="AF36" s="53">
        <f>AVERAGE(K71:K72,K71)</f>
        <v>48.806030071581283</v>
      </c>
      <c r="AG36" s="53">
        <f>AVERAGE(U71:U72,U71)</f>
        <v>65.284212536754453</v>
      </c>
      <c r="AI36">
        <v>8</v>
      </c>
      <c r="AJ36" s="3">
        <f>AC35</f>
        <v>121.21031277492094</v>
      </c>
      <c r="AL36">
        <f t="shared" si="8"/>
        <v>252.00448813845148</v>
      </c>
      <c r="AM36" t="s">
        <v>14</v>
      </c>
      <c r="AP36" s="279">
        <f>Tulokset!$CS$16</f>
        <v>53.52</v>
      </c>
      <c r="AQ36" t="s">
        <v>13</v>
      </c>
      <c r="AS36" s="629">
        <f>IF($AP$36&gt;$AJ$35,AVERAGE(AS40,AS41,AS41),AVERAGE(AS39,AS39,AS41))</f>
        <v>3.9739758968741987</v>
      </c>
      <c r="AT36" t="s">
        <v>25</v>
      </c>
    </row>
    <row r="37" spans="21:47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-3.1984062419620464E-2</v>
      </c>
      <c r="Z37" s="30">
        <f t="shared" si="4"/>
        <v>-51.6870692364839</v>
      </c>
      <c r="AA37" s="31">
        <f t="shared" si="5"/>
        <v>54.392093536909456</v>
      </c>
      <c r="AB37" s="37">
        <f>AH6</f>
        <v>137.79479127749656</v>
      </c>
      <c r="AC37" s="53">
        <f t="shared" si="6"/>
        <v>54.392093536909456</v>
      </c>
      <c r="AD37" s="53">
        <f>V37*AC37^2+W37*AC37+X37</f>
        <v>80.314801888086976</v>
      </c>
      <c r="AE37" s="53">
        <f t="shared" si="7"/>
        <v>28.014982970755362</v>
      </c>
      <c r="AF37" s="53">
        <f>AVERAGE(K76:K77,K76)</f>
        <v>39.284775763307032</v>
      </c>
      <c r="AG37" s="53">
        <f>AVERAGE(U76:U77,U76)</f>
        <v>55.304711315396467</v>
      </c>
      <c r="AI37">
        <v>6</v>
      </c>
      <c r="AJ37" s="3">
        <f t="shared" ref="AJ37:AJ38" si="9">AC36</f>
        <v>86.561094418036447</v>
      </c>
      <c r="AL37">
        <f t="shared" si="8"/>
        <v>107.3159754445777</v>
      </c>
      <c r="AM37" t="s">
        <v>14</v>
      </c>
      <c r="AP37" s="279">
        <f>Tulokset!$CS$17</f>
        <v>77.760000000000005</v>
      </c>
      <c r="AQ37" t="s">
        <v>14</v>
      </c>
    </row>
    <row r="38" spans="21:47" x14ac:dyDescent="0.15">
      <c r="U38" s="641">
        <v>7.5</v>
      </c>
      <c r="V38" s="635">
        <f>C15</f>
        <v>-5.3124999999999943E-3</v>
      </c>
      <c r="W38" s="636">
        <f t="shared" ref="W38:X38" si="10">D15</f>
        <v>0.44481060606060391</v>
      </c>
      <c r="X38" s="637">
        <f t="shared" si="10"/>
        <v>359.59848484848504</v>
      </c>
      <c r="Y38" s="638">
        <f>C15-U29</f>
        <v>-3.2459637485169612E-2</v>
      </c>
      <c r="Z38" s="639">
        <f>(-W38+SQRT(W38^2-(4*Y38*X38)))/(2*Y38)</f>
        <v>-98.624663419929675</v>
      </c>
      <c r="AA38" s="640">
        <f t="shared" ref="AA38" si="11">(-W38-SQRT(W38^2-(4*Y38*X38)))/(2*Y38)</f>
        <v>112.32816230416189</v>
      </c>
      <c r="AB38" s="638">
        <f>AD6</f>
        <v>296.29699977143565</v>
      </c>
      <c r="AC38" s="53">
        <f t="shared" si="6"/>
        <v>112.32816230416189</v>
      </c>
      <c r="AD38" s="53">
        <f>V38*AC38^2+W38*AC38+X38</f>
        <v>342.53215755295065</v>
      </c>
      <c r="AE38" s="2" t="s">
        <v>1156</v>
      </c>
      <c r="AI38">
        <v>4</v>
      </c>
      <c r="AJ38" s="3">
        <f t="shared" si="9"/>
        <v>54.392093536909456</v>
      </c>
      <c r="AS38" s="4" t="s">
        <v>418</v>
      </c>
    </row>
    <row r="39" spans="21:47" x14ac:dyDescent="0.15">
      <c r="AR39" t="s">
        <v>415</v>
      </c>
      <c r="AS39" s="111">
        <f>(AP36-R9)/Q9</f>
        <v>3.9725389893446557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2.2577218175589469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3.9768497119332848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51.781862997423623</v>
      </c>
      <c r="AG43" s="53">
        <f t="shared" ref="AG43:AM43" si="12">$W$5+X43</f>
        <v>48.781862997423623</v>
      </c>
      <c r="AH43" s="53">
        <f t="shared" si="12"/>
        <v>35.781862997423623</v>
      </c>
      <c r="AI43" s="53">
        <f t="shared" si="12"/>
        <v>31.781862997423623</v>
      </c>
      <c r="AJ43" s="53">
        <f t="shared" si="12"/>
        <v>26.781862997423623</v>
      </c>
      <c r="AK43" s="53">
        <f t="shared" si="12"/>
        <v>21.781862997423623</v>
      </c>
      <c r="AL43" s="53">
        <f t="shared" si="12"/>
        <v>12.781862997423623</v>
      </c>
      <c r="AM43" s="53">
        <f t="shared" si="12"/>
        <v>3.7818629974236231</v>
      </c>
      <c r="AN43" s="5">
        <f t="array" ref="AN43">10*LOG10(SUM(10^(AF43:AM43/10)))</f>
        <v>53.658790452574834</v>
      </c>
      <c r="AO43" s="5">
        <f t="array" ref="AO43">10*LOG10(SUM(10^((AF43:AM43+AF46:AM46)/10)))</f>
        <v>36.191979082143682</v>
      </c>
      <c r="AP43" t="str">
        <f>IF(ABS(W5-AO43)&lt;0.5,"OK","Tarkista laskenta!")</f>
        <v>OK</v>
      </c>
    </row>
    <row r="44" spans="21:47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59.187489198229144</v>
      </c>
      <c r="AG44" s="53">
        <f t="shared" ref="AG44:AM44" si="13">$W$6+X44</f>
        <v>59.187489198229144</v>
      </c>
      <c r="AH44" s="53">
        <f t="shared" si="13"/>
        <v>50.187489198229144</v>
      </c>
      <c r="AI44" s="53">
        <f t="shared" si="13"/>
        <v>47.187489198229144</v>
      </c>
      <c r="AJ44" s="53">
        <f t="shared" si="13"/>
        <v>46.187489198229144</v>
      </c>
      <c r="AK44" s="53">
        <f t="shared" si="13"/>
        <v>41.187489198229144</v>
      </c>
      <c r="AL44" s="53">
        <f t="shared" si="13"/>
        <v>37.187489198229144</v>
      </c>
      <c r="AM44" s="53">
        <f t="shared" si="13"/>
        <v>35.187489198229144</v>
      </c>
      <c r="AN44" s="5">
        <f t="array" ref="AN44">10*LOG10(SUM(10^(AF44:AM44/10)))</f>
        <v>62.738644024613698</v>
      </c>
      <c r="AO44" s="5">
        <f t="array" ref="AO44">10*LOG10(SUM(10^((AF44:AM44+AF46:AM46)/10)))</f>
        <v>51.134538932272818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61.102793085083704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76.986456909746352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58.874202851575966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77.137478520109724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58.394629955554791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76.03485176157497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55.791550155192091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71.896807031615211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53.76253546557259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72.189373704924378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53.016075117853894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70.850594566101336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51.489493636928785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66.440234588541415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48.916888889246202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65.675934018457795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48.584312436251437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64.500769573347753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41.147953087806584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56.526046193703031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39.428567475588224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55.659480479961132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38.997192338744654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54.595172986267123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5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5" t="s">
        <v>430</v>
      </c>
      <c r="AG3" s="1507" t="s">
        <v>431</v>
      </c>
    </row>
    <row r="4" spans="2:43" x14ac:dyDescent="0.15">
      <c r="B4" t="s">
        <v>7</v>
      </c>
      <c r="C4" s="314">
        <f>Tulokset!E37</f>
        <v>5.2606981527034833</v>
      </c>
      <c r="D4" t="s">
        <v>25</v>
      </c>
      <c r="E4" s="313">
        <f>'R-series'!E39/'R-series'!E33^2</f>
        <v>2.9990019714750661E-2</v>
      </c>
      <c r="F4" s="313">
        <f>AVERAGE(E4:E5)</f>
        <v>2.8568578599960141E-2</v>
      </c>
      <c r="K4" s="1510" t="s">
        <v>432</v>
      </c>
      <c r="L4" s="1448" t="s">
        <v>433</v>
      </c>
      <c r="M4" s="1448" t="s">
        <v>434</v>
      </c>
      <c r="N4" s="1448" t="s">
        <v>435</v>
      </c>
      <c r="O4" s="1448" t="s">
        <v>436</v>
      </c>
      <c r="P4" s="1448" t="s">
        <v>437</v>
      </c>
      <c r="Q4" s="1504" t="s">
        <v>438</v>
      </c>
      <c r="R4" s="1504" t="s">
        <v>439</v>
      </c>
      <c r="S4" s="1504" t="s">
        <v>440</v>
      </c>
      <c r="T4" s="1504" t="s">
        <v>441</v>
      </c>
      <c r="U4" s="1504" t="s">
        <v>442</v>
      </c>
      <c r="V4" s="1504" t="s">
        <v>443</v>
      </c>
      <c r="W4" s="1506"/>
      <c r="X4" s="1503" t="s">
        <v>61</v>
      </c>
      <c r="Y4" s="1503" t="s">
        <v>62</v>
      </c>
      <c r="Z4" s="1503" t="s">
        <v>63</v>
      </c>
      <c r="AA4" s="1503" t="s">
        <v>64</v>
      </c>
      <c r="AB4" s="1503" t="s">
        <v>65</v>
      </c>
      <c r="AC4" s="1503" t="s">
        <v>66</v>
      </c>
      <c r="AD4" s="1503" t="s">
        <v>67</v>
      </c>
      <c r="AE4" s="1503" t="s">
        <v>68</v>
      </c>
      <c r="AF4" s="1506"/>
      <c r="AG4" s="1508"/>
    </row>
    <row r="5" spans="2:43" x14ac:dyDescent="0.15">
      <c r="B5" t="s">
        <v>8</v>
      </c>
      <c r="C5" s="314">
        <f>Tulokset!H37</f>
        <v>4.5864116691067442</v>
      </c>
      <c r="D5" t="s">
        <v>25</v>
      </c>
      <c r="E5" s="313">
        <f>'R-series'!G39/'R-series'!G33^2</f>
        <v>2.7147137485169618E-2</v>
      </c>
      <c r="K5" s="1510"/>
      <c r="L5" s="1448"/>
      <c r="M5" s="1448"/>
      <c r="N5" s="1448"/>
      <c r="O5" s="1448"/>
      <c r="P5" s="1448"/>
      <c r="Q5" s="1504"/>
      <c r="R5" s="1504"/>
      <c r="S5" s="1504"/>
      <c r="T5" s="1504"/>
      <c r="U5" s="1504"/>
      <c r="V5" s="1504"/>
      <c r="W5" s="1506"/>
      <c r="X5" s="1503"/>
      <c r="Y5" s="1503"/>
      <c r="Z5" s="1503"/>
      <c r="AA5" s="1503"/>
      <c r="AB5" s="1503"/>
      <c r="AC5" s="1503"/>
      <c r="AD5" s="1503"/>
      <c r="AE5" s="1503"/>
      <c r="AF5" s="1503"/>
      <c r="AG5" s="1509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-1.3098627911144507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5.2606981527034833</v>
      </c>
      <c r="D15" t="s">
        <v>25</v>
      </c>
      <c r="E15" s="82" t="s">
        <v>42</v>
      </c>
      <c r="F15" s="5">
        <f>C11*LN(C15)+D11</f>
        <v>39.679339155770535</v>
      </c>
      <c r="G15" t="s">
        <v>31</v>
      </c>
      <c r="H15" s="3">
        <f>F15+F12</f>
        <v>38.679339155770535</v>
      </c>
      <c r="I15" t="s">
        <v>31</v>
      </c>
    </row>
    <row r="16" spans="2:43" x14ac:dyDescent="0.15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C11*LN(C16)+D11</f>
        <v>38.738003130214246</v>
      </c>
      <c r="G16" t="s">
        <v>31</v>
      </c>
      <c r="H16" s="3">
        <f>F16+F12</f>
        <v>37.738003130214246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>
        <f>'R-series'!N55</f>
        <v>48.991849262605832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>
        <f>ABS(D21-D22)</f>
        <v>3.0623439613788719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>
        <f>'R-series'!N56</f>
        <v>61.131940217930122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>
        <f>ABS(D25-D26)</f>
        <v>2.0349018717580236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2.5486229165684477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0.52695830397018284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39.206297459740718</v>
      </c>
      <c r="D32" t="s">
        <v>31</v>
      </c>
    </row>
    <row r="33" spans="2:23" x14ac:dyDescent="0.15">
      <c r="B33" t="s">
        <v>95</v>
      </c>
      <c r="C33" s="3">
        <f>H15-2.6</f>
        <v>36.079339155770533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37.738003130214246</v>
      </c>
      <c r="D35" s="2" t="s">
        <v>31</v>
      </c>
      <c r="F35" s="5">
        <f>C35+10*LOG10(4/10)</f>
        <v>33.758603043493871</v>
      </c>
      <c r="G35" s="5">
        <f>C35+10*LOG10(4/2.5)</f>
        <v>39.779202956773496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55.738003130214246</v>
      </c>
      <c r="M39" s="86">
        <f t="shared" ref="M39:S39" si="15">$C$35+D39</f>
        <v>49.738003130214246</v>
      </c>
      <c r="N39" s="86">
        <f t="shared" si="15"/>
        <v>40.738003130214246</v>
      </c>
      <c r="O39" s="86">
        <f t="shared" si="15"/>
        <v>27.738003130214246</v>
      </c>
      <c r="P39" s="86">
        <f t="shared" si="15"/>
        <v>23.738003130214246</v>
      </c>
      <c r="Q39" s="86">
        <f t="shared" si="15"/>
        <v>19.738003130214246</v>
      </c>
      <c r="R39" s="86">
        <f t="shared" si="15"/>
        <v>19.738003130214246</v>
      </c>
      <c r="S39" s="86">
        <f t="shared" si="15"/>
        <v>18.738003130214246</v>
      </c>
      <c r="T39" s="5">
        <f t="array" ref="T39">10*LOG10(SUM(10^(L39:S39/10)))</f>
        <v>56.829498113859039</v>
      </c>
      <c r="U39" s="5">
        <f t="array" ref="U39">10*LOG10(SUM(10^((L39:S39+L41:S41)/10)))</f>
        <v>37.53401411301769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'R-series'!E33</f>
        <v>45.1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-0.67934918204429251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17.141976815181213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0</v>
      </c>
      <c r="F17" t="b">
        <f>IF(I17&gt;I16,TRUE,FALSE)</f>
        <v>0</v>
      </c>
      <c r="H17" s="234" t="s">
        <v>492</v>
      </c>
      <c r="I17" s="235">
        <f>(I13+AVERAGE(I8:I9))*2-I10</f>
        <v>5.2839536303624257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5.4934954233559997E-3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-4.6413204651466486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6.8703167361480327E-2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3.9111325588497572E-2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4.4765027915766351E-2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976.71993183291931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-0.67934918204429251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-0.67934918204429251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25.283953630362426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-4.6413204651466486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-6.7420857022910088</v>
      </c>
      <c r="S26" s="233">
        <v>200</v>
      </c>
      <c r="T26" s="376">
        <f>Q26</f>
        <v>-6.7420857022910088</v>
      </c>
      <c r="AC26" s="364"/>
    </row>
    <row r="27" spans="3:29" ht="15" x14ac:dyDescent="0.15">
      <c r="H27" s="234" t="s">
        <v>498</v>
      </c>
      <c r="I27" s="373">
        <f>I7/4186/(I25-I26)</f>
        <v>-5.2087570144280948E-2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-6.5785737229631378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3.5161969927418628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-2.1447397659435818E-2</v>
      </c>
      <c r="T29">
        <v>-1.1751301484529515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-0.42444770621993677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-9260.946635973487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1.9198212104212152E-4</v>
      </c>
      <c r="T31">
        <v>-8.8966533449673479E-2</v>
      </c>
      <c r="U31">
        <v>2.9573663553350888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-6.5785737229631378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6.2113846789321324E-2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6.2461474736282024E-2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446A-EC39-4D58-9F5A-3A632E2D7998}">
  <sheetPr>
    <pageSetUpPr fitToPage="1"/>
  </sheetPr>
  <dimension ref="B2:AG127"/>
  <sheetViews>
    <sheetView showGridLines="0" zoomScale="80" zoomScaleNormal="80" zoomScaleSheetLayoutView="25" workbookViewId="0">
      <selection activeCell="E44" sqref="E44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32" width="9.1640625" style="88"/>
    <col min="33" max="33" width="171" style="88" customWidth="1"/>
    <col min="34" max="16384" width="9.1640625" style="88"/>
  </cols>
  <sheetData>
    <row r="2" spans="2:33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INDEX(KirjastoC!D4:K125,1,KirjastoC!B4)</f>
        <v>Versio 7.1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7.1</v>
      </c>
      <c r="AF2" s="88" t="str">
        <f>'C-selection'!AK2</f>
        <v>VALITTU MALLI JA KOODIAVAIN:</v>
      </c>
    </row>
    <row r="3" spans="2:33" ht="27" customHeight="1" x14ac:dyDescent="0.15">
      <c r="B3" s="12"/>
      <c r="C3" s="838" t="str" cm="1">
        <f t="array" ref="C3">INDEX(KirjastoC!D4:K125,2,KirjastoC!B4)</f>
        <v>Airfi: C-sarjan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408" t="str" cm="1">
        <f t="array" ref="R3">INDEX(KirjastoC!D4:K125,72,KirjastoC!B4)</f>
        <v>Ilmanvaihdon poistoilman lämmöntalteenoton vuosihyötysuhteen laskenta</v>
      </c>
      <c r="S3" s="1408"/>
      <c r="T3" s="1408"/>
      <c r="U3" s="1408"/>
      <c r="V3" s="1408"/>
      <c r="W3" s="1408"/>
      <c r="X3" s="1408"/>
      <c r="Y3" s="1408"/>
      <c r="Z3" s="1408"/>
      <c r="AA3" s="1408"/>
      <c r="AB3" s="1408"/>
      <c r="AC3" s="143"/>
      <c r="AD3" s="24"/>
      <c r="AF3" s="1477" t="str">
        <f>'C-selection'!AK3</f>
        <v>Airfi Model C5 Electric</v>
      </c>
      <c r="AG3" s="1478"/>
    </row>
    <row r="4" spans="2:33" ht="18" customHeight="1" x14ac:dyDescent="0.15">
      <c r="B4" s="12"/>
      <c r="C4" s="2" t="str" cm="1">
        <f t="array" ref="C4">CONCATENATE(INDEX(KirjastoC!D4:K125,3,KirjastoC!B4)," ",'C-selection'!G6)</f>
        <v>Kohde: TK01</v>
      </c>
      <c r="D4" s="1469"/>
      <c r="E4" s="1469"/>
      <c r="F4" s="1469"/>
      <c r="G4" s="1469"/>
      <c r="H4" s="1469"/>
      <c r="I4" s="1469"/>
      <c r="J4"/>
      <c r="K4"/>
      <c r="L4"/>
      <c r="M4"/>
      <c r="N4"/>
      <c r="O4" s="24"/>
      <c r="Q4" s="12"/>
      <c r="R4" s="267" t="str" cm="1">
        <f t="array" ref="R4">INDEX(KirjastoC!D4:K200,140,KirjastoC!B4)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  <c r="AF4" s="1058" t="str">
        <f>'C-selection'!AK4</f>
        <v>Koodi:</v>
      </c>
      <c r="AG4" s="1059" t="str">
        <f>'C-selection'!AL4</f>
        <v>20051165121000000008009</v>
      </c>
    </row>
    <row r="5" spans="2:33" ht="18.75" customHeight="1" x14ac:dyDescent="0.15">
      <c r="B5" s="12"/>
      <c r="C5" s="2" t="str" cm="1">
        <f t="array" ref="C5">CONCATENATE(INDEX(KirjastoC!D4:K125,4,KirjastoC!B4)," ",'C-selection'!G7)</f>
        <v xml:space="preserve">Suunnittelija: </v>
      </c>
      <c r="D5" s="1469"/>
      <c r="E5" s="1469"/>
      <c r="F5" s="1469"/>
      <c r="G5" s="1469"/>
      <c r="H5" s="1469"/>
      <c r="I5" s="1469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  <c r="AF5" s="1060" t="str">
        <f>'C-selection'!AK5</f>
        <v>Sisältökuvaus:</v>
      </c>
      <c r="AG5" s="1061"/>
    </row>
    <row r="6" spans="2:33" ht="18.75" customHeight="1" x14ac:dyDescent="0.15">
      <c r="B6" s="12"/>
      <c r="C6"/>
      <c r="D6"/>
      <c r="E6"/>
      <c r="F6" s="393" t="str" cm="1">
        <f t="array" ref="F6">IF(TuloksetC!BD2,IF(TuloksetC!BD3=FALSE,INDEX(KirjastoC!D4:K136,128,KirjastoC!B4),""),"")</f>
        <v/>
      </c>
      <c r="G6"/>
      <c r="H6"/>
      <c r="I6"/>
      <c r="J6"/>
      <c r="K6"/>
      <c r="L6"/>
      <c r="M6"/>
      <c r="N6"/>
      <c r="O6" s="24"/>
      <c r="Q6" s="12"/>
      <c r="R6" s="1417" t="str">
        <f>C4</f>
        <v>Kohde: TK01</v>
      </c>
      <c r="S6" s="1417"/>
      <c r="T6" s="1417"/>
      <c r="U6" s="1417"/>
      <c r="V6" s="143"/>
      <c r="W6" s="143"/>
      <c r="X6" s="143"/>
      <c r="Y6" s="143"/>
      <c r="Z6" s="143"/>
      <c r="AA6" s="143"/>
      <c r="AB6" s="143"/>
      <c r="AC6" s="143"/>
      <c r="AD6" s="24"/>
      <c r="AF6" s="1093" t="s">
        <v>4</v>
      </c>
      <c r="AG6" s="1092" t="str">
        <f>'C-selection'!AL6</f>
        <v>2 = C = Commercial AHU, LTO-Vastavirtasiirrin</v>
      </c>
    </row>
    <row r="7" spans="2:33" ht="18" customHeight="1" x14ac:dyDescent="0.2">
      <c r="B7" s="12"/>
      <c r="C7" s="982" t="str" cm="1">
        <f t="array" ref="C7">INDEX(KirjastoC!D4:K125,5,KirjastoC!B4)</f>
        <v>Valitse malli erillisellä välilehdellä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417" t="str">
        <f>C5</f>
        <v xml:space="preserve">Suunnittelija: </v>
      </c>
      <c r="S7" s="1417"/>
      <c r="T7" s="1417"/>
      <c r="U7" s="1417"/>
      <c r="V7" s="143"/>
      <c r="W7" s="268"/>
      <c r="X7" s="145" t="str" cm="1">
        <f t="array" ref="X7">INDEX(KirjastoC!D4:K125,74,KirjastoC!B4)</f>
        <v>= syötettävä solu</v>
      </c>
      <c r="Y7" s="143"/>
      <c r="Z7" s="143"/>
      <c r="AA7" s="143"/>
      <c r="AB7" s="143"/>
      <c r="AC7" s="143"/>
      <c r="AD7" s="24"/>
      <c r="AF7" s="1093" t="s">
        <v>2158</v>
      </c>
      <c r="AG7" s="1092" t="str">
        <f>'C-selection'!AL7</f>
        <v>005, 500dm³/s…1800m³/h   (Kone: Airfi Model C5 Electric, 230VAC 50Hz 16A, max ottoteho 2 kW  /  Airfi Model C5 Water, 230VAC 50Hz 16A, max ottoteho 2 kW )</v>
      </c>
    </row>
    <row r="8" spans="2:33" ht="18" customHeight="1" x14ac:dyDescent="0.2">
      <c r="B8" s="12"/>
      <c r="C8" s="1382" t="str">
        <f>'C koodit'!C125</f>
        <v>Airfi Model C5 Electric</v>
      </c>
      <c r="D8"/>
      <c r="E8" s="1391" t="str">
        <f>AF4</f>
        <v>Koodi:</v>
      </c>
      <c r="F8" s="83" t="str">
        <f>AG4</f>
        <v>20051165121000000008009</v>
      </c>
      <c r="G8"/>
      <c r="H8"/>
      <c r="I8"/>
      <c r="J8" s="394"/>
      <c r="K8"/>
      <c r="L8"/>
      <c r="M8"/>
      <c r="N8"/>
      <c r="O8" s="24"/>
      <c r="Q8" s="12"/>
      <c r="R8" s="1091"/>
      <c r="S8" s="1091"/>
      <c r="T8" s="1091"/>
      <c r="U8" s="1091"/>
      <c r="V8" s="1091"/>
      <c r="W8" s="1091"/>
      <c r="X8" s="1091"/>
      <c r="Y8" s="1091"/>
      <c r="Z8" s="143"/>
      <c r="AA8" s="143"/>
      <c r="AB8" s="143"/>
      <c r="AC8" s="143"/>
      <c r="AD8" s="24"/>
      <c r="AF8" s="1093" t="s">
        <v>6</v>
      </c>
      <c r="AG8" s="1092" t="str">
        <f>'C-selection'!AL8</f>
        <v>1 = R = oikea (jäteilma oikeassa reunassa huoltosuunnasta katsoen), Vakiotoimitus, jos ei muuta pyydetty</v>
      </c>
    </row>
    <row r="9" spans="2:33" ht="19.5" customHeight="1" x14ac:dyDescent="0.15">
      <c r="B9" s="12"/>
      <c r="C9" s="1082"/>
      <c r="D9"/>
      <c r="E9"/>
      <c r="F9"/>
      <c r="G9"/>
      <c r="H9"/>
      <c r="I9"/>
      <c r="J9"/>
      <c r="K9"/>
      <c r="L9"/>
      <c r="M9"/>
      <c r="N9"/>
      <c r="O9" s="24"/>
      <c r="Q9" s="12"/>
      <c r="R9" s="1470" t="str" cm="1">
        <f t="array" ref="R9">INDEX(KirjastoC!D4:K125,75,KirjastoC!B4)</f>
        <v>Laskennan lähtöarvot:</v>
      </c>
      <c r="S9" s="148"/>
      <c r="T9" s="148"/>
      <c r="U9" s="149"/>
      <c r="V9" s="143"/>
      <c r="W9" s="1472" t="str" cm="1">
        <f t="array" ref="W9">INDEX(KirjastoC!D4:K125,96,KirjastoC!B4)</f>
        <v>Ulkoilman lämpötila [°C]</v>
      </c>
      <c r="X9" s="1472" t="str" cm="1">
        <f t="array" ref="X9">INDEX(KirjastoC!D4:K125,97,KirjastoC!B4)</f>
        <v>Aika vuodessa</v>
      </c>
      <c r="Y9" s="1472" t="str" cm="1">
        <f t="array" ref="Y9">INDEX(KirjastoC!D4:K125,98,KirjastoC!B4)</f>
        <v>Jäteilman lämpötila</v>
      </c>
      <c r="Z9" s="1472" t="str" cm="1">
        <f t="array" ref="Z9">INDEX(KirjastoC!D4:K125,99,KirjastoC!B4)</f>
        <v>Tuloilman lämpötila</v>
      </c>
      <c r="AA9" s="1473" t="s">
        <v>975</v>
      </c>
      <c r="AB9" s="1473" t="s">
        <v>976</v>
      </c>
      <c r="AC9" s="1473" t="s">
        <v>977</v>
      </c>
      <c r="AD9" s="24"/>
      <c r="AF9" s="1093" t="s">
        <v>178</v>
      </c>
      <c r="AG9" s="1092" t="str">
        <f>'C-selection'!AL9</f>
        <v>1 = Airfi automatiikka, valmiina mm. ModBus RTU/TCP . Monipuoliset kytkentä mahdollisuudet jne… Vakiotoimitus jos ei muuta pyydetty.</v>
      </c>
    </row>
    <row r="10" spans="2:33" ht="17.25" customHeight="1" x14ac:dyDescent="0.15">
      <c r="B10" s="12"/>
      <c r="C10"/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1471"/>
      <c r="S10" s="1094" t="str" cm="1">
        <f t="array" ref="S10">IF(OR(T11&gt;'Kojeet ja kennon hyötysuhde_C'!F6,T11&lt;'Kojeet ja kennon hyötysuhde_C'!F5,T12&gt;'Kojeet ja kennon hyötysuhde_C'!F6,T12&lt;'Kojeet ja kennon hyötysuhde_C'!F5),INDEX(KirjastoC!D4:K125,23,KirjastoC!B4),"")</f>
        <v/>
      </c>
      <c r="T10" s="143"/>
      <c r="U10" s="154"/>
      <c r="V10" s="143"/>
      <c r="W10" s="1472"/>
      <c r="X10" s="1472"/>
      <c r="Y10" s="1472"/>
      <c r="Z10" s="1472"/>
      <c r="AA10" s="1473"/>
      <c r="AB10" s="1473"/>
      <c r="AC10" s="1473"/>
      <c r="AD10" s="153"/>
      <c r="AF10" s="1093" t="s">
        <v>179</v>
      </c>
      <c r="AG10" s="1092" t="str">
        <f>'C-selection'!AL10</f>
        <v>6 = ISO ePM1 65%,  (Vakiotoimitus C-koneissa, jos ei valittu muuta) (aiempi luokitus F7 taso)</v>
      </c>
    </row>
    <row r="11" spans="2:33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8" t="str" cm="1">
        <f t="array" ref="R11">INDEX(KirjastoC!D4:K125,76,KirjastoC!B4)</f>
        <v>Tuloilmavirta, LTO:n läpi virtaava</v>
      </c>
      <c r="S11" s="252" t="s">
        <v>215</v>
      </c>
      <c r="T11" s="256">
        <f>E33</f>
        <v>500</v>
      </c>
      <c r="U11" s="154" t="s">
        <v>72</v>
      </c>
      <c r="V11" s="155"/>
      <c r="W11" s="156">
        <f>Laskenta_vuosihyötysuhde_C!F6</f>
        <v>-32</v>
      </c>
      <c r="X11" s="157">
        <f>Laskenta_vuosihyötysuhde_C!G6</f>
        <v>4.7945205479452057E-3</v>
      </c>
      <c r="Y11" s="158">
        <f>Laskenta_vuosihyötysuhde_C!I6</f>
        <v>-6.5</v>
      </c>
      <c r="Z11" s="159">
        <f>Laskenta_vuosihyötysuhde_C!N6</f>
        <v>-4.5</v>
      </c>
      <c r="AA11" s="160">
        <f>Laskenta_vuosihyötysuhde_C!U6</f>
        <v>92.750000000000014</v>
      </c>
      <c r="AB11" s="161">
        <f>Laskenta_vuosihyötysuhde_C!V6</f>
        <v>48.125</v>
      </c>
      <c r="AC11" s="162">
        <f>Laskenta_vuosihyötysuhde_C!W6</f>
        <v>48.125</v>
      </c>
      <c r="AD11" s="24"/>
      <c r="AF11" s="1093" t="s">
        <v>180</v>
      </c>
      <c r="AG11" s="1092" t="str">
        <f>'C-selection'!AL11</f>
        <v>5 = ISO ePM10 50%,  (Vakiotoimitus C-koneissa, jos ei valittu muuta) (aiempi luokitus M5-taso)</v>
      </c>
    </row>
    <row r="12" spans="2:33" ht="16.2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549" t="str" cm="1">
        <f t="array" ref="R12">INDEX(KirjastoC!D4:K125,77,KirjastoC!B4)</f>
        <v>Poistoilmavirta, LTO:n läpi virtaava</v>
      </c>
      <c r="S12" s="255" t="s">
        <v>217</v>
      </c>
      <c r="T12" s="256">
        <f>G33</f>
        <v>500</v>
      </c>
      <c r="U12" s="154" t="s">
        <v>72</v>
      </c>
      <c r="V12" s="155"/>
      <c r="W12" s="163">
        <f>Laskenta_vuosihyötysuhde_C!F7</f>
        <v>-31</v>
      </c>
      <c r="X12" s="164">
        <f>Laskenta_vuosihyötysuhde_C!G7</f>
        <v>6.0502283105022831E-3</v>
      </c>
      <c r="Y12" s="165">
        <f>Laskenta_vuosihyötysuhde_C!I7</f>
        <v>-6.5</v>
      </c>
      <c r="Z12" s="166">
        <f>Laskenta_vuosihyötysuhde_C!N7</f>
        <v>-3.5</v>
      </c>
      <c r="AA12" s="167">
        <f>Laskenta_vuosihyötysuhde_C!U7</f>
        <v>23.833333333333329</v>
      </c>
      <c r="AB12" s="168">
        <f>Laskenta_vuosihyötysuhde_C!V7</f>
        <v>12.604166666666664</v>
      </c>
      <c r="AC12" s="169">
        <f>Laskenta_vuosihyötysuhde_C!W7</f>
        <v>12.604166666666664</v>
      </c>
      <c r="AD12" s="24"/>
      <c r="AF12" s="1093" t="s">
        <v>2159</v>
      </c>
      <c r="AG12" s="1092" t="str">
        <f>'C-selection'!AL12</f>
        <v>12 = Electric, Jälkilämmityspaketti 2: Sulakekoko 400VAC 3x25A, max ottoteho 14,4 kW - Oma jälkilämmityksen syöttö (malleihin C5, Cxx),  Vakiotoimitus konekoossa C5 Electric jos ei muuta pyydetty</v>
      </c>
    </row>
    <row r="13" spans="2:33" ht="16.2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418" t="str" cm="1">
        <f t="array" ref="R13">INDEX(KirjastoC!D4:K125,78,KirjastoC!B4)</f>
        <v>LTO:n läpi virtaavan tulo- ja poistoilmavirran suhde</v>
      </c>
      <c r="S13" s="143"/>
      <c r="T13" s="182"/>
      <c r="U13" s="154"/>
      <c r="V13" s="155"/>
      <c r="W13" s="163">
        <f>Laskenta_vuosihyötysuhde_C!F8</f>
        <v>-30</v>
      </c>
      <c r="X13" s="164">
        <f>Laskenta_vuosihyötysuhde_C!G8</f>
        <v>7.9908675799086754E-3</v>
      </c>
      <c r="Y13" s="165">
        <f>Laskenta_vuosihyötysuhde_C!I8</f>
        <v>-6.5</v>
      </c>
      <c r="Z13" s="166">
        <f>Laskenta_vuosihyötysuhde_C!N8</f>
        <v>-2.5</v>
      </c>
      <c r="AA13" s="167">
        <f>Laskenta_vuosihyötysuhde_C!U8</f>
        <v>36.124999999999993</v>
      </c>
      <c r="AB13" s="168">
        <f>Laskenta_vuosihyötysuhde_C!V8</f>
        <v>19.479166666666661</v>
      </c>
      <c r="AC13" s="169">
        <f>Laskenta_vuosihyötysuhde_C!W8</f>
        <v>19.479166666666661</v>
      </c>
      <c r="AD13" s="24"/>
      <c r="AF13" s="1093" t="s">
        <v>2128</v>
      </c>
      <c r="AG13" s="1092" t="str">
        <f>'C-selection'!AL13</f>
        <v>1 = Electric, Vakiona valitun teholuokan mukaiset varusteet (Huom! Electric malleissa jälkilämmityksen oma sähkönsyöttö)</v>
      </c>
    </row>
    <row r="14" spans="2:33" ht="16.25" customHeight="1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1414"/>
      <c r="S14" s="252" t="s">
        <v>256</v>
      </c>
      <c r="T14" s="265">
        <f>T11/T12</f>
        <v>1</v>
      </c>
      <c r="U14" s="170"/>
      <c r="V14" s="155"/>
      <c r="W14" s="163">
        <f>Laskenta_vuosihyötysuhde_C!F9</f>
        <v>-29</v>
      </c>
      <c r="X14" s="164">
        <f>Laskenta_vuosihyötysuhde_C!G9</f>
        <v>1.1187214611872146E-2</v>
      </c>
      <c r="Y14" s="165">
        <f>Laskenta_vuosihyötysuhde_C!I9</f>
        <v>-6.5</v>
      </c>
      <c r="Z14" s="166">
        <f>Laskenta_vuosihyötysuhde_C!N9</f>
        <v>-1.4999999999999964</v>
      </c>
      <c r="AA14" s="167">
        <f>Laskenta_vuosihyötysuhde_C!U9</f>
        <v>58.333333333333343</v>
      </c>
      <c r="AB14" s="168">
        <f>Laskenta_vuosihyötysuhde_C!V9</f>
        <v>32.083333333333343</v>
      </c>
      <c r="AC14" s="169">
        <f>Laskenta_vuosihyötysuhde_C!W9</f>
        <v>32.083333333333336</v>
      </c>
      <c r="AD14" s="24"/>
      <c r="AF14" s="1093" t="s">
        <v>2129</v>
      </c>
      <c r="AG14" s="1092" t="str">
        <f>'C-selection'!AL14</f>
        <v xml:space="preserve">0 = ei sisäistä jäähdytystä. Vakiotoimitus jos ei muuta pyydetty. </v>
      </c>
    </row>
    <row r="15" spans="2:33" ht="16.25" customHeight="1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514"/>
      <c r="S15" s="143"/>
      <c r="T15" s="182"/>
      <c r="U15" s="154"/>
      <c r="V15" s="143"/>
      <c r="W15" s="163">
        <f>Laskenta_vuosihyötysuhde_C!F10</f>
        <v>-28</v>
      </c>
      <c r="X15" s="164">
        <f>Laskenta_vuosihyötysuhde_C!G10</f>
        <v>1.4726027397260274E-2</v>
      </c>
      <c r="Y15" s="165">
        <f>Laskenta_vuosihyötysuhde_C!I10</f>
        <v>-6.4999999999999964</v>
      </c>
      <c r="Z15" s="166">
        <f>Laskenta_vuosihyötysuhde_C!N10</f>
        <v>-0.50000000000000355</v>
      </c>
      <c r="AA15" s="167">
        <f>Laskenta_vuosihyötysuhde_C!U10</f>
        <v>63.291666666666671</v>
      </c>
      <c r="AB15" s="168">
        <f>Laskenta_vuosihyötysuhde_C!V10</f>
        <v>35.520833333333336</v>
      </c>
      <c r="AC15" s="169">
        <f>Laskenta_vuosihyötysuhde_C!W10</f>
        <v>35.520833333333336</v>
      </c>
      <c r="AD15" s="24"/>
      <c r="AF15" s="1093" t="s">
        <v>2130</v>
      </c>
      <c r="AG15" s="1092" t="str">
        <f>'C-selection'!AL15</f>
        <v>0 = Ei jäähdytyksen toimilaitteita tai venttiileitä. Vakiotoimitus jos ei muuta pyydetty.</v>
      </c>
    </row>
    <row r="16" spans="2:33" ht="16.25" customHeight="1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418" t="str" cm="1">
        <f t="array" ref="R16">INDEX(KirjastoC!D4:K125,79,KirjastoC!B4)</f>
        <v>LTO-vaatimuksen piiriin kuuluva erillispoistoilmavirta</v>
      </c>
      <c r="S16" s="143"/>
      <c r="T16" s="182"/>
      <c r="U16" s="154"/>
      <c r="V16" s="143"/>
      <c r="W16" s="163">
        <f>Laskenta_vuosihyötysuhde_C!F11</f>
        <v>-27</v>
      </c>
      <c r="X16" s="164">
        <f>Laskenta_vuosihyötysuhde_C!G11</f>
        <v>1.906392694063927E-2</v>
      </c>
      <c r="Y16" s="165">
        <f>Laskenta_vuosihyötysuhde_C!I11</f>
        <v>-6.5</v>
      </c>
      <c r="Z16" s="166">
        <f>Laskenta_vuosihyötysuhde_C!N11</f>
        <v>0.5</v>
      </c>
      <c r="AA16" s="167">
        <f>Laskenta_vuosihyötysuhde_C!U11</f>
        <v>76</v>
      </c>
      <c r="AB16" s="168">
        <f>Laskenta_vuosihyötysuhde_C!V11</f>
        <v>43.541666666666664</v>
      </c>
      <c r="AC16" s="169">
        <f>Laskenta_vuosihyötysuhde_C!W11</f>
        <v>43.541666666666664</v>
      </c>
      <c r="AD16" s="24"/>
      <c r="AF16" s="1093" t="s">
        <v>496</v>
      </c>
      <c r="AG16" s="1092" t="str">
        <f>'C-selection'!AL16</f>
        <v>0 = Ei suodatinvahteja.  Vakiotoimitus jos ei muuta pyydetty.</v>
      </c>
    </row>
    <row r="17" spans="2:33" ht="16.2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1414"/>
      <c r="S17" s="252" t="s">
        <v>221</v>
      </c>
      <c r="T17" s="650">
        <v>0</v>
      </c>
      <c r="U17" s="154" t="s">
        <v>72</v>
      </c>
      <c r="V17" s="155"/>
      <c r="W17" s="163">
        <f>Laskenta_vuosihyötysuhde_C!F12</f>
        <v>-26</v>
      </c>
      <c r="X17" s="164">
        <f>Laskenta_vuosihyötysuhde_C!G12</f>
        <v>2.2488584474885845E-2</v>
      </c>
      <c r="Y17" s="165">
        <f>Laskenta_vuosihyötysuhde_C!I12</f>
        <v>-6.5</v>
      </c>
      <c r="Z17" s="166">
        <f>Laskenta_vuosihyötysuhde_C!N12</f>
        <v>1.5</v>
      </c>
      <c r="AA17" s="167">
        <f>Laskenta_vuosihyötysuhde_C!U12</f>
        <v>58.749999999999993</v>
      </c>
      <c r="AB17" s="168">
        <f>Laskenta_vuosihyötysuhde_C!V12</f>
        <v>34.374999999999993</v>
      </c>
      <c r="AC17" s="169">
        <f>Laskenta_vuosihyötysuhde_C!W12</f>
        <v>34.374999999999993</v>
      </c>
      <c r="AD17" s="24"/>
      <c r="AF17" s="1093" t="s">
        <v>2069</v>
      </c>
      <c r="AG17" s="1092" t="str">
        <f>'C-selection'!AL17</f>
        <v>0 = Ei vakiopainesäätöä. Vakiotoimitus jos ei muuta pyydetty.</v>
      </c>
    </row>
    <row r="18" spans="2:33" ht="16.2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548" t="str" cm="1">
        <f t="array" ref="R18">INDEX(KirjastoC!D4:K125,80,KirjastoC!B4)</f>
        <v>Em. erillispoistoilman käyttöaika</v>
      </c>
      <c r="S18" s="252" t="s">
        <v>223</v>
      </c>
      <c r="T18" s="650">
        <v>0</v>
      </c>
      <c r="U18" s="154" t="str" cm="1">
        <f t="array" ref="U18">INDEX(KirjastoC!D4:K500,212,KirjastoC!B4)</f>
        <v>h / vrk</v>
      </c>
      <c r="V18" s="155"/>
      <c r="W18" s="163">
        <f>Laskenta_vuosihyötysuhde_C!F13</f>
        <v>-25</v>
      </c>
      <c r="X18" s="164">
        <f>Laskenta_vuosihyötysuhde_C!G13</f>
        <v>2.7397260273972601E-2</v>
      </c>
      <c r="Y18" s="165">
        <f>Laskenta_vuosihyötysuhde_C!I13</f>
        <v>-6.5</v>
      </c>
      <c r="Z18" s="166">
        <f>Laskenta_vuosihyötysuhde_C!N13</f>
        <v>2.5</v>
      </c>
      <c r="AA18" s="167">
        <f>Laskenta_vuosihyötysuhde_C!U13</f>
        <v>82.416666666666643</v>
      </c>
      <c r="AB18" s="168">
        <f>Laskenta_vuosihyötysuhde_C!V13</f>
        <v>49.270833333333314</v>
      </c>
      <c r="AC18" s="169">
        <f>Laskenta_vuosihyötysuhde_C!W13</f>
        <v>49.270833333333314</v>
      </c>
      <c r="AD18" s="24"/>
      <c r="AF18" s="1093" t="s">
        <v>2131</v>
      </c>
      <c r="AG18" s="1092" t="str">
        <f>'C-selection'!AL18</f>
        <v xml:space="preserve">0 = Ei ilmamäärämittausta. Vakiotoimitus jos ei muuta pyydetty. </v>
      </c>
    </row>
    <row r="19" spans="2:33" ht="16.25" customHeight="1" x14ac:dyDescent="0.1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418" t="str" cm="1">
        <f t="array" ref="R19">INDEX(KirjastoC!D4:K125,81,KirjastoC!B4)</f>
        <v>Koko IV:n tulo- ja poistoilmavirtojen suhde</v>
      </c>
      <c r="S19"/>
      <c r="T19" s="744" t="str">
        <f>IF(OR(T18&lt;0,T18&gt;24),"Virheellinen lukema","")</f>
        <v/>
      </c>
      <c r="U19" s="154"/>
      <c r="V19" s="155"/>
      <c r="W19" s="163">
        <f>Laskenta_vuosihyötysuhde_C!F14</f>
        <v>-24</v>
      </c>
      <c r="X19" s="164">
        <f>Laskenta_vuosihyötysuhde_C!G14</f>
        <v>3.093607305936073E-2</v>
      </c>
      <c r="Y19" s="165">
        <f>Laskenta_vuosihyötysuhde_C!I14</f>
        <v>-6.5</v>
      </c>
      <c r="Z19" s="166">
        <f>Laskenta_vuosihyötysuhde_C!N14</f>
        <v>3.5000000000000036</v>
      </c>
      <c r="AA19" s="167">
        <f>Laskenta_vuosihyötysuhde_C!U14</f>
        <v>58.125000000000007</v>
      </c>
      <c r="AB19" s="168">
        <f>Laskenta_vuosihyötysuhde_C!V14</f>
        <v>35.520833333333343</v>
      </c>
      <c r="AC19" s="169">
        <f>Laskenta_vuosihyötysuhde_C!W14</f>
        <v>35.520833333333343</v>
      </c>
      <c r="AD19" s="24"/>
      <c r="AF19" s="1093" t="s">
        <v>2132</v>
      </c>
      <c r="AG19" s="1092" t="str">
        <f>'C-selection'!AL19</f>
        <v>0 = Ei  sulkupeltejä eikä toimilaitteita jäte- ja ulkoilmalle. Vakiotoimitus jos ei muuta pyydetty.</v>
      </c>
    </row>
    <row r="20" spans="2:33" ht="16.25" customHeight="1" x14ac:dyDescent="0.2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1414"/>
      <c r="S20" s="76" t="s">
        <v>297</v>
      </c>
      <c r="T20" s="265">
        <f>T11/(T12+(T18/24*T17))</f>
        <v>1</v>
      </c>
      <c r="U20" s="170"/>
      <c r="V20" s="155"/>
      <c r="W20" s="163">
        <f>Laskenta_vuosihyötysuhde_C!F15</f>
        <v>-23</v>
      </c>
      <c r="X20" s="164">
        <f>Laskenta_vuosihyötysuhde_C!G15</f>
        <v>3.4018264840182645E-2</v>
      </c>
      <c r="Y20" s="165">
        <f>Laskenta_vuosihyötysuhde_C!I15</f>
        <v>-6.5</v>
      </c>
      <c r="Z20" s="166">
        <f>Laskenta_vuosihyötysuhde_C!N15</f>
        <v>4.5</v>
      </c>
      <c r="AA20" s="167">
        <f>Laskenta_vuosihyötysuhde_C!U15</f>
        <v>49.499999999999957</v>
      </c>
      <c r="AB20" s="168">
        <f>Laskenta_vuosihyötysuhde_C!V15</f>
        <v>30.937499999999975</v>
      </c>
      <c r="AC20" s="169">
        <f>Laskenta_vuosihyötysuhde_C!W15</f>
        <v>30.937499999999975</v>
      </c>
      <c r="AD20" s="24"/>
      <c r="AF20" s="1093" t="s">
        <v>2133</v>
      </c>
      <c r="AG20" s="1092" t="str">
        <f>'C-selection'!AL20</f>
        <v xml:space="preserve">0 = Ei sensoreita. Vakiotoimitus jos ei muuta pyydetty. </v>
      </c>
    </row>
    <row r="21" spans="2:33" ht="16.2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14"/>
      <c r="S21" s="143"/>
      <c r="T21" s="182"/>
      <c r="U21" s="154"/>
      <c r="V21" s="143"/>
      <c r="W21" s="163">
        <f>Laskenta_vuosihyötysuhde_C!F16</f>
        <v>-22</v>
      </c>
      <c r="X21" s="164">
        <f>Laskenta_vuosihyötysuhde_C!G16</f>
        <v>4.1095890410958902E-2</v>
      </c>
      <c r="Y21" s="165">
        <f>Laskenta_vuosihyötysuhde_C!I16</f>
        <v>-6.5</v>
      </c>
      <c r="Z21" s="166">
        <f>Laskenta_vuosihyötysuhde_C!N16</f>
        <v>5.5</v>
      </c>
      <c r="AA21" s="167">
        <f>Laskenta_vuosihyötysuhde_C!U16</f>
        <v>111.08333333333334</v>
      </c>
      <c r="AB21" s="168">
        <f>Laskenta_vuosihyötysuhde_C!V16</f>
        <v>71.041666666666686</v>
      </c>
      <c r="AC21" s="169">
        <f>Laskenta_vuosihyötysuhde_C!W16</f>
        <v>71.041666666666686</v>
      </c>
      <c r="AD21" s="24"/>
      <c r="AF21" s="1093" t="s">
        <v>47</v>
      </c>
      <c r="AG21" s="1092" t="str">
        <f>'C-selection'!AL21</f>
        <v>0 = Ei energiamittareita. Vakiotoimitus jos ei muuta pyydetty.</v>
      </c>
    </row>
    <row r="22" spans="2:33" ht="16.2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INDEX(KirjastoC!D4:K200,144,KirjastoC!B4)</f>
        <v>Lämmöntalteenottokennon hyötysuhde (EN 308)</v>
      </c>
      <c r="S22" s="252" t="s">
        <v>1268</v>
      </c>
      <c r="T22" s="747">
        <f>TuloksetC!DL37</f>
        <v>0.80999999999999994</v>
      </c>
      <c r="U22" s="154"/>
      <c r="V22" s="143"/>
      <c r="W22" s="163">
        <f>Laskenta_vuosihyötysuhde_C!F17</f>
        <v>-21</v>
      </c>
      <c r="X22" s="164">
        <f>Laskenta_vuosihyötysuhde_C!G17</f>
        <v>4.8059360730593609E-2</v>
      </c>
      <c r="Y22" s="165">
        <f>Laskenta_vuosihyötysuhde_C!I17</f>
        <v>-6.5</v>
      </c>
      <c r="Z22" s="166">
        <f>Laskenta_vuosihyötysuhde_C!N17</f>
        <v>6.5</v>
      </c>
      <c r="AA22" s="167">
        <f>Laskenta_vuosihyötysuhde_C!U17</f>
        <v>106.75000000000006</v>
      </c>
      <c r="AB22" s="168">
        <f>Laskenta_vuosihyötysuhde_C!V17</f>
        <v>69.895833333333371</v>
      </c>
      <c r="AC22" s="169">
        <f>Laskenta_vuosihyötysuhde_C!W17</f>
        <v>69.895833333333371</v>
      </c>
      <c r="AD22" s="24"/>
      <c r="AF22" s="1093" t="s">
        <v>2134</v>
      </c>
      <c r="AG22" s="1092" t="str">
        <f>'C-selection'!AL22</f>
        <v>8 = Mille Wire (vakiona toimituksessa C-sarjan koneissa 1 kpl)</v>
      </c>
    </row>
    <row r="23" spans="2:33" ht="16.25" customHeight="1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INDEX(KirjastoC!D4:K125,82,KirjastoC!B4)</f>
        <v>Tuloilman lämpötilahyötysuhde yhtä suurilla ilmavirroilla (EN 13141-7)</v>
      </c>
      <c r="S23" s="252" t="s">
        <v>298</v>
      </c>
      <c r="T23" s="747">
        <f>TuloksetC!DK37</f>
        <v>0.85299999999999998</v>
      </c>
      <c r="U23" s="154"/>
      <c r="V23" s="143"/>
      <c r="W23" s="163">
        <f>Laskenta_vuosihyötysuhde_C!F18</f>
        <v>-20</v>
      </c>
      <c r="X23" s="164">
        <f>Laskenta_vuosihyötysuhde_C!G18</f>
        <v>5.5251141552511415E-2</v>
      </c>
      <c r="Y23" s="165">
        <f>Laskenta_vuosihyötysuhde_C!I18</f>
        <v>-6.5</v>
      </c>
      <c r="Z23" s="166">
        <f>Laskenta_vuosihyötysuhde_C!N18</f>
        <v>7.5</v>
      </c>
      <c r="AA23" s="167">
        <f>Laskenta_vuosihyötysuhde_C!U18</f>
        <v>107.62499999999997</v>
      </c>
      <c r="AB23" s="168">
        <f>Laskenta_vuosihyötysuhde_C!V18</f>
        <v>72.187499999999986</v>
      </c>
      <c r="AC23" s="169">
        <f>Laskenta_vuosihyötysuhde_C!W18</f>
        <v>72.187499999999986</v>
      </c>
      <c r="AD23" s="24"/>
      <c r="AF23" s="1093" t="s">
        <v>2160</v>
      </c>
      <c r="AG23" s="1092" t="str">
        <f>'C-selection'!AL23</f>
        <v>00 = Oletus (ei valittu),  Vakiotoimitus jos ei muuta pyydetty)</v>
      </c>
    </row>
    <row r="24" spans="2:33" ht="16.2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50" t="str" cm="1">
        <f t="array" ref="R24">INDEX(KirjastoC!D4:K125,83,KirjastoC!B4)</f>
        <v>Tuloilman lämpötilahyötysuhde</v>
      </c>
      <c r="S24" s="252" t="s">
        <v>299</v>
      </c>
      <c r="T24" s="747">
        <f>IFERROR(MIN(2/(1+T14)*T23,0.9),"-")</f>
        <v>0.85299999999999998</v>
      </c>
      <c r="U24" s="154"/>
      <c r="V24" s="143"/>
      <c r="W24" s="163">
        <f>Laskenta_vuosihyötysuhde_C!F19</f>
        <v>-19</v>
      </c>
      <c r="X24" s="164">
        <f>Laskenta_vuosihyötysuhde_C!G19</f>
        <v>6.2557077625570778E-2</v>
      </c>
      <c r="Y24" s="165">
        <f>Laskenta_vuosihyötysuhde_C!I19</f>
        <v>-6.5</v>
      </c>
      <c r="Z24" s="166">
        <f>Laskenta_vuosihyötysuhde_C!N19</f>
        <v>8.5</v>
      </c>
      <c r="AA24" s="167">
        <f>Laskenta_vuosihyötysuhde_C!U19</f>
        <v>106.6666666666667</v>
      </c>
      <c r="AB24" s="168">
        <f>Laskenta_vuosihyötysuhde_C!V19</f>
        <v>73.333333333333357</v>
      </c>
      <c r="AC24" s="169">
        <f>Laskenta_vuosihyötysuhde_C!W19</f>
        <v>73.333333333333357</v>
      </c>
      <c r="AD24" s="24"/>
      <c r="AF24" s="1093" t="s">
        <v>2135</v>
      </c>
      <c r="AG24" s="1092" t="str">
        <f>'C-selection'!AL24</f>
        <v>9 = Toimitus listauksen mukaisesti</v>
      </c>
    </row>
    <row r="25" spans="2:33" ht="16.25" customHeight="1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14"/>
      <c r="S25" s="143"/>
      <c r="T25" s="182"/>
      <c r="U25" s="154"/>
      <c r="V25" s="143"/>
      <c r="W25" s="163">
        <f>Laskenta_vuosihyötysuhde_C!F20</f>
        <v>-18</v>
      </c>
      <c r="X25" s="164">
        <f>Laskenta_vuosihyötysuhde_C!G20</f>
        <v>6.803652968036529E-2</v>
      </c>
      <c r="Y25" s="165">
        <f>Laskenta_vuosihyötysuhde_C!I20</f>
        <v>-6.5</v>
      </c>
      <c r="Z25" s="166">
        <f>Laskenta_vuosihyötysuhde_C!N20</f>
        <v>9.5000000000000036</v>
      </c>
      <c r="AA25" s="167">
        <f>Laskenta_vuosihyötysuhde_C!U20</f>
        <v>77.999999999999886</v>
      </c>
      <c r="AB25" s="168">
        <f>Laskenta_vuosihyötysuhde_C!V20</f>
        <v>54.999999999999915</v>
      </c>
      <c r="AC25" s="169">
        <f>Laskenta_vuosihyötysuhde_C!W20</f>
        <v>54.999999999999915</v>
      </c>
      <c r="AD25" s="24"/>
    </row>
    <row r="26" spans="2:33" ht="16.25" customHeight="1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INDEX(KirjastoC!D4:K200,142,KirjastoC!B4)</f>
        <v>Valitse säävyöhyke (kaupunki)</v>
      </c>
      <c r="S26" s="252"/>
      <c r="T26" s="254"/>
      <c r="U26" s="154"/>
      <c r="V26" s="143"/>
      <c r="W26" s="163">
        <f>Laskenta_vuosihyötysuhde_C!F21</f>
        <v>-17</v>
      </c>
      <c r="X26" s="164">
        <f>Laskenta_vuosihyötysuhde_C!G21</f>
        <v>7.4543378995433784E-2</v>
      </c>
      <c r="Y26" s="165">
        <f>Laskenta_vuosihyötysuhde_C!I21</f>
        <v>-6.5</v>
      </c>
      <c r="Z26" s="166">
        <f>Laskenta_vuosihyötysuhde_C!N21</f>
        <v>10.5</v>
      </c>
      <c r="AA26" s="167">
        <f>Laskenta_vuosihyötysuhde_C!U21</f>
        <v>90.250000000000014</v>
      </c>
      <c r="AB26" s="168">
        <f>Laskenta_vuosihyötysuhde_C!V21</f>
        <v>65.312500000000014</v>
      </c>
      <c r="AC26" s="169">
        <f>Laskenta_vuosihyötysuhde_C!W21</f>
        <v>65.312500000000014</v>
      </c>
      <c r="AD26" s="24"/>
    </row>
    <row r="27" spans="2:33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INDEX(KirjastoC!D4:K125,85,KirjastoC!B4)</f>
        <v>Sisälämpötila</v>
      </c>
      <c r="S27" s="252" t="s">
        <v>229</v>
      </c>
      <c r="T27" s="745">
        <v>21</v>
      </c>
      <c r="U27" s="154" t="s">
        <v>230</v>
      </c>
      <c r="V27" s="143"/>
      <c r="W27" s="163">
        <f>Laskenta_vuosihyötysuhde_C!F22</f>
        <v>-16</v>
      </c>
      <c r="X27" s="164">
        <f>Laskenta_vuosihyötysuhde_C!G22</f>
        <v>8.1621004566210048E-2</v>
      </c>
      <c r="Y27" s="165">
        <f>Laskenta_vuosihyötysuhde_C!I22</f>
        <v>-6.5</v>
      </c>
      <c r="Z27" s="166">
        <f>Laskenta_vuosihyötysuhde_C!N22</f>
        <v>11.5</v>
      </c>
      <c r="AA27" s="167">
        <f>Laskenta_vuosihyötysuhde_C!U22</f>
        <v>95.583333333333456</v>
      </c>
      <c r="AB27" s="168">
        <f>Laskenta_vuosihyötysuhde_C!V22</f>
        <v>71.041666666666742</v>
      </c>
      <c r="AC27" s="169">
        <f>Laskenta_vuosihyötysuhde_C!W22</f>
        <v>71.041666666666742</v>
      </c>
      <c r="AD27" s="24"/>
    </row>
    <row r="28" spans="2:33" ht="17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INDEX(KirjastoC!D4:K125,86,KirjastoC!B4)</f>
        <v>Minimi jäteilman lämpötila</v>
      </c>
      <c r="S28" s="252" t="s">
        <v>300</v>
      </c>
      <c r="T28" s="251">
        <v>-6.5</v>
      </c>
      <c r="U28" s="154" t="s">
        <v>230</v>
      </c>
      <c r="V28" s="155"/>
      <c r="W28" s="163">
        <f>Laskenta_vuosihyötysuhde_C!F23</f>
        <v>-15</v>
      </c>
      <c r="X28" s="164">
        <f>Laskenta_vuosihyötysuhde_C!G23</f>
        <v>9.0981735159817348E-2</v>
      </c>
      <c r="Y28" s="165">
        <f>Laskenta_vuosihyötysuhde_C!I23</f>
        <v>-6.5</v>
      </c>
      <c r="Z28" s="166">
        <f>Laskenta_vuosihyötysuhde_C!N23</f>
        <v>12.5</v>
      </c>
      <c r="AA28" s="167">
        <f>Laskenta_vuosihyötysuhde_C!U23</f>
        <v>122.99999999999991</v>
      </c>
      <c r="AB28" s="168">
        <f>Laskenta_vuosihyötysuhde_C!V23</f>
        <v>93.958333333333272</v>
      </c>
      <c r="AC28" s="169">
        <f>Laskenta_vuosihyötysuhde_C!W23</f>
        <v>93.958333333333272</v>
      </c>
      <c r="AD28" s="24"/>
    </row>
    <row r="29" spans="2:33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8" t="str" cm="1">
        <f t="array" ref="R29">INDEX(KirjastoC!D4:K200,146,KirjastoC!B4)</f>
        <v>Tuloilman lämpötilan rajoitus</v>
      </c>
      <c r="S29" s="252"/>
      <c r="T29" s="255"/>
      <c r="U29" s="154"/>
      <c r="V29" s="155"/>
      <c r="W29" s="163">
        <f>Laskenta_vuosihyötysuhde_C!F24</f>
        <v>-14</v>
      </c>
      <c r="X29" s="164">
        <f>Laskenta_vuosihyötysuhde_C!G24</f>
        <v>0.10422374429223745</v>
      </c>
      <c r="Y29" s="165">
        <f>Laskenta_vuosihyötysuhde_C!I24</f>
        <v>-6.5</v>
      </c>
      <c r="Z29" s="166">
        <f>Laskenta_vuosihyötysuhde_C!N24</f>
        <v>13.5</v>
      </c>
      <c r="AA29" s="167">
        <f>Laskenta_vuosihyötysuhde_C!U24</f>
        <v>169.1666666666668</v>
      </c>
      <c r="AB29" s="168">
        <f>Laskenta_vuosihyötysuhde_C!V24</f>
        <v>132.91666666666677</v>
      </c>
      <c r="AC29" s="169">
        <f>Laskenta_vuosihyötysuhde_C!W24</f>
        <v>132.91666666666677</v>
      </c>
      <c r="AD29" s="24"/>
    </row>
    <row r="30" spans="2:33" ht="17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 s="551" t="str" cm="1">
        <f t="array" ref="R30">INDEX(KirjastoC!D4:K125,87,KirjastoC!B4)</f>
        <v>Maksimi tuloilman lämpötila rajoitetussa tilanteessa</v>
      </c>
      <c r="S30" s="144" t="s">
        <v>233</v>
      </c>
      <c r="T30" s="1095">
        <v>20</v>
      </c>
      <c r="U30" s="171" t="s">
        <v>230</v>
      </c>
      <c r="V30" s="143"/>
      <c r="W30" s="163">
        <f>Laskenta_vuosihyötysuhde_C!F25</f>
        <v>-13</v>
      </c>
      <c r="X30" s="164">
        <f>Laskenta_vuosihyötysuhde_C!G25</f>
        <v>0.11746575342465754</v>
      </c>
      <c r="Y30" s="165">
        <f>Laskenta_vuosihyötysuhde_C!I25</f>
        <v>-6.5</v>
      </c>
      <c r="Z30" s="166">
        <f>Laskenta_vuosihyötysuhde_C!N25</f>
        <v>14.5</v>
      </c>
      <c r="AA30" s="167">
        <f>Laskenta_vuosihyötysuhde_C!U25</f>
        <v>164.33333333333329</v>
      </c>
      <c r="AB30" s="168">
        <f>Laskenta_vuosihyötysuhde_C!V25</f>
        <v>132.91666666666663</v>
      </c>
      <c r="AC30" s="169">
        <f>Laskenta_vuosihyötysuhde_C!W25</f>
        <v>132.91666666666663</v>
      </c>
      <c r="AD30" s="24"/>
    </row>
    <row r="31" spans="2:33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/>
      <c r="S31" s="143"/>
      <c r="T31" s="143"/>
      <c r="U31" s="143"/>
      <c r="V31" s="143"/>
      <c r="W31" s="163">
        <f>Laskenta_vuosihyötysuhde_C!F26</f>
        <v>-12</v>
      </c>
      <c r="X31" s="164">
        <f>Laskenta_vuosihyötysuhde_C!G26</f>
        <v>0.13344748858447489</v>
      </c>
      <c r="Y31" s="165">
        <f>Laskenta_vuosihyötysuhde_C!I26</f>
        <v>-6.5</v>
      </c>
      <c r="Z31" s="166">
        <f>Laskenta_vuosihyötysuhde_C!N26</f>
        <v>15.5</v>
      </c>
      <c r="AA31" s="167">
        <f>Laskenta_vuosihyötysuhde_C!U26</f>
        <v>192.5</v>
      </c>
      <c r="AB31" s="168">
        <f>Laskenta_vuosihyötysuhde_C!V26</f>
        <v>160.41666666666666</v>
      </c>
      <c r="AC31" s="169">
        <f>Laskenta_vuosihyötysuhde_C!W26</f>
        <v>160.41666666666666</v>
      </c>
      <c r="AD31" s="24"/>
    </row>
    <row r="32" spans="2:33" ht="15" customHeight="1" x14ac:dyDescent="0.1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60" t="str" cm="1">
        <f t="array" ref="R32">INDEX(KirjastoC!D4:K125,88,KirjastoC!B4)</f>
        <v>Vuosihyötysuhde</v>
      </c>
      <c r="S32" s="261" t="s">
        <v>235</v>
      </c>
      <c r="T32" s="738">
        <f>Laskenta_vuosihyötysuhde_C!D24</f>
        <v>0.80789590738415629</v>
      </c>
      <c r="U32" s="149"/>
      <c r="V32" s="143"/>
      <c r="W32" s="163">
        <f>Laskenta_vuosihyötysuhde_C!F27</f>
        <v>-11</v>
      </c>
      <c r="X32" s="164">
        <f>Laskenta_vuosihyötysuhde_C!G27</f>
        <v>0.15136986301369862</v>
      </c>
      <c r="Y32" s="165">
        <f>Laskenta_vuosihyötysuhde_C!I27</f>
        <v>-6.2959999999999994</v>
      </c>
      <c r="Z32" s="166">
        <f>Laskenta_vuosihyötysuhde_C!N27</f>
        <v>16.295999999999999</v>
      </c>
      <c r="AA32" s="167">
        <f>Laskenta_vuosihyötysuhde_C!U27</f>
        <v>209.33333333333317</v>
      </c>
      <c r="AB32" s="168">
        <f>Laskenta_vuosihyötysuhde_C!V27</f>
        <v>178.56133333333321</v>
      </c>
      <c r="AC32" s="169">
        <f>Laskenta_vuosihyötysuhde_C!W27</f>
        <v>178.56133333333321</v>
      </c>
      <c r="AD32" s="24"/>
    </row>
    <row r="33" spans="2:30" ht="15" customHeight="1" x14ac:dyDescent="0.2">
      <c r="B33" s="12"/>
      <c r="C33"/>
      <c r="D33"/>
      <c r="E33" s="1079">
        <f>IF(TuloksetC!$AC$7,'C-series'!E42,'C-series'!E43)</f>
        <v>500</v>
      </c>
      <c r="F33" s="603"/>
      <c r="G33" s="1079">
        <f>IF(TuloksetC!$AC$7,'C-series'!G42,'C-series'!G43)</f>
        <v>500</v>
      </c>
      <c r="H33"/>
      <c r="I33"/>
      <c r="J33"/>
      <c r="K33"/>
      <c r="L33"/>
      <c r="M33"/>
      <c r="N33"/>
      <c r="O33" s="24"/>
      <c r="Q33" s="12"/>
      <c r="R33" s="270"/>
      <c r="S33" s="739"/>
      <c r="T33" s="740"/>
      <c r="U33" s="154"/>
      <c r="V33" s="143"/>
      <c r="W33" s="163">
        <f>Laskenta_vuosihyötysuhde_C!F28</f>
        <v>-10</v>
      </c>
      <c r="X33" s="164">
        <f>Laskenta_vuosihyötysuhde_C!G28</f>
        <v>0.16860730593607307</v>
      </c>
      <c r="Y33" s="165">
        <f>Laskenta_vuosihyötysuhde_C!I28</f>
        <v>-5.4429999999999978</v>
      </c>
      <c r="Z33" s="166">
        <f>Laskenta_vuosihyötysuhde_C!N28</f>
        <v>16.442999999999998</v>
      </c>
      <c r="AA33" s="167">
        <f>Laskenta_vuosihyötysuhde_C!U28</f>
        <v>195.04166666666683</v>
      </c>
      <c r="AB33" s="168">
        <f>Laskenta_vuosihyötysuhde_C!V28</f>
        <v>166.37054166666681</v>
      </c>
      <c r="AC33" s="169">
        <f>Laskenta_vuosihyötysuhde_C!W28</f>
        <v>166.37054166666681</v>
      </c>
      <c r="AD33" s="24"/>
    </row>
    <row r="34" spans="2:30" ht="15" customHeight="1" x14ac:dyDescent="0.15">
      <c r="B34" s="12"/>
      <c r="C34" s="126"/>
      <c r="D34" s="126"/>
      <c r="E34" s="1080"/>
      <c r="F34" s="1081"/>
      <c r="G34" s="1080"/>
      <c r="H34" s="126"/>
      <c r="I34"/>
      <c r="J34"/>
      <c r="K34"/>
      <c r="L34"/>
      <c r="M34"/>
      <c r="N34"/>
      <c r="O34" s="24"/>
      <c r="Q34" s="12"/>
      <c r="R34" s="253" t="str" cm="1">
        <f t="array" ref="R34">INDEX(KirjastoC!D4:K125,89,KirjastoC!B4)</f>
        <v>Ilmanvaihdon kokonaisenergiantarve</v>
      </c>
      <c r="S34" s="252"/>
      <c r="T34" s="256">
        <f>Laskenta_vuosihyötysuhde_C!Y51</f>
        <v>100710.0564</v>
      </c>
      <c r="U34" s="154" t="s">
        <v>1285</v>
      </c>
      <c r="V34" s="143"/>
      <c r="W34" s="163">
        <f>Laskenta_vuosihyötysuhde_C!F29</f>
        <v>-9</v>
      </c>
      <c r="X34" s="164">
        <f>Laskenta_vuosihyötysuhde_C!G29</f>
        <v>0.18630136986301371</v>
      </c>
      <c r="Y34" s="165">
        <f>Laskenta_vuosihyötysuhde_C!I29</f>
        <v>-4.59</v>
      </c>
      <c r="Z34" s="166">
        <f>Laskenta_vuosihyötysuhde_C!N29</f>
        <v>16.59</v>
      </c>
      <c r="AA34" s="167">
        <f>Laskenta_vuosihyötysuhde_C!U29</f>
        <v>193.75000000000009</v>
      </c>
      <c r="AB34" s="168">
        <f>Laskenta_vuosihyötysuhde_C!V29</f>
        <v>165.26875000000007</v>
      </c>
      <c r="AC34" s="169">
        <f>Laskenta_vuosihyötysuhde_C!W29</f>
        <v>165.26875000000007</v>
      </c>
      <c r="AD34" s="24"/>
    </row>
    <row r="35" spans="2:30" x14ac:dyDescent="0.15">
      <c r="B35" s="12"/>
      <c r="C35" s="126"/>
      <c r="D35" s="126"/>
      <c r="E35" s="1080"/>
      <c r="F35" s="1081"/>
      <c r="G35" s="1080"/>
      <c r="H35" s="126"/>
      <c r="I35"/>
      <c r="J35"/>
      <c r="K35"/>
      <c r="L35"/>
      <c r="M35"/>
      <c r="N35"/>
      <c r="O35" s="24"/>
      <c r="Q35" s="12"/>
      <c r="R35" s="253" t="str" cm="1">
        <f t="array" ref="R35">INDEX(KirjastoC!D4:K125,90,KirjastoC!B4)</f>
        <v>Talteenotettu lämmitysenergia</v>
      </c>
      <c r="S35" s="252"/>
      <c r="T35" s="256">
        <f>Laskenta_vuosihyötysuhde_C!Z51</f>
        <v>81847.928821200025</v>
      </c>
      <c r="U35" s="154" t="s">
        <v>1285</v>
      </c>
      <c r="V35" s="143"/>
      <c r="W35" s="163">
        <f>Laskenta_vuosihyötysuhde_C!F30</f>
        <v>-8</v>
      </c>
      <c r="X35" s="164">
        <f>Laskenta_vuosihyötysuhde_C!G30</f>
        <v>0.20091324200913241</v>
      </c>
      <c r="Y35" s="165">
        <f>Laskenta_vuosihyötysuhde_C!I30</f>
        <v>-3.7369999999999983</v>
      </c>
      <c r="Z35" s="166">
        <f>Laskenta_vuosihyötysuhde_C!N30</f>
        <v>16.736999999999998</v>
      </c>
      <c r="AA35" s="167">
        <f>Laskenta_vuosihyötysuhde_C!U30</f>
        <v>154.66666666666643</v>
      </c>
      <c r="AB35" s="168">
        <f>Laskenta_vuosihyötysuhde_C!V30</f>
        <v>131.93066666666644</v>
      </c>
      <c r="AC35" s="169">
        <f>Laskenta_vuosihyötysuhde_C!W30</f>
        <v>131.93066666666644</v>
      </c>
      <c r="AD35" s="24"/>
    </row>
    <row r="36" spans="2:30" ht="15.75" customHeight="1" x14ac:dyDescent="0.15">
      <c r="B36" s="12"/>
      <c r="C36" s="126"/>
      <c r="D36" s="126"/>
      <c r="E36" s="1080"/>
      <c r="F36" s="1081"/>
      <c r="G36" s="1080"/>
      <c r="H36" s="126"/>
      <c r="I36"/>
      <c r="J36"/>
      <c r="K36"/>
      <c r="L36"/>
      <c r="M36"/>
      <c r="N36"/>
      <c r="O36" s="24"/>
      <c r="Q36" s="12"/>
      <c r="R36" s="14" t="str" cm="1">
        <f t="array" ref="R36">INDEX(KirjastoC!D4:K200,145,KirjastoC!B4)</f>
        <v>Puhaltimien ja elektroniikan sähkönkulutus</v>
      </c>
      <c r="S36" s="144"/>
      <c r="T36" s="741">
        <f>Laskenta_vuosihyötysuhde_C!AG8</f>
        <v>7504.551131006313</v>
      </c>
      <c r="U36" s="171" t="s">
        <v>1285</v>
      </c>
      <c r="V36" s="143"/>
      <c r="W36" s="163">
        <f>Laskenta_vuosihyötysuhde_C!F31</f>
        <v>-7</v>
      </c>
      <c r="X36" s="164">
        <f>Laskenta_vuosihyötysuhde_C!G31</f>
        <v>0.22237442922374429</v>
      </c>
      <c r="Y36" s="165">
        <f>Laskenta_vuosihyötysuhde_C!I31</f>
        <v>-2.8840000000000003</v>
      </c>
      <c r="Z36" s="166">
        <f>Laskenta_vuosihyötysuhde_C!N31</f>
        <v>16.884</v>
      </c>
      <c r="AA36" s="167">
        <f>Laskenta_vuosihyötysuhde_C!U31</f>
        <v>219.33333333333337</v>
      </c>
      <c r="AB36" s="168">
        <f>Laskenta_vuosihyötysuhde_C!V31</f>
        <v>187.09133333333335</v>
      </c>
      <c r="AC36" s="169">
        <f>Laskenta_vuosihyötysuhde_C!W31</f>
        <v>187.09133333333335</v>
      </c>
      <c r="AD36" s="24"/>
    </row>
    <row r="37" spans="2:30" ht="14.25" customHeight="1" x14ac:dyDescent="0.15">
      <c r="B37" s="12"/>
      <c r="C37" s="126"/>
      <c r="D37" s="126"/>
      <c r="E37" s="1080"/>
      <c r="F37" s="1081"/>
      <c r="G37" s="1080"/>
      <c r="H37" s="126"/>
      <c r="I37"/>
      <c r="J37"/>
      <c r="K37"/>
      <c r="L37"/>
      <c r="M37"/>
      <c r="N37"/>
      <c r="O37" s="24"/>
      <c r="Q37" s="12"/>
      <c r="R37"/>
      <c r="S37" s="143"/>
      <c r="T37" s="143"/>
      <c r="U37" s="143"/>
      <c r="V37" s="143"/>
      <c r="W37" s="163">
        <f>Laskenta_vuosihyötysuhde_C!F32</f>
        <v>-6</v>
      </c>
      <c r="X37" s="164">
        <f>Laskenta_vuosihyötysuhde_C!G32</f>
        <v>0.24121004566210047</v>
      </c>
      <c r="Y37" s="165">
        <f>Laskenta_vuosihyötysuhde_C!I32</f>
        <v>-2.0309999999999988</v>
      </c>
      <c r="Z37" s="166">
        <f>Laskenta_vuosihyötysuhde_C!N32</f>
        <v>17.030999999999999</v>
      </c>
      <c r="AA37" s="167">
        <f>Laskenta_vuosihyötysuhde_C!U32</f>
        <v>185.6250000000002</v>
      </c>
      <c r="AB37" s="168">
        <f>Laskenta_vuosihyötysuhde_C!V32</f>
        <v>158.33812500000016</v>
      </c>
      <c r="AC37" s="169">
        <f>Laskenta_vuosihyötysuhde_C!W32</f>
        <v>158.33812500000016</v>
      </c>
      <c r="AD37" s="24"/>
    </row>
    <row r="38" spans="2:30" x14ac:dyDescent="0.15">
      <c r="B38" s="12"/>
      <c r="C38" s="126"/>
      <c r="D38" s="126"/>
      <c r="E38" s="1080"/>
      <c r="F38" s="1081"/>
      <c r="G38" s="1080"/>
      <c r="H38" s="126"/>
      <c r="I38"/>
      <c r="J38"/>
      <c r="K38"/>
      <c r="L38"/>
      <c r="M38"/>
      <c r="N38"/>
      <c r="O38" s="24"/>
      <c r="Q38" s="12"/>
      <c r="R38"/>
      <c r="S38" s="143"/>
      <c r="T38" s="143"/>
      <c r="U38" s="143"/>
      <c r="V38" s="143"/>
      <c r="W38" s="163">
        <f>Laskenta_vuosihyötysuhde_C!F33</f>
        <v>-5</v>
      </c>
      <c r="X38" s="164">
        <f>Laskenta_vuosihyötysuhde_C!G33</f>
        <v>0.27180365296803655</v>
      </c>
      <c r="Y38" s="165">
        <f>Laskenta_vuosihyötysuhde_C!I33</f>
        <v>-1.1780000000000008</v>
      </c>
      <c r="Z38" s="166">
        <f>Laskenta_vuosihyötysuhde_C!N33</f>
        <v>17.178000000000001</v>
      </c>
      <c r="AA38" s="167">
        <f>Laskenta_vuosihyötysuhde_C!U33</f>
        <v>290.33333333333337</v>
      </c>
      <c r="AB38" s="168">
        <f>Laskenta_vuosihyötysuhde_C!V33</f>
        <v>247.65433333333337</v>
      </c>
      <c r="AC38" s="169">
        <f>Laskenta_vuosihyötysuhde_C!W33</f>
        <v>247.65433333333337</v>
      </c>
      <c r="AD38" s="24"/>
    </row>
    <row r="39" spans="2:30" x14ac:dyDescent="0.15">
      <c r="B39" s="12"/>
      <c r="C39"/>
      <c r="D39"/>
      <c r="E39"/>
      <c r="F39"/>
      <c r="G39"/>
      <c r="H39"/>
      <c r="I39"/>
      <c r="J39"/>
      <c r="K39"/>
      <c r="L39"/>
      <c r="M39"/>
      <c r="N39"/>
      <c r="O39" s="24"/>
      <c r="Q39" s="12"/>
      <c r="R39"/>
      <c r="S39" s="143"/>
      <c r="T39" s="143"/>
      <c r="U39" s="143"/>
      <c r="V39" s="143"/>
      <c r="W39" s="163">
        <f>Laskenta_vuosihyötysuhde_C!F34</f>
        <v>-4</v>
      </c>
      <c r="X39" s="164">
        <f>Laskenta_vuosihyötysuhde_C!G34</f>
        <v>0.3065068493150685</v>
      </c>
      <c r="Y39" s="165">
        <f>Laskenta_vuosihyötysuhde_C!I34</f>
        <v>-0.32499999999999929</v>
      </c>
      <c r="Z39" s="166">
        <f>Laskenta_vuosihyötysuhde_C!N34</f>
        <v>17.324999999999999</v>
      </c>
      <c r="AA39" s="167">
        <f>Laskenta_vuosihyötysuhde_C!U34</f>
        <v>316.66666666666652</v>
      </c>
      <c r="AB39" s="168">
        <f>Laskenta_vuosihyötysuhde_C!V34</f>
        <v>270.11666666666656</v>
      </c>
      <c r="AC39" s="169">
        <f>Laskenta_vuosihyötysuhde_C!W34</f>
        <v>270.11666666666656</v>
      </c>
      <c r="AD39" s="24"/>
    </row>
    <row r="40" spans="2:30" x14ac:dyDescent="0.15">
      <c r="B40" s="12"/>
      <c r="C40" s="2" t="str" cm="1">
        <f t="array" ref="C40">INDEX(KirjastoC!D4:K150,133,KirjastoC!B4)</f>
        <v>Mitoituspiste (syötä tilavuusvirta ja paine-ero)</v>
      </c>
      <c r="D40"/>
      <c r="E40"/>
      <c r="F40"/>
      <c r="G40"/>
      <c r="H40"/>
      <c r="I40"/>
      <c r="J40" s="2" t="str" cm="1">
        <f t="array" ref="J40">INDEX(KirjastoC!D4:K150,134,KirjastoC!B4)</f>
        <v>Tehostustilanteen laskenta:</v>
      </c>
      <c r="K40"/>
      <c r="L40"/>
      <c r="M40"/>
      <c r="N40"/>
      <c r="O40" s="24"/>
      <c r="P40" s="89"/>
      <c r="Q40" s="12"/>
      <c r="R40"/>
      <c r="S40" s="143"/>
      <c r="T40" s="143"/>
      <c r="U40" s="143"/>
      <c r="V40" s="143"/>
      <c r="W40" s="163">
        <f>Laskenta_vuosihyötysuhde_C!F35</f>
        <v>-3</v>
      </c>
      <c r="X40" s="164">
        <f>Laskenta_vuosihyötysuhde_C!G35</f>
        <v>0.34178082191780823</v>
      </c>
      <c r="Y40" s="165">
        <f>Laskenta_vuosihyötysuhde_C!I35</f>
        <v>0.52799999999999869</v>
      </c>
      <c r="Z40" s="166">
        <f>Laskenta_vuosihyötysuhde_C!N35</f>
        <v>17.472000000000001</v>
      </c>
      <c r="AA40" s="167">
        <f>Laskenta_vuosihyötysuhde_C!U35</f>
        <v>309.00000000000006</v>
      </c>
      <c r="AB40" s="168">
        <f>Laskenta_vuosihyötysuhde_C!V35</f>
        <v>263.57700000000006</v>
      </c>
      <c r="AC40" s="169">
        <f>Laskenta_vuosihyötysuhde_C!W35</f>
        <v>263.57700000000006</v>
      </c>
      <c r="AD40" s="24"/>
    </row>
    <row r="41" spans="2:30" ht="15.75" customHeight="1" x14ac:dyDescent="0.15">
      <c r="B41" s="12"/>
      <c r="C41" s="23"/>
      <c r="D41" s="22"/>
      <c r="E41" s="616" t="str">
        <f>KirjastoC!M17</f>
        <v>Tuloilma</v>
      </c>
      <c r="F41" s="22"/>
      <c r="G41" s="616" t="str">
        <f>KirjastoC!M18</f>
        <v>Poistoilma</v>
      </c>
      <c r="H41" s="21"/>
      <c r="I41"/>
      <c r="J41" s="1412" t="str" cm="1">
        <f t="array" ref="J41">INDEX(KirjastoC!D4:K150,135,KirjastoC!B4)</f>
        <v>Maksimi tehostusvara:</v>
      </c>
      <c r="K41" s="1413"/>
      <c r="L41" s="616" t="str">
        <f>KirjastoC!M17</f>
        <v>Tuloilma</v>
      </c>
      <c r="M41" s="616" t="str">
        <f>KirjastoC!M18</f>
        <v>Poistoilma</v>
      </c>
      <c r="N41" s="21"/>
      <c r="O41" s="24"/>
      <c r="Q41" s="12"/>
      <c r="R41"/>
      <c r="S41" s="143"/>
      <c r="T41" s="143"/>
      <c r="U41" s="143"/>
      <c r="V41" s="143"/>
      <c r="W41" s="163">
        <f>Laskenta_vuosihyötysuhde_C!F36</f>
        <v>-2</v>
      </c>
      <c r="X41" s="164">
        <f>Laskenta_vuosihyötysuhde_C!G36</f>
        <v>0.37648401826484018</v>
      </c>
      <c r="Y41" s="165">
        <f>Laskenta_vuosihyötysuhde_C!I36</f>
        <v>1.3810000000000002</v>
      </c>
      <c r="Z41" s="166">
        <f>Laskenta_vuosihyötysuhde_C!N36</f>
        <v>17.619</v>
      </c>
      <c r="AA41" s="167">
        <f>Laskenta_vuosihyötysuhde_C!U36</f>
        <v>291.33333333333326</v>
      </c>
      <c r="AB41" s="168">
        <f>Laskenta_vuosihyötysuhde_C!V36</f>
        <v>248.50733333333326</v>
      </c>
      <c r="AC41" s="169">
        <f>Laskenta_vuosihyötysuhde_C!W36</f>
        <v>248.50733333333326</v>
      </c>
      <c r="AD41" s="24"/>
    </row>
    <row r="42" spans="2:30" x14ac:dyDescent="0.15">
      <c r="B42" s="12"/>
      <c r="C42" s="602" t="str" cm="1">
        <f t="array" ref="C42">INDEX(KirjastoC!D4:K150,21,KirjastoC!B4)</f>
        <v>Ilman tilavuusvirta:</v>
      </c>
      <c r="D42" s="76"/>
      <c r="E42" s="650">
        <v>500</v>
      </c>
      <c r="F42" s="603" t="str">
        <f>TuloksetC!$AC$10</f>
        <v>dm³/s</v>
      </c>
      <c r="G42" s="650">
        <v>500</v>
      </c>
      <c r="H42" s="604" t="str">
        <f>TuloksetC!$AC$10</f>
        <v>dm³/s</v>
      </c>
      <c r="I42" s="603"/>
      <c r="J42" s="1414"/>
      <c r="K42" s="1415"/>
      <c r="L42" s="649">
        <f>TuloksetC!CV37</f>
        <v>0.18376243169910023</v>
      </c>
      <c r="M42" s="649">
        <f>TuloksetC!CW37</f>
        <v>0.23474186290969934</v>
      </c>
      <c r="N42" s="24"/>
      <c r="O42" s="24"/>
      <c r="Q42" s="12"/>
      <c r="R42"/>
      <c r="S42" s="143"/>
      <c r="T42" s="143"/>
      <c r="U42" s="143"/>
      <c r="V42" s="143"/>
      <c r="W42" s="163">
        <f>Laskenta_vuosihyötysuhde_C!F37</f>
        <v>-1</v>
      </c>
      <c r="X42" s="164">
        <f>Laskenta_vuosihyötysuhde_C!G37</f>
        <v>0.41678082191780824</v>
      </c>
      <c r="Y42" s="165">
        <f>Laskenta_vuosihyötysuhde_C!I37</f>
        <v>2.2340000000000018</v>
      </c>
      <c r="Z42" s="166">
        <f>Laskenta_vuosihyötysuhde_C!N37</f>
        <v>17.765999999999998</v>
      </c>
      <c r="AA42" s="167">
        <f>Laskenta_vuosihyötysuhde_C!U37</f>
        <v>323.58333333333354</v>
      </c>
      <c r="AB42" s="168">
        <f>Laskenta_vuosihyötysuhde_C!V37</f>
        <v>276.01658333333347</v>
      </c>
      <c r="AC42" s="169">
        <f>Laskenta_vuosihyötysuhde_C!W37</f>
        <v>276.01658333333347</v>
      </c>
      <c r="AD42" s="24"/>
    </row>
    <row r="43" spans="2:30" ht="14" thickBot="1" x14ac:dyDescent="0.2">
      <c r="B43" s="12"/>
      <c r="C43" s="605"/>
      <c r="D43" s="592"/>
      <c r="E43" s="631">
        <f>TuloksetC!AC15</f>
        <v>1800</v>
      </c>
      <c r="F43" s="603" t="str">
        <f>TuloksetC!$AC$11</f>
        <v>m³/h</v>
      </c>
      <c r="G43" s="631">
        <f>TuloksetC!AD15</f>
        <v>1800</v>
      </c>
      <c r="H43" s="604" t="str">
        <f>TuloksetC!$AC$11</f>
        <v>m³/h</v>
      </c>
      <c r="I43" s="603"/>
      <c r="J43" s="600"/>
      <c r="K43"/>
      <c r="L43"/>
      <c r="M43"/>
      <c r="N43" s="24"/>
      <c r="O43" s="24"/>
      <c r="Q43" s="12"/>
      <c r="R43"/>
      <c r="S43" s="143"/>
      <c r="T43" s="143"/>
      <c r="U43" s="143"/>
      <c r="V43" s="143"/>
      <c r="W43" s="163">
        <f>Laskenta_vuosihyötysuhde_C!F38</f>
        <v>0</v>
      </c>
      <c r="X43" s="164">
        <f>Laskenta_vuosihyötysuhde_C!G38</f>
        <v>0.46027397260273972</v>
      </c>
      <c r="Y43" s="165">
        <f>Laskenta_vuosihyötysuhde_C!I38</f>
        <v>3.0869999999999997</v>
      </c>
      <c r="Z43" s="166">
        <f>Laskenta_vuosihyötysuhde_C!N38</f>
        <v>17.913</v>
      </c>
      <c r="AA43" s="167">
        <f>Laskenta_vuosihyötysuhde_C!U38</f>
        <v>333.37499999999977</v>
      </c>
      <c r="AB43" s="168">
        <f>Laskenta_vuosihyötysuhde_C!V38</f>
        <v>284.36887499999983</v>
      </c>
      <c r="AC43" s="169">
        <f>Laskenta_vuosihyötysuhde_C!W38</f>
        <v>284.36887499999983</v>
      </c>
      <c r="AD43" s="24"/>
    </row>
    <row r="44" spans="2:30" ht="15" customHeight="1" thickTop="1" x14ac:dyDescent="0.15">
      <c r="B44" s="12"/>
      <c r="C44" s="602" t="str" cm="1">
        <f t="array" ref="C44">INDEX(KirjastoC!D4:K150,22,KirjastoC!B4)</f>
        <v>Paine-ero:</v>
      </c>
      <c r="D44" s="76"/>
      <c r="E44" s="634">
        <v>149</v>
      </c>
      <c r="F44" s="603" t="s">
        <v>14</v>
      </c>
      <c r="G44" s="634">
        <v>149</v>
      </c>
      <c r="H44" s="604" t="s">
        <v>14</v>
      </c>
      <c r="I44" s="603"/>
      <c r="J44" s="627" t="str" cm="1">
        <f t="array" ref="J44">INDEX(KirjastoC!D4:K150,136,KirjastoC!B4)</f>
        <v>Syötä haluttu tehostusarvo:</v>
      </c>
      <c r="K44"/>
      <c r="L44"/>
      <c r="M44"/>
      <c r="N44" s="24"/>
      <c r="O44" s="24"/>
      <c r="Q44" s="12"/>
      <c r="R44"/>
      <c r="S44" s="143"/>
      <c r="T44" s="143"/>
      <c r="U44" s="143"/>
      <c r="V44" s="143"/>
      <c r="W44" s="163">
        <f>Laskenta_vuosihyötysuhde_C!F39</f>
        <v>1</v>
      </c>
      <c r="X44" s="164">
        <f>Laskenta_vuosihyötysuhde_C!G39</f>
        <v>0.51118721461187211</v>
      </c>
      <c r="Y44" s="165">
        <f>Laskenta_vuosihyötysuhde_C!I39</f>
        <v>3.9400000000000013</v>
      </c>
      <c r="Z44" s="166">
        <f>Laskenta_vuosihyötysuhde_C!N39</f>
        <v>18.059999999999999</v>
      </c>
      <c r="AA44" s="167">
        <f>Laskenta_vuosihyötysuhde_C!U39</f>
        <v>371.6666666666664</v>
      </c>
      <c r="AB44" s="168">
        <f>Laskenta_vuosihyötysuhde_C!V39</f>
        <v>317.03166666666647</v>
      </c>
      <c r="AC44" s="169">
        <f>Laskenta_vuosihyötysuhde_C!W39</f>
        <v>317.03166666666647</v>
      </c>
      <c r="AD44" s="24"/>
    </row>
    <row r="45" spans="2:30" ht="14.25" customHeight="1" x14ac:dyDescent="0.15">
      <c r="B45" s="12"/>
      <c r="C45" s="12"/>
      <c r="D45"/>
      <c r="E45" s="651" t="str">
        <f>TuloksetC!D37</f>
        <v/>
      </c>
      <c r="F45" s="652"/>
      <c r="G45" s="651" t="str">
        <f>TuloksetC!G37</f>
        <v/>
      </c>
      <c r="H45" s="24"/>
      <c r="I45"/>
      <c r="J45" s="833" t="str" cm="1">
        <f t="array" ref="J45">INDEX(KirjastoC!D4:K150,137,KirjastoC!B4)</f>
        <v>Tehostusarvo [%]:</v>
      </c>
      <c r="K45" s="76"/>
      <c r="L45" s="76"/>
      <c r="M45" s="835">
        <v>0.05</v>
      </c>
      <c r="N45" s="24"/>
      <c r="O45" s="24"/>
      <c r="Q45" s="12"/>
      <c r="R45"/>
      <c r="S45" s="143"/>
      <c r="T45" s="143"/>
      <c r="U45" s="143"/>
      <c r="V45" s="143"/>
      <c r="W45" s="163">
        <f>Laskenta_vuosihyötysuhde_C!F40</f>
        <v>2</v>
      </c>
      <c r="X45" s="164">
        <f>Laskenta_vuosihyötysuhde_C!G40</f>
        <v>0.54372146118721465</v>
      </c>
      <c r="Y45" s="165">
        <f>Laskenta_vuosihyötysuhde_C!I40</f>
        <v>4.7929999999999993</v>
      </c>
      <c r="Z45" s="166">
        <f>Laskenta_vuosihyötysuhde_C!N40</f>
        <v>18.207000000000001</v>
      </c>
      <c r="AA45" s="167">
        <f>Laskenta_vuosihyötysuhde_C!U40</f>
        <v>225.62500000000051</v>
      </c>
      <c r="AB45" s="168">
        <f>Laskenta_vuosihyötysuhde_C!V40</f>
        <v>192.45812500000045</v>
      </c>
      <c r="AC45" s="169">
        <f>Laskenta_vuosihyötysuhde_C!W40</f>
        <v>192.45812500000045</v>
      </c>
      <c r="AD45" s="24"/>
    </row>
    <row r="46" spans="2:30" ht="15" customHeight="1" x14ac:dyDescent="0.15">
      <c r="B46" s="12"/>
      <c r="C46" s="601"/>
      <c r="D46"/>
      <c r="E46" s="1373" t="str" cm="1">
        <f t="array" ref="E46">INDEX(KirjastoC!D4:K125,25,KirjastoC!B4)</f>
        <v>Tulopuhallin:</v>
      </c>
      <c r="F46"/>
      <c r="G46" s="1373" t="str" cm="1">
        <f t="array" ref="G46">INDEX(KirjastoC!D4:K125,28,KirjastoC!B4)</f>
        <v>Poistopuhallin:</v>
      </c>
      <c r="H46" s="24"/>
      <c r="I46"/>
      <c r="J46" s="600"/>
      <c r="K46"/>
      <c r="L46" s="646" t="str">
        <f>TuloksetC!CX37</f>
        <v/>
      </c>
      <c r="M46"/>
      <c r="N46" s="24"/>
      <c r="O46" s="24"/>
      <c r="Q46" s="12"/>
      <c r="R46"/>
      <c r="S46" s="143"/>
      <c r="T46" s="143"/>
      <c r="U46" s="143"/>
      <c r="V46" s="143"/>
      <c r="W46" s="163">
        <f>Laskenta_vuosihyötysuhde_C!F41</f>
        <v>3</v>
      </c>
      <c r="X46" s="164">
        <f>Laskenta_vuosihyötysuhde_C!G41</f>
        <v>0.57363013698630139</v>
      </c>
      <c r="Y46" s="165">
        <f>Laskenta_vuosihyötysuhde_C!I41</f>
        <v>5.6460000000000008</v>
      </c>
      <c r="Z46" s="166">
        <f>Laskenta_vuosihyötysuhde_C!N41</f>
        <v>18.353999999999999</v>
      </c>
      <c r="AA46" s="167">
        <f>Laskenta_vuosihyötysuhde_C!U41</f>
        <v>196.49999999999986</v>
      </c>
      <c r="AB46" s="168">
        <f>Laskenta_vuosihyötysuhde_C!V41</f>
        <v>167.61449999999988</v>
      </c>
      <c r="AC46" s="169">
        <f>Laskenta_vuosihyötysuhde_C!W41</f>
        <v>167.61449999999988</v>
      </c>
      <c r="AD46" s="24"/>
    </row>
    <row r="47" spans="2:30" ht="15" customHeight="1" x14ac:dyDescent="0.15">
      <c r="B47" s="12"/>
      <c r="C47" s="602" t="str" cm="1">
        <f t="array" ref="C47">INDEX(KirjastoC!D4:K125,26,KirjastoC!B4)</f>
        <v>Ohjausjännite:</v>
      </c>
      <c r="D47" s="76"/>
      <c r="E47" s="632">
        <f>TuloksetC!E37</f>
        <v>7.7263330467075084</v>
      </c>
      <c r="F47" t="s">
        <v>25</v>
      </c>
      <c r="G47" s="632">
        <f>TuloksetC!H37</f>
        <v>7.2652429851960978</v>
      </c>
      <c r="H47" s="24" t="s">
        <v>25</v>
      </c>
      <c r="I47"/>
      <c r="J47" s="627" t="str" cm="1">
        <f t="array" ref="J47">INDEX(KirjastoC!D4:K150,138,KirjastoC!B4)</f>
        <v>Toimintapiste tehostustilanteessa:</v>
      </c>
      <c r="K47"/>
      <c r="L47"/>
      <c r="M47"/>
      <c r="N47" s="24"/>
      <c r="O47" s="24"/>
      <c r="Q47" s="12"/>
      <c r="R47"/>
      <c r="S47" s="143"/>
      <c r="T47" s="143"/>
      <c r="U47" s="143"/>
      <c r="V47" s="143"/>
      <c r="W47" s="163">
        <f>Laskenta_vuosihyötysuhde_C!F42</f>
        <v>4</v>
      </c>
      <c r="X47" s="164">
        <f>Laskenta_vuosihyötysuhde_C!G42</f>
        <v>0.61015981735159819</v>
      </c>
      <c r="Y47" s="165">
        <f>Laskenta_vuosihyötysuhde_C!I42</f>
        <v>6.4990000000000006</v>
      </c>
      <c r="Z47" s="166">
        <f>Laskenta_vuosihyötysuhde_C!N42</f>
        <v>18.500999999999998</v>
      </c>
      <c r="AA47" s="167">
        <f>Laskenta_vuosihyötysuhde_C!U42</f>
        <v>226.66666666666666</v>
      </c>
      <c r="AB47" s="168">
        <f>Laskenta_vuosihyötysuhde_C!V42</f>
        <v>193.34666666666661</v>
      </c>
      <c r="AC47" s="169">
        <f>Laskenta_vuosihyötysuhde_C!W42</f>
        <v>193.34666666666664</v>
      </c>
      <c r="AD47" s="24"/>
    </row>
    <row r="48" spans="2:30" ht="15.75" customHeight="1" x14ac:dyDescent="0.15">
      <c r="B48" s="12"/>
      <c r="C48" s="602" t="str" cm="1">
        <f t="array" ref="C48">INDEX(KirjastoC!D4:K125,27,KirjastoC!B4)</f>
        <v>Puhaltimen ottoteho:</v>
      </c>
      <c r="D48" s="76"/>
      <c r="E48" s="633">
        <f>TuloksetC!F37</f>
        <v>450.53909890148327</v>
      </c>
      <c r="F48" t="s">
        <v>49</v>
      </c>
      <c r="G48" s="633">
        <f>TuloksetC!I37</f>
        <v>401.74482016316426</v>
      </c>
      <c r="H48" s="24" t="s">
        <v>49</v>
      </c>
      <c r="I48"/>
      <c r="J48" s="12"/>
      <c r="K48"/>
      <c r="L48" s="1372" t="str">
        <f>KirjastoC!M17</f>
        <v>Tuloilma</v>
      </c>
      <c r="M48" s="1372" t="str">
        <f>KirjastoC!M18</f>
        <v>Poistoilma</v>
      </c>
      <c r="N48" s="24"/>
      <c r="O48" s="24"/>
      <c r="Q48" s="12"/>
      <c r="R48"/>
      <c r="S48" s="143"/>
      <c r="T48" s="143"/>
      <c r="U48" s="143"/>
      <c r="V48" s="143"/>
      <c r="W48" s="163">
        <f>Laskenta_vuosihyötysuhde_C!F43</f>
        <v>5</v>
      </c>
      <c r="X48" s="164">
        <f>Laskenta_vuosihyötysuhde_C!G43</f>
        <v>0.63641552511415522</v>
      </c>
      <c r="Y48" s="165">
        <f>Laskenta_vuosihyötysuhde_C!I43</f>
        <v>7.3520000000000003</v>
      </c>
      <c r="Z48" s="166">
        <f>Laskenta_vuosihyötysuhde_C!N43</f>
        <v>18.648</v>
      </c>
      <c r="AA48" s="167">
        <f>Laskenta_vuosihyötysuhde_C!U43</f>
        <v>153.33333333333309</v>
      </c>
      <c r="AB48" s="168">
        <f>Laskenta_vuosihyötysuhde_C!V43</f>
        <v>130.79333333333312</v>
      </c>
      <c r="AC48" s="169">
        <f>Laskenta_vuosihyötysuhde_C!W43</f>
        <v>130.79333333333312</v>
      </c>
      <c r="AD48" s="24"/>
    </row>
    <row r="49" spans="2:30" ht="14.5" customHeight="1" x14ac:dyDescent="0.15">
      <c r="B49" s="12"/>
      <c r="C49" s="12"/>
      <c r="D49"/>
      <c r="E49"/>
      <c r="F49"/>
      <c r="G49"/>
      <c r="H49" s="24"/>
      <c r="I49"/>
      <c r="J49" s="833" t="str" cm="1">
        <f t="array" ref="J49">INDEX(KirjastoC!D4:K150,21,KirjastoC!B4)</f>
        <v>Ilman tilavuusvirta:</v>
      </c>
      <c r="K49" s="76"/>
      <c r="L49" s="633">
        <f>TuloksetC!CR37</f>
        <v>525</v>
      </c>
      <c r="M49" s="633">
        <f>TuloksetC!CS37</f>
        <v>525</v>
      </c>
      <c r="N49" s="24" t="str">
        <f>TuloksetC!$AC$10</f>
        <v>dm³/s</v>
      </c>
      <c r="O49" s="24"/>
      <c r="Q49" s="12"/>
      <c r="R49"/>
      <c r="S49" s="143"/>
      <c r="T49" s="143"/>
      <c r="U49" s="143"/>
      <c r="V49" s="143"/>
      <c r="W49" s="163">
        <f>Laskenta_vuosihyötysuhde_C!F44</f>
        <v>6</v>
      </c>
      <c r="X49" s="164">
        <f>Laskenta_vuosihyötysuhde_C!G44</f>
        <v>0.66415525114155249</v>
      </c>
      <c r="Y49" s="165">
        <f>Laskenta_vuosihyötysuhde_C!I44</f>
        <v>8.2050000000000001</v>
      </c>
      <c r="Z49" s="166">
        <f>Laskenta_vuosihyötysuhde_C!N44</f>
        <v>18.795000000000002</v>
      </c>
      <c r="AA49" s="167">
        <f>Laskenta_vuosihyötysuhde_C!U44</f>
        <v>151.87500000000006</v>
      </c>
      <c r="AB49" s="168">
        <f>Laskenta_vuosihyötysuhde_C!V44</f>
        <v>129.54937500000005</v>
      </c>
      <c r="AC49" s="169">
        <f>Laskenta_vuosihyötysuhde_C!W44</f>
        <v>129.54937500000005</v>
      </c>
      <c r="AD49" s="24"/>
    </row>
    <row r="50" spans="2:30" ht="14.25" customHeight="1" x14ac:dyDescent="0.15">
      <c r="B50" s="12"/>
      <c r="C50" s="606" t="str" cm="1">
        <f t="array" ref="C50">INDEX(KirjastoC!D4:K200,29,KirjastoC!B4)</f>
        <v>Kokonaisteho:</v>
      </c>
      <c r="D50" s="977">
        <f>TuloksetC!K37</f>
        <v>856.68391906464751</v>
      </c>
      <c r="E50" s="2" t="s">
        <v>49</v>
      </c>
      <c r="F50" s="3"/>
      <c r="G50" s="3"/>
      <c r="H50" s="24"/>
      <c r="I50"/>
      <c r="J50" s="843"/>
      <c r="K50"/>
      <c r="L50" s="633">
        <f>TuloksetC!CR38</f>
        <v>1890</v>
      </c>
      <c r="M50" s="633">
        <f>TuloksetC!CS38</f>
        <v>1890</v>
      </c>
      <c r="N50" s="24" t="str">
        <f>TuloksetC!$AC$11</f>
        <v>m³/h</v>
      </c>
      <c r="O50" s="24"/>
      <c r="Q50" s="12"/>
      <c r="R50"/>
      <c r="S50" s="143"/>
      <c r="T50" s="143"/>
      <c r="U50" s="143"/>
      <c r="V50" s="143"/>
      <c r="W50" s="163">
        <f>Laskenta_vuosihyötysuhde_C!F45</f>
        <v>7</v>
      </c>
      <c r="X50" s="164">
        <f>Laskenta_vuosihyötysuhde_C!G45</f>
        <v>0.6905251141552512</v>
      </c>
      <c r="Y50" s="165">
        <f>Laskenta_vuosihyötysuhde_C!I45</f>
        <v>9.0579999999999998</v>
      </c>
      <c r="Z50" s="166">
        <f>Laskenta_vuosihyötysuhde_C!N45</f>
        <v>18.942</v>
      </c>
      <c r="AA50" s="167">
        <f>Laskenta_vuosihyötysuhde_C!U45</f>
        <v>134.75000000000037</v>
      </c>
      <c r="AB50" s="168">
        <f>Laskenta_vuosihyötysuhde_C!V45</f>
        <v>114.94175000000031</v>
      </c>
      <c r="AC50" s="169">
        <f>Laskenta_vuosihyötysuhde_C!W45</f>
        <v>114.94175000000031</v>
      </c>
      <c r="AD50" s="24"/>
    </row>
    <row r="51" spans="2:30" ht="14.25" customHeight="1" x14ac:dyDescent="0.25">
      <c r="B51" s="12"/>
      <c r="C51" s="606" t="str" cm="1">
        <f t="array" ref="C51">INDEX(KirjastoC!D4:K200,30,KirjastoC!B4)</f>
        <v>SFP:</v>
      </c>
      <c r="D51" s="479">
        <f>TuloksetC!L37</f>
        <v>1.7133678381292949</v>
      </c>
      <c r="E51" s="2" t="s">
        <v>1106</v>
      </c>
      <c r="F51" s="424" t="s">
        <v>550</v>
      </c>
      <c r="G51" s="444">
        <f>TuloksetC!CI37</f>
        <v>1220.4312536243633</v>
      </c>
      <c r="H51" s="610" t="s">
        <v>1105</v>
      </c>
      <c r="I51"/>
      <c r="J51" s="833" t="str" cm="1">
        <f t="array" ref="J51">INDEX(KirjastoC!D4:K150,22,KirjastoC!B4)</f>
        <v>Paine-ero:</v>
      </c>
      <c r="K51" s="76"/>
      <c r="L51" s="633">
        <f>TuloksetC!CT37</f>
        <v>164.27249999999998</v>
      </c>
      <c r="M51" s="633">
        <f>TuloksetC!CU37</f>
        <v>164.27249999999998</v>
      </c>
      <c r="N51" s="24" t="s">
        <v>14</v>
      </c>
      <c r="O51" s="24"/>
      <c r="Q51" s="12"/>
      <c r="R51"/>
      <c r="S51" s="143"/>
      <c r="T51" s="143"/>
      <c r="U51" s="143"/>
      <c r="V51" s="143"/>
      <c r="W51" s="163">
        <f>Laskenta_vuosihyötysuhde_C!F46</f>
        <v>8</v>
      </c>
      <c r="X51" s="164">
        <f>Laskenta_vuosihyötysuhde_C!G46</f>
        <v>0.71872146118721458</v>
      </c>
      <c r="Y51" s="165">
        <f>Laskenta_vuosihyötysuhde_C!I46</f>
        <v>9.9109999999999996</v>
      </c>
      <c r="Z51" s="166">
        <f>Laskenta_vuosihyötysuhde_C!N46</f>
        <v>19.088999999999999</v>
      </c>
      <c r="AA51" s="167">
        <f>Laskenta_vuosihyötysuhde_C!U46</f>
        <v>133.79166666666626</v>
      </c>
      <c r="AB51" s="168">
        <f>Laskenta_vuosihyötysuhde_C!V46</f>
        <v>114.12429166666631</v>
      </c>
      <c r="AC51" s="169">
        <f>Laskenta_vuosihyötysuhde_C!W46</f>
        <v>114.12429166666632</v>
      </c>
      <c r="AD51" s="24"/>
    </row>
    <row r="52" spans="2:30" ht="14.25" customHeight="1" x14ac:dyDescent="0.25">
      <c r="B52" s="12"/>
      <c r="C52" s="606" t="s">
        <v>1103</v>
      </c>
      <c r="D52" s="479">
        <f>TuloksetC!R41</f>
        <v>0.47593551059147082</v>
      </c>
      <c r="E52" s="2" t="s">
        <v>1104</v>
      </c>
      <c r="F52" s="424" t="s">
        <v>575</v>
      </c>
      <c r="G52" s="444">
        <f>TuloksetC!CJ37</f>
        <v>1241</v>
      </c>
      <c r="H52" s="610" t="s">
        <v>1105</v>
      </c>
      <c r="I52"/>
      <c r="J52" s="833" t="str" cm="1">
        <f t="array" ref="J52">INDEX(KirjastoC!D4:K150,26,KirjastoC!B4)</f>
        <v>Ohjausjännite:</v>
      </c>
      <c r="K52" s="76"/>
      <c r="L52" s="632">
        <f>TuloksetC!CZ37</f>
        <v>8.0778802122700597</v>
      </c>
      <c r="M52" s="632">
        <f>TuloksetC!DA37</f>
        <v>7.5967132178967631</v>
      </c>
      <c r="N52" s="24" t="s">
        <v>25</v>
      </c>
      <c r="O52" s="24"/>
      <c r="Q52" s="12"/>
      <c r="R52"/>
      <c r="S52" s="143"/>
      <c r="T52" s="143"/>
      <c r="U52" s="143"/>
      <c r="V52" s="143"/>
      <c r="W52" s="163">
        <f>Laskenta_vuosihyötysuhde_C!F47</f>
        <v>9</v>
      </c>
      <c r="X52" s="164">
        <f>Laskenta_vuosihyötysuhde_C!G47</f>
        <v>0.74885844748858443</v>
      </c>
      <c r="Y52" s="165">
        <f>Laskenta_vuosihyötysuhde_C!I47</f>
        <v>10.763999999999999</v>
      </c>
      <c r="Z52" s="166">
        <f>Laskenta_vuosihyötysuhde_C!N47</f>
        <v>19.236000000000001</v>
      </c>
      <c r="AA52" s="167">
        <f>Laskenta_vuosihyötysuhde_C!U47</f>
        <v>131.99999999999994</v>
      </c>
      <c r="AB52" s="168">
        <f>Laskenta_vuosihyötysuhde_C!V47</f>
        <v>112.59599999999996</v>
      </c>
      <c r="AC52" s="169">
        <f>Laskenta_vuosihyötysuhde_C!W47</f>
        <v>112.59599999999996</v>
      </c>
      <c r="AD52" s="24"/>
    </row>
    <row r="53" spans="2:30" s="282" customFormat="1" ht="15" customHeight="1" x14ac:dyDescent="0.15">
      <c r="B53" s="12"/>
      <c r="C53" s="666" t="str" cm="1">
        <f t="array" ref="C53">INDEX(KirjastoC!D4:K200,143,KirjastoC!B4)</f>
        <v>Huom. yllä olevat arvot sisältävät myös laitteen elektroniikan.</v>
      </c>
      <c r="D53" s="25"/>
      <c r="E53" s="25"/>
      <c r="F53" s="25"/>
      <c r="G53" s="25"/>
      <c r="H53" s="26"/>
      <c r="I53"/>
      <c r="J53" s="612"/>
      <c r="K53" s="613"/>
      <c r="L53" s="613"/>
      <c r="M53" s="614"/>
      <c r="N53" s="615"/>
      <c r="O53" s="24"/>
      <c r="Q53" s="12"/>
      <c r="R53"/>
      <c r="S53" s="143"/>
      <c r="T53" s="143"/>
      <c r="U53" s="143"/>
      <c r="V53" s="143"/>
      <c r="W53" s="163">
        <f>Laskenta_vuosihyötysuhde_C!F48</f>
        <v>10</v>
      </c>
      <c r="X53" s="164">
        <f>Laskenta_vuosihyötysuhde_C!G48</f>
        <v>0.78527397260273968</v>
      </c>
      <c r="Y53" s="165">
        <f>Laskenta_vuosihyötysuhde_C!I48</f>
        <v>11.617000000000001</v>
      </c>
      <c r="Z53" s="166">
        <f>Laskenta_vuosihyötysuhde_C!N48</f>
        <v>19.382999999999999</v>
      </c>
      <c r="AA53" s="167">
        <f>Laskenta_vuosihyötysuhde_C!U48</f>
        <v>146.20833333333331</v>
      </c>
      <c r="AB53" s="168">
        <f>Laskenta_vuosihyötysuhde_C!V48</f>
        <v>124.71570833333331</v>
      </c>
      <c r="AC53" s="169">
        <f>Laskenta_vuosihyötysuhde_C!W48</f>
        <v>124.71570833333331</v>
      </c>
      <c r="AD53" s="24"/>
    </row>
    <row r="54" spans="2:30" s="282" customFormat="1" ht="15" customHeight="1" x14ac:dyDescent="0.15">
      <c r="B54" s="12"/>
      <c r="C54" s="652"/>
      <c r="D54"/>
      <c r="E54"/>
      <c r="F54"/>
      <c r="G54"/>
      <c r="H54"/>
      <c r="I54"/>
      <c r="J54" s="425"/>
      <c r="K54" s="598"/>
      <c r="L54" s="598"/>
      <c r="M54" s="599"/>
      <c r="N54" s="425"/>
      <c r="O54" s="24"/>
      <c r="Q54" s="797"/>
      <c r="R54" s="143"/>
      <c r="S54" s="143"/>
      <c r="T54" s="143"/>
      <c r="U54" s="143"/>
      <c r="V54" s="143"/>
      <c r="W54" s="163">
        <f>Laskenta_vuosihyötysuhde_C!F49</f>
        <v>11</v>
      </c>
      <c r="X54" s="164">
        <f>Laskenta_vuosihyötysuhde_C!G49</f>
        <v>0.82283105022831049</v>
      </c>
      <c r="Y54" s="165">
        <f>Laskenta_vuosihyötysuhde_C!I49</f>
        <v>12.47</v>
      </c>
      <c r="Z54" s="166">
        <f>Laskenta_vuosihyötysuhde_C!N49</f>
        <v>19.53</v>
      </c>
      <c r="AA54" s="167">
        <f>Laskenta_vuosihyötysuhde_C!U49</f>
        <v>137.08333333333346</v>
      </c>
      <c r="AB54" s="168">
        <f>Laskenta_vuosihyötysuhde_C!V49</f>
        <v>116.93208333333345</v>
      </c>
      <c r="AC54" s="169">
        <f>Laskenta_vuosihyötysuhde_C!W49</f>
        <v>116.93208333333344</v>
      </c>
      <c r="AD54" s="154"/>
    </row>
    <row r="55" spans="2:30" s="282" customFormat="1" ht="15" customHeight="1" x14ac:dyDescent="0.15">
      <c r="B55" s="12"/>
      <c r="C55" s="2" t="str" cm="1">
        <f t="array" ref="C55">INDEX(KirjastoC!D4:K125,31,KirjastoC!B4)</f>
        <v>Äänitehotasot liitäntäkanavissa</v>
      </c>
      <c r="D55"/>
      <c r="E55"/>
      <c r="F55"/>
      <c r="G55"/>
      <c r="H55"/>
      <c r="I55"/>
      <c r="J55"/>
      <c r="K55"/>
      <c r="L55"/>
      <c r="M55"/>
      <c r="N55"/>
      <c r="O55" s="24"/>
      <c r="Q55" s="797"/>
      <c r="R55" s="143"/>
      <c r="S55" s="143"/>
      <c r="T55" s="143"/>
      <c r="U55" s="143"/>
      <c r="V55" s="143"/>
      <c r="W55" s="172">
        <f>Laskenta_vuosihyötysuhde_C!F50</f>
        <v>12</v>
      </c>
      <c r="X55" s="173">
        <f>Laskenta_vuosihyötysuhde_C!G50</f>
        <v>0.85114155251141554</v>
      </c>
      <c r="Y55" s="174">
        <f>Laskenta_vuosihyötysuhde_C!I50</f>
        <v>13.323</v>
      </c>
      <c r="Z55" s="175">
        <f>Laskenta_vuosihyötysuhde_C!N50</f>
        <v>19.677</v>
      </c>
      <c r="AA55" s="176">
        <f>Laskenta_vuosihyötysuhde_C!U50</f>
        <v>93.000000000000099</v>
      </c>
      <c r="AB55" s="177">
        <f>Laskenta_vuosihyötysuhde_C!V50</f>
        <v>79.329000000000079</v>
      </c>
      <c r="AC55" s="178">
        <f>Laskenta_vuosihyötysuhde_C!W50</f>
        <v>79.329000000000079</v>
      </c>
      <c r="AD55" s="154"/>
    </row>
    <row r="56" spans="2:30" s="282" customFormat="1" ht="15" customHeight="1" x14ac:dyDescent="0.15">
      <c r="B56" s="12"/>
      <c r="C56" s="1399" t="str" cm="1">
        <f t="array" ref="C56">INDEX(KirjastoC!D4:K125,32,KirjastoC!B4)</f>
        <v>Liitäntäkanava</v>
      </c>
      <c r="D56" s="1449" t="str" cm="1">
        <f t="array" ref="D56">INDEX(KirjastoC!D4:K125,38,KirjastoC!B4)</f>
        <v>Äänitehotasot oktaavikaistoittain LW,okt [dB]</v>
      </c>
      <c r="E56" s="1449"/>
      <c r="F56" s="1449"/>
      <c r="G56" s="1449"/>
      <c r="H56" s="1449"/>
      <c r="I56" s="1449"/>
      <c r="J56" s="1449"/>
      <c r="K56" s="1449"/>
      <c r="L56" s="1449"/>
      <c r="M56" s="1448" t="s">
        <v>60</v>
      </c>
      <c r="N56" s="1446" t="s">
        <v>69</v>
      </c>
      <c r="O56" s="24"/>
      <c r="Q56" s="797"/>
      <c r="R56" s="143"/>
      <c r="S56" s="143"/>
      <c r="T56" s="143"/>
      <c r="U56" s="143"/>
      <c r="V56" s="143"/>
      <c r="W56" s="179"/>
      <c r="X56" s="180"/>
      <c r="Y56" s="180"/>
      <c r="Z56" s="247" t="str" cm="1">
        <f t="array" ref="Z56">INDEX(KirjastoC!D4:K125,100,KirjastoC!B4)</f>
        <v>Yhteensä</v>
      </c>
      <c r="AA56" s="181">
        <f>SUM(AA11:AA55)</f>
        <v>7068.625</v>
      </c>
      <c r="AB56" s="246">
        <f>SUM(AB11:AB55)</f>
        <v>5710.7132083333317</v>
      </c>
      <c r="AC56" s="246">
        <f>SUM(AC11:AC55)</f>
        <v>5710.7132083333317</v>
      </c>
      <c r="AD56" s="154"/>
    </row>
    <row r="57" spans="2:30" s="282" customFormat="1" ht="15" customHeight="1" x14ac:dyDescent="0.15">
      <c r="B57" s="12"/>
      <c r="C57" s="1399"/>
      <c r="D57" s="92" t="s">
        <v>61</v>
      </c>
      <c r="E57" s="93" t="s">
        <v>62</v>
      </c>
      <c r="F57" s="93" t="s">
        <v>63</v>
      </c>
      <c r="G57" s="93" t="s">
        <v>64</v>
      </c>
      <c r="H57" s="93" t="s">
        <v>65</v>
      </c>
      <c r="I57" s="1402" t="s">
        <v>66</v>
      </c>
      <c r="J57" s="1403"/>
      <c r="K57" s="93" t="s">
        <v>67</v>
      </c>
      <c r="L57" s="94" t="s">
        <v>68</v>
      </c>
      <c r="M57" s="1449"/>
      <c r="N57" s="1447"/>
      <c r="O57" s="24"/>
      <c r="Q57" s="797"/>
      <c r="R57" s="143"/>
      <c r="S57" s="143"/>
      <c r="T57" s="143"/>
      <c r="U57" s="143"/>
      <c r="V57" s="143"/>
      <c r="W57" s="182"/>
      <c r="X57" s="182"/>
      <c r="Y57" s="182"/>
      <c r="Z57" s="143"/>
      <c r="AA57" s="143"/>
      <c r="AB57" s="143"/>
      <c r="AC57" s="143"/>
      <c r="AD57" s="154"/>
    </row>
    <row r="58" spans="2:30" ht="14.5" customHeight="1" x14ac:dyDescent="0.15">
      <c r="B58" s="797"/>
      <c r="C58" s="798" t="str" cm="1">
        <f t="array" ref="C58">INDEX(KirjastoC!D4:K125,33,KirjastoC!B4)</f>
        <v>Tuloilma</v>
      </c>
      <c r="D58" s="799">
        <f>TuloksetC!P37</f>
        <v>71.998695825235586</v>
      </c>
      <c r="E58" s="800">
        <f>TuloksetC!Q37</f>
        <v>67.998695825235586</v>
      </c>
      <c r="F58" s="800">
        <f>TuloksetC!R37</f>
        <v>75.998695825235586</v>
      </c>
      <c r="G58" s="800">
        <f>TuloksetC!S37</f>
        <v>67.998695825235586</v>
      </c>
      <c r="H58" s="800">
        <f>TuloksetC!T37</f>
        <v>64.998695825235586</v>
      </c>
      <c r="I58" s="1450">
        <f>TuloksetC!U37</f>
        <v>63.998695825235586</v>
      </c>
      <c r="J58" s="1451"/>
      <c r="K58" s="800">
        <f>TuloksetC!V37</f>
        <v>57.998695825235586</v>
      </c>
      <c r="L58" s="801">
        <f>TuloksetC!W37</f>
        <v>57.998695825235586</v>
      </c>
      <c r="M58" s="802">
        <f>TuloksetC!X37</f>
        <v>78.761733185898294</v>
      </c>
      <c r="N58" s="803">
        <f>TuloksetC!Y37</f>
        <v>71.998695825235586</v>
      </c>
      <c r="O58" s="154"/>
      <c r="Q58" s="797"/>
      <c r="R58" s="143"/>
      <c r="S58" s="143"/>
      <c r="T58" s="143"/>
      <c r="U58" s="143"/>
      <c r="V58" s="143"/>
      <c r="W58" s="1400" t="str" cm="1">
        <f t="array" ref="W58">INDEX(KirjastoC!D4:K125,101,KirjastoC!B4)</f>
        <v>SS,Kd = sisä- ja ulkoilman lämpötilan välinen lämmöntarveluku, Kd</v>
      </c>
      <c r="X58" s="1400"/>
      <c r="Y58" s="1400"/>
      <c r="Z58" s="1400"/>
      <c r="AA58" s="1400"/>
      <c r="AB58" s="1400"/>
      <c r="AC58" s="1400"/>
      <c r="AD58" s="154"/>
    </row>
    <row r="59" spans="2:30" ht="15.75" customHeight="1" x14ac:dyDescent="0.15">
      <c r="B59" s="797"/>
      <c r="C59" s="804" t="str" cm="1">
        <f t="array" ref="C59">INDEX(KirjastoC!D4:K125,34,KirjastoC!B4)</f>
        <v>Ulkoilma</v>
      </c>
      <c r="D59" s="805">
        <f>TuloksetC!Z37</f>
        <v>63.010413371069873</v>
      </c>
      <c r="E59" s="806">
        <f>TuloksetC!AA37</f>
        <v>58.010413371069873</v>
      </c>
      <c r="F59" s="806">
        <f>TuloksetC!AB37</f>
        <v>57.010413371069873</v>
      </c>
      <c r="G59" s="806">
        <f>TuloksetC!AC37</f>
        <v>52.010413371069873</v>
      </c>
      <c r="H59" s="806">
        <f>TuloksetC!AD37</f>
        <v>43.010413371069873</v>
      </c>
      <c r="I59" s="1452">
        <f>TuloksetC!AE37</f>
        <v>39.010413371069873</v>
      </c>
      <c r="J59" s="1453"/>
      <c r="K59" s="806">
        <f>TuloksetC!AF37</f>
        <v>34.010413371069873</v>
      </c>
      <c r="L59" s="807">
        <f>TuloksetC!AG37</f>
        <v>29.010413371069873</v>
      </c>
      <c r="M59" s="808">
        <f>TuloksetC!AH37</f>
        <v>65.217996830982557</v>
      </c>
      <c r="N59" s="809">
        <f>TuloksetC!AI37</f>
        <v>53.010413371069873</v>
      </c>
      <c r="O59" s="154"/>
      <c r="Q59" s="12"/>
      <c r="R59"/>
      <c r="S59" s="143"/>
      <c r="T59" s="143"/>
      <c r="U59" s="143"/>
      <c r="V59" s="143"/>
      <c r="W59" s="1400"/>
      <c r="X59" s="1400"/>
      <c r="Y59" s="1400"/>
      <c r="Z59" s="1400"/>
      <c r="AA59" s="1400"/>
      <c r="AB59" s="1400"/>
      <c r="AC59" s="1400"/>
      <c r="AD59" s="24"/>
    </row>
    <row r="60" spans="2:30" ht="15.75" customHeight="1" x14ac:dyDescent="0.15">
      <c r="B60" s="797"/>
      <c r="C60" s="810" t="str" cm="1">
        <f t="array" ref="C60">INDEX(KirjastoC!D4:K125,35,KirjastoC!B4)</f>
        <v>Poistoilma</v>
      </c>
      <c r="D60" s="811">
        <f>TuloksetC!AJ37</f>
        <v>61.941720020505876</v>
      </c>
      <c r="E60" s="812">
        <f>TuloksetC!AK37</f>
        <v>56.941720020505876</v>
      </c>
      <c r="F60" s="812">
        <f>TuloksetC!AL37</f>
        <v>59.941720020505876</v>
      </c>
      <c r="G60" s="812">
        <f>TuloksetC!AM37</f>
        <v>52.941720020505876</v>
      </c>
      <c r="H60" s="812">
        <f>TuloksetC!AN37</f>
        <v>46.941720020505876</v>
      </c>
      <c r="I60" s="1450">
        <f>TuloksetC!AO37</f>
        <v>42.941720020505876</v>
      </c>
      <c r="J60" s="1451"/>
      <c r="K60" s="812">
        <f>TuloksetC!AP37</f>
        <v>38.941720020505876</v>
      </c>
      <c r="L60" s="813">
        <f>TuloksetC!AQ37</f>
        <v>30.941720020505876</v>
      </c>
      <c r="M60" s="814">
        <f>TuloksetC!AR37</f>
        <v>65.211416102077266</v>
      </c>
      <c r="N60" s="815">
        <f>TuloksetC!AS37</f>
        <v>55.21854617191547</v>
      </c>
      <c r="O60" s="154"/>
      <c r="Q60" s="12"/>
      <c r="R60"/>
      <c r="S60" s="143"/>
      <c r="T60" s="143"/>
      <c r="U60" s="143"/>
      <c r="V60" s="143"/>
      <c r="W60" s="1400" t="str" cm="1">
        <f t="array" ref="W60">INDEX(KirjastoC!D4:K125,102,KirjastoC!B4)</f>
        <v>ST,Kd = tulo- ja ulkoilman lämpötilan välinen lämmöntarveluku, Kd</v>
      </c>
      <c r="X60" s="1400"/>
      <c r="Y60" s="1400"/>
      <c r="Z60" s="1400"/>
      <c r="AA60" s="1400"/>
      <c r="AB60" s="1400"/>
      <c r="AC60" s="1400"/>
      <c r="AD60" s="24"/>
    </row>
    <row r="61" spans="2:30" ht="13.5" customHeight="1" x14ac:dyDescent="0.15">
      <c r="B61" s="797"/>
      <c r="C61" s="804" t="str" cm="1">
        <f t="array" ref="C61">INDEX(KirjastoC!D4:K125,36,KirjastoC!B4)</f>
        <v>Jäteilma</v>
      </c>
      <c r="D61" s="805">
        <f>TuloksetC!AT37</f>
        <v>71.38823287919044</v>
      </c>
      <c r="E61" s="806">
        <f>TuloksetC!AU37</f>
        <v>69.38823287919044</v>
      </c>
      <c r="F61" s="806">
        <f>TuloksetC!AV37</f>
        <v>77.38823287919044</v>
      </c>
      <c r="G61" s="806">
        <f>TuloksetC!AW37</f>
        <v>68.38823287919044</v>
      </c>
      <c r="H61" s="806">
        <f>TuloksetC!AX37</f>
        <v>66.38823287919044</v>
      </c>
      <c r="I61" s="1452">
        <f>TuloksetC!AY37</f>
        <v>65.38823287919044</v>
      </c>
      <c r="J61" s="1453"/>
      <c r="K61" s="806">
        <f>TuloksetC!AZ37</f>
        <v>58.38823287919044</v>
      </c>
      <c r="L61" s="807">
        <f>TuloksetC!BA37</f>
        <v>58.38823287919044</v>
      </c>
      <c r="M61" s="808">
        <f>TuloksetC!BB37</f>
        <v>79.701087152007744</v>
      </c>
      <c r="N61" s="809">
        <f>TuloksetC!BC37</f>
        <v>73.310199277948499</v>
      </c>
      <c r="O61" s="154"/>
      <c r="Q61" s="12"/>
      <c r="R61"/>
      <c r="S61" s="143"/>
      <c r="T61" s="143"/>
      <c r="U61" s="143"/>
      <c r="V61" s="143"/>
      <c r="W61" s="1400"/>
      <c r="X61" s="1400"/>
      <c r="Y61" s="1400"/>
      <c r="Z61" s="1400"/>
      <c r="AA61" s="1400"/>
      <c r="AB61" s="1400"/>
      <c r="AC61" s="1400"/>
      <c r="AD61" s="24"/>
    </row>
    <row r="62" spans="2:30" s="282" customFormat="1" ht="17" customHeight="1" x14ac:dyDescent="0.15">
      <c r="B62" s="797"/>
      <c r="C62" s="979"/>
      <c r="D62" s="980"/>
      <c r="E62" s="980"/>
      <c r="F62" s="980"/>
      <c r="G62" s="980"/>
      <c r="H62" s="980"/>
      <c r="I62" s="1486"/>
      <c r="J62" s="1486"/>
      <c r="K62" s="980"/>
      <c r="L62" s="980"/>
      <c r="M62" s="980"/>
      <c r="N62" s="981"/>
      <c r="O62" s="154"/>
      <c r="Q62" s="12"/>
      <c r="R62"/>
      <c r="S62" s="143"/>
      <c r="T62" s="143"/>
      <c r="U62" s="143"/>
      <c r="V62" s="143"/>
      <c r="W62" s="1400" t="str" cm="1">
        <f t="array" ref="W62">INDEX(KirjastoC!D4:K125,103,KirjastoC!B4)</f>
        <v>SJ,Kd = jäte- ja ulkoilman lämpötilan välinen lämmöntarveluku, Kd</v>
      </c>
      <c r="X62" s="1400"/>
      <c r="Y62" s="1400"/>
      <c r="Z62" s="1400"/>
      <c r="AA62" s="1400"/>
      <c r="AB62" s="1400"/>
      <c r="AC62" s="1400"/>
      <c r="AD62" s="24"/>
    </row>
    <row r="63" spans="2:30" s="282" customFormat="1" ht="16.25" customHeight="1" x14ac:dyDescent="0.15">
      <c r="B63" s="12"/>
      <c r="C63" s="2" t="str" cm="1">
        <f t="array" ref="C63">IF(TuloksetC!BD2,CONCATENATE(INDEX(KirjastoC!D4:K125,41,KirjastoC!B4),":"),INDEX(KirjastoC!D4:K125,41,KirjastoC!B4))</f>
        <v>Äänitehotasot ympäristöön</v>
      </c>
      <c r="D63"/>
      <c r="E63"/>
      <c r="F63" s="140" t="str" cm="1">
        <f t="array" ref="F63">IF(TuloksetC!BD4,INDEX(KirjastoC!D4:K129,125,KirjastoC!B4),"")</f>
        <v/>
      </c>
      <c r="G63"/>
      <c r="H63"/>
      <c r="I63"/>
      <c r="J63"/>
      <c r="K63"/>
      <c r="L63"/>
      <c r="M63"/>
      <c r="N63"/>
      <c r="O63" s="24"/>
      <c r="Q63" s="797"/>
      <c r="R63" s="143"/>
      <c r="S63" s="143"/>
      <c r="T63" s="143"/>
      <c r="U63" s="143"/>
      <c r="V63" s="143"/>
      <c r="W63" s="1400"/>
      <c r="X63" s="1400"/>
      <c r="Y63" s="1400"/>
      <c r="Z63" s="1400"/>
      <c r="AA63" s="1400"/>
      <c r="AB63" s="1400"/>
      <c r="AC63" s="1400"/>
      <c r="AD63" s="154"/>
    </row>
    <row r="64" spans="2:30" s="282" customFormat="1" ht="16.25" customHeight="1" x14ac:dyDescent="0.15">
      <c r="B64" s="12"/>
      <c r="C64" s="1399"/>
      <c r="D64" s="1449" t="str" cm="1">
        <f t="array" ref="D64">INDEX(KirjastoC!D4:K125,38,KirjastoC!B4)</f>
        <v>Äänitehotasot oktaavikaistoittain LW,okt [dB]</v>
      </c>
      <c r="E64" s="1449"/>
      <c r="F64" s="1449"/>
      <c r="G64" s="1449"/>
      <c r="H64" s="1449"/>
      <c r="I64" s="1449"/>
      <c r="J64" s="1449"/>
      <c r="K64" s="1449"/>
      <c r="L64" s="1449"/>
      <c r="M64" s="1448" t="s">
        <v>60</v>
      </c>
      <c r="N64" s="1448" t="s">
        <v>69</v>
      </c>
      <c r="O64" s="24"/>
      <c r="Q64" s="797"/>
      <c r="R64" s="143"/>
      <c r="S64" s="143"/>
      <c r="T64" s="143"/>
      <c r="U64" s="143"/>
      <c r="V64" s="143"/>
      <c r="W64" s="1421" t="str">
        <f>Laskenta_vuosihyötysuhde_C!B52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4" s="1421"/>
      <c r="Y64" s="1421"/>
      <c r="Z64" s="1421"/>
      <c r="AA64" s="1421"/>
      <c r="AB64" s="1421"/>
      <c r="AC64" s="1421"/>
      <c r="AD64" s="154"/>
    </row>
    <row r="65" spans="2:30" ht="14.25" customHeight="1" x14ac:dyDescent="0.15">
      <c r="B65" s="12"/>
      <c r="C65" s="1399"/>
      <c r="D65" s="92" t="s">
        <v>61</v>
      </c>
      <c r="E65" s="93" t="s">
        <v>62</v>
      </c>
      <c r="F65" s="93" t="s">
        <v>63</v>
      </c>
      <c r="G65" s="93" t="s">
        <v>64</v>
      </c>
      <c r="H65" s="93" t="s">
        <v>65</v>
      </c>
      <c r="I65" s="1402" t="s">
        <v>66</v>
      </c>
      <c r="J65" s="1403"/>
      <c r="K65" s="93" t="s">
        <v>67</v>
      </c>
      <c r="L65" s="94" t="s">
        <v>68</v>
      </c>
      <c r="M65" s="1449"/>
      <c r="N65" s="1449"/>
      <c r="O65" s="24"/>
      <c r="Q65" s="797"/>
      <c r="R65" s="143"/>
      <c r="S65" s="143"/>
      <c r="T65" s="143"/>
      <c r="U65" s="143"/>
      <c r="V65" s="143"/>
      <c r="W65" s="1421"/>
      <c r="X65" s="1421"/>
      <c r="Y65" s="1421"/>
      <c r="Z65" s="1421"/>
      <c r="AA65" s="1421"/>
      <c r="AB65" s="1421"/>
      <c r="AC65" s="1421"/>
      <c r="AD65" s="154"/>
    </row>
    <row r="66" spans="2:30" ht="15.75" customHeight="1" thickBot="1" x14ac:dyDescent="0.2">
      <c r="B66" s="797"/>
      <c r="C66" s="822" t="str" cm="1">
        <f t="array" ref="C66">INDEX(KirjastoC!D4:K125,42,KirjastoC!B4)</f>
        <v>Vaipan läpi</v>
      </c>
      <c r="D66" s="823">
        <f>TuloksetC!BD37</f>
        <v>57.754937004736405</v>
      </c>
      <c r="E66" s="824">
        <f>TuloksetC!BE37</f>
        <v>56.754937004736405</v>
      </c>
      <c r="F66" s="824">
        <f>TuloksetC!BF37</f>
        <v>51.754937004736405</v>
      </c>
      <c r="G66" s="824">
        <f>TuloksetC!BG37</f>
        <v>38.754937004736405</v>
      </c>
      <c r="H66" s="824">
        <f>TuloksetC!BH37</f>
        <v>35.754937004736405</v>
      </c>
      <c r="I66" s="1404">
        <f>TuloksetC!BI37</f>
        <v>34.754937004736405</v>
      </c>
      <c r="J66" s="1405"/>
      <c r="K66" s="824">
        <f>TuloksetC!BJ37</f>
        <v>25.754937004736405</v>
      </c>
      <c r="L66" s="825">
        <f>TuloksetC!BK37</f>
        <v>24.754937004736405</v>
      </c>
      <c r="M66" s="826">
        <f>TuloksetC!BL37</f>
        <v>60.915814620997779</v>
      </c>
      <c r="N66" s="827">
        <f>TuloksetC!BM37</f>
        <v>46.602689127318683</v>
      </c>
      <c r="O66" s="154"/>
      <c r="Q66" s="12"/>
      <c r="R66"/>
      <c r="S66" s="143"/>
      <c r="T66" s="143"/>
      <c r="U66" s="143"/>
      <c r="V66" s="143"/>
      <c r="W66" s="1421"/>
      <c r="X66" s="1421"/>
      <c r="Y66" s="1421"/>
      <c r="Z66" s="1421"/>
      <c r="AA66" s="1421"/>
      <c r="AB66" s="1421"/>
      <c r="AC66" s="1421"/>
      <c r="AD66" s="24"/>
    </row>
    <row r="67" spans="2:30" ht="15.75" customHeight="1" thickTop="1" x14ac:dyDescent="0.15">
      <c r="B67" s="797"/>
      <c r="C67" s="983" t="str" cm="1">
        <f t="array" ref="C67">INDEX(KirjastoC!D4:K125,43,KirjastoC!B4)</f>
        <v>Äänipainetaso huonetilassa, jonka ääniabsorptioala 10m²:</v>
      </c>
      <c r="D67" s="984"/>
      <c r="E67" s="984"/>
      <c r="F67" s="984"/>
      <c r="G67" s="984"/>
      <c r="H67" s="984"/>
      <c r="I67" s="984"/>
      <c r="J67" s="984"/>
      <c r="K67" s="984"/>
      <c r="L67" s="984"/>
      <c r="M67" s="985" t="s">
        <v>99</v>
      </c>
      <c r="N67" s="986">
        <f>TuloksetC!BN37</f>
        <v>42.623289040598308</v>
      </c>
      <c r="O67" s="154"/>
      <c r="Q67" s="12"/>
      <c r="R67"/>
      <c r="S67" s="143"/>
      <c r="T67" s="143"/>
      <c r="U67" s="143"/>
      <c r="V67" s="143"/>
      <c r="W67" s="1421"/>
      <c r="X67" s="1421"/>
      <c r="Y67" s="1421"/>
      <c r="Z67" s="1421"/>
      <c r="AA67" s="1421"/>
      <c r="AB67" s="1421"/>
      <c r="AC67" s="1421"/>
      <c r="AD67" s="24"/>
    </row>
    <row r="68" spans="2:30" ht="15.75" customHeight="1" x14ac:dyDescent="0.15">
      <c r="B68" s="1074"/>
      <c r="C68" s="1075"/>
      <c r="D68" s="1076"/>
      <c r="E68" s="1076"/>
      <c r="F68" s="1076"/>
      <c r="G68" s="1076"/>
      <c r="H68" s="1076"/>
      <c r="I68" s="1076"/>
      <c r="J68" s="1076"/>
      <c r="K68" s="1076"/>
      <c r="L68" s="1076"/>
      <c r="M68" s="1077"/>
      <c r="N68" s="1076"/>
      <c r="O68" s="1078"/>
      <c r="Q68" s="12"/>
      <c r="R68"/>
      <c r="S68" s="143"/>
      <c r="T68" s="143"/>
      <c r="U68" s="143"/>
      <c r="V68" s="143"/>
      <c r="W68" s="1421"/>
      <c r="X68" s="1421"/>
      <c r="Y68" s="1421"/>
      <c r="Z68" s="1421"/>
      <c r="AA68" s="1421"/>
      <c r="AB68" s="1421"/>
      <c r="AC68" s="1421"/>
      <c r="AD68" s="24"/>
    </row>
    <row r="69" spans="2:30" ht="16.5" customHeight="1" x14ac:dyDescent="0.15">
      <c r="B69" s="1074"/>
      <c r="C69" s="1388"/>
      <c r="D69" s="1389"/>
      <c r="E69" s="1389"/>
      <c r="F69" s="1389"/>
      <c r="G69" s="1389"/>
      <c r="H69" s="1389"/>
      <c r="I69" s="1389"/>
      <c r="J69" s="1389"/>
      <c r="K69" s="1389"/>
      <c r="L69" s="1389"/>
      <c r="M69" s="1390"/>
      <c r="N69" s="1389"/>
      <c r="O69" s="1078"/>
      <c r="Q69" s="12"/>
      <c r="R69"/>
      <c r="S69" s="143"/>
      <c r="T69" s="143"/>
      <c r="U69" s="143"/>
      <c r="V69" s="143"/>
      <c r="W69" s="1421"/>
      <c r="X69" s="1421"/>
      <c r="Y69" s="1421"/>
      <c r="Z69" s="1421"/>
      <c r="AA69" s="1421"/>
      <c r="AB69" s="1421"/>
      <c r="AC69" s="1421"/>
      <c r="AD69" s="24"/>
    </row>
    <row r="70" spans="2:30" ht="16.5" customHeight="1" x14ac:dyDescent="0.15">
      <c r="B70" s="38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386"/>
      <c r="Q70" s="12"/>
      <c r="R70"/>
      <c r="S70" s="143"/>
      <c r="T70" s="143"/>
      <c r="U70" s="143"/>
      <c r="V70" s="143"/>
      <c r="W70" s="182"/>
      <c r="X70" s="182"/>
      <c r="Y70" s="182"/>
      <c r="Z70" s="143"/>
      <c r="AA70" s="143"/>
      <c r="AB70" s="143"/>
      <c r="AC70" s="143"/>
      <c r="AD70" s="24"/>
    </row>
    <row r="71" spans="2:30" ht="17.25" customHeight="1" x14ac:dyDescent="0.15">
      <c r="B71" s="12"/>
      <c r="C71" s="526" t="str" cm="1">
        <f t="array" ref="C71">INDEX(KirjastoC!D4:K200,54,KirjastoC!B4)</f>
        <v>Kaikki oikeudet pidätetään.</v>
      </c>
      <c r="D71" s="126"/>
      <c r="E71" s="527" t="s">
        <v>199</v>
      </c>
      <c r="F71" s="527" t="s">
        <v>1174</v>
      </c>
      <c r="G71"/>
      <c r="H71"/>
      <c r="I71"/>
      <c r="J71"/>
      <c r="K71"/>
      <c r="L71"/>
      <c r="M71"/>
      <c r="N71"/>
      <c r="O71" s="24"/>
      <c r="Q71" s="12"/>
      <c r="R71" s="526" t="str" cm="1">
        <f t="array" ref="R71">INDEX(KirjastoC!D4:K125,54,KirjastoC!B4)</f>
        <v>Kaikki oikeudet pidätetään.</v>
      </c>
      <c r="S71" s="528" t="s">
        <v>199</v>
      </c>
      <c r="T71" s="527" t="s">
        <v>1174</v>
      </c>
      <c r="U71" s="141"/>
      <c r="V71"/>
      <c r="W71"/>
      <c r="X71"/>
      <c r="Y71"/>
      <c r="Z71"/>
      <c r="AA71"/>
      <c r="AB71"/>
      <c r="AC71" s="143"/>
      <c r="AD71" s="24"/>
    </row>
    <row r="72" spans="2:30" ht="21.75" customHeight="1" x14ac:dyDescent="0.15">
      <c r="B72" s="12"/>
      <c r="C72" s="1427" t="str" cm="1">
        <f t="array" ref="C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2" s="1427"/>
      <c r="E72" s="1427"/>
      <c r="F72" s="1427"/>
      <c r="G72" s="1427"/>
      <c r="H72" s="1427"/>
      <c r="I72" s="1427"/>
      <c r="J72" s="1427"/>
      <c r="K72" s="1427"/>
      <c r="L72" s="1427"/>
      <c r="M72" s="1427"/>
      <c r="N72" s="1427"/>
      <c r="O72" s="24"/>
      <c r="Q72" s="12"/>
      <c r="R72" s="1427" t="str" cm="1">
        <f t="array" ref="R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2" s="1427"/>
      <c r="T72" s="1427"/>
      <c r="U72" s="1427"/>
      <c r="V72" s="1427"/>
      <c r="W72" s="1427"/>
      <c r="X72" s="1427"/>
      <c r="Y72" s="1427"/>
      <c r="Z72" s="1427"/>
      <c r="AA72" s="1427"/>
      <c r="AB72" s="1427"/>
      <c r="AC72" s="1427"/>
      <c r="AD72" s="24"/>
    </row>
    <row r="73" spans="2:30" ht="20.25" customHeight="1" x14ac:dyDescent="0.15">
      <c r="B73" s="12"/>
      <c r="C73" s="1427"/>
      <c r="D73" s="1427"/>
      <c r="E73" s="1427"/>
      <c r="F73" s="1427"/>
      <c r="G73" s="1427"/>
      <c r="H73" s="1427"/>
      <c r="I73" s="1427"/>
      <c r="J73" s="1427"/>
      <c r="K73" s="1427"/>
      <c r="L73" s="1427"/>
      <c r="M73" s="1427"/>
      <c r="N73" s="1427"/>
      <c r="O73" s="24"/>
      <c r="Q73" s="12"/>
      <c r="R73" s="1427"/>
      <c r="S73" s="1427"/>
      <c r="T73" s="1427"/>
      <c r="U73" s="1427"/>
      <c r="V73" s="1427"/>
      <c r="W73" s="1427"/>
      <c r="X73" s="1427"/>
      <c r="Y73" s="1427"/>
      <c r="Z73" s="1427"/>
      <c r="AA73" s="1427"/>
      <c r="AB73" s="1427"/>
      <c r="AC73" s="1427"/>
      <c r="AD73" s="24"/>
    </row>
    <row r="74" spans="2:30" ht="18" customHeight="1" x14ac:dyDescent="0.15">
      <c r="B74" s="283"/>
      <c r="C74" s="525" t="str" cm="1">
        <f t="array" ref="C74">INDEX(KirjastoC!D4:K200,56,KirjastoC!B4)</f>
        <v>Laskentaohjelman laatinut Insinööritoimisto W. Zenner Oy. Laskentaohjelma perustuu SFS-EN 13141-7 mukaisiin laboratoriomittauksiin.</v>
      </c>
      <c r="D74" s="281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5"/>
      <c r="Q74" s="14"/>
      <c r="R74" s="525" t="str" cm="1">
        <f t="array" ref="R74">INDEX(KirjastoC!D4:K125,56,KirjastoC!B4)</f>
        <v>Laskentaohjelman laatinut Insinööritoimisto W. Zenner Oy. Laskentaohjelma perustuu SFS-EN 13141-7 mukaisiin laboratoriomittauksiin.</v>
      </c>
      <c r="S74" s="281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6"/>
    </row>
    <row r="75" spans="2:30" s="282" customFormat="1" ht="20.25" customHeight="1" x14ac:dyDescent="0.1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</row>
    <row r="79" spans="2:30" ht="11.25" customHeight="1" x14ac:dyDescent="0.15"/>
    <row r="80" spans="2:30" ht="10.5" customHeight="1" x14ac:dyDescent="0.15"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4"/>
    </row>
    <row r="81" spans="2:15" ht="30.75" customHeight="1" x14ac:dyDescent="0.15">
      <c r="B81" s="385"/>
      <c r="C81" s="1375" t="str" cm="1">
        <f t="array" ref="C81">INDEX(KirjastoC!$D$4:$K$500,189,KirjastoC!$B$4)</f>
        <v>VESIKIERTOISTEN LÄMMITYS- JA JÄÄHDYTYSPATTERIEN MITOITUS</v>
      </c>
      <c r="D81" s="126"/>
      <c r="E81" s="126"/>
      <c r="F81" s="126"/>
      <c r="G81" s="126"/>
      <c r="H81" s="1474" t="str" cm="1">
        <f t="array" ref="H81">INDEX(KirjastoC!$D$4:$K$500,201,KirjastoC!$B$4)</f>
        <v>Huom. patterimitoitus onnistunut, kun laskelmassa ei ole virheilmoituksia.
Muuta tarvittaessa meno- tai paluuveden lämpötiloja.</v>
      </c>
      <c r="I81" s="1475"/>
      <c r="J81" s="1475"/>
      <c r="K81" s="1475"/>
      <c r="L81" s="1475"/>
      <c r="M81" s="1475"/>
      <c r="N81" s="1476"/>
      <c r="O81" s="386"/>
    </row>
    <row r="82" spans="2:15" ht="5.25" customHeight="1" x14ac:dyDescent="0.15">
      <c r="B82" s="385"/>
      <c r="C82" s="126"/>
      <c r="D82" s="126"/>
      <c r="E82" s="126"/>
      <c r="F82" s="126"/>
      <c r="G82" s="126"/>
      <c r="H82" s="532"/>
      <c r="I82" s="532"/>
      <c r="J82" s="532"/>
      <c r="K82" s="532"/>
      <c r="L82" s="532"/>
      <c r="M82" s="532"/>
      <c r="N82" s="532"/>
      <c r="O82" s="386"/>
    </row>
    <row r="83" spans="2:15" ht="14" customHeight="1" x14ac:dyDescent="0.15">
      <c r="B83" s="385"/>
      <c r="C83" s="1485" t="str" cm="1">
        <f t="array" ref="C83">INDEX(KirjastoC!$D$4:$K$500,104,KirjastoC!$B$4)</f>
        <v>Vesikiertoisen lämmityspatterin mitoitus</v>
      </c>
      <c r="D83" s="1485"/>
      <c r="E83" s="1485"/>
      <c r="F83" s="1485"/>
      <c r="G83" s="392"/>
      <c r="H83" s="532"/>
      <c r="I83" s="532"/>
      <c r="J83" s="532"/>
      <c r="K83" s="532"/>
      <c r="L83" s="532"/>
      <c r="M83" s="532"/>
      <c r="N83" s="532"/>
      <c r="O83" s="386"/>
    </row>
    <row r="84" spans="2:15" ht="14.25" customHeight="1" x14ac:dyDescent="0.15">
      <c r="B84" s="385"/>
      <c r="C84" s="531" t="str">
        <f>'C5 Lämmitys'!O11</f>
        <v/>
      </c>
      <c r="D84" s="126"/>
      <c r="E84" s="126"/>
      <c r="F84" s="126"/>
      <c r="G84" s="392"/>
      <c r="H84" s="126"/>
      <c r="I84" s="126"/>
      <c r="J84" s="126"/>
      <c r="K84" s="126"/>
      <c r="L84" s="126"/>
      <c r="M84" s="126"/>
      <c r="N84" s="126"/>
      <c r="O84" s="386"/>
    </row>
    <row r="85" spans="2:15" ht="14.25" customHeight="1" x14ac:dyDescent="0.15">
      <c r="B85" s="385"/>
      <c r="C85" s="388"/>
      <c r="D85" s="126"/>
      <c r="E85" s="126"/>
      <c r="F85" s="126"/>
      <c r="G85" s="392"/>
      <c r="H85" s="126"/>
      <c r="I85" s="126"/>
      <c r="J85" s="126"/>
      <c r="K85" s="126"/>
      <c r="L85" s="126"/>
      <c r="M85" s="126"/>
      <c r="N85" s="126"/>
      <c r="O85" s="386"/>
    </row>
    <row r="86" spans="2:15" ht="14" x14ac:dyDescent="0.15">
      <c r="B86" s="385"/>
      <c r="C86" s="530" t="str" cm="1">
        <f t="array" ref="C86">INDEX(KirjastoC!$D$4:$K$500,106,KirjastoC!$B$4)</f>
        <v>Syötä mitoitus- ja tavoitearvot:</v>
      </c>
      <c r="D86" s="531"/>
      <c r="E86" s="531"/>
      <c r="F86" s="531"/>
      <c r="G86" s="531"/>
      <c r="H86" s="1354" t="str">
        <f>'C5 Lämmitys'!R8</f>
        <v>Valitussa mallissa ei vesikiertoista lämmityspatteria</v>
      </c>
      <c r="I86" s="531"/>
      <c r="J86" s="531"/>
      <c r="K86" s="531"/>
      <c r="L86" s="531"/>
      <c r="M86" s="531"/>
      <c r="N86" s="531"/>
      <c r="O86" s="386"/>
    </row>
    <row r="87" spans="2:15" x14ac:dyDescent="0.15">
      <c r="B87" s="385"/>
      <c r="C87" s="532" t="str" cm="1">
        <f t="array" ref="C87">INDEX(KirjastoC!$D$4:$K$500,107,KirjastoC!$B$4)</f>
        <v>Aloita syöttämällä joko meno- tai paluuveden lämpötila</v>
      </c>
      <c r="D87" s="531"/>
      <c r="E87" s="531"/>
      <c r="F87" s="531"/>
      <c r="G87" s="531"/>
      <c r="H87" s="531"/>
      <c r="I87" s="531"/>
      <c r="J87" s="531"/>
      <c r="K87" s="531"/>
      <c r="L87" s="531"/>
      <c r="M87" s="531"/>
      <c r="N87" s="531"/>
      <c r="O87" s="386"/>
    </row>
    <row r="88" spans="2:15" x14ac:dyDescent="0.15">
      <c r="B88" s="385"/>
      <c r="C88" s="531" t="str" cm="1">
        <f t="array" ref="C88">INDEX(KirjastoC!$D$4:$K$500,108,KirjastoC!$B$4)</f>
        <v>Patterille tulevan ilman lämpötila</v>
      </c>
      <c r="D88" s="531"/>
      <c r="E88" s="531"/>
      <c r="F88" s="533">
        <v>-5</v>
      </c>
      <c r="G88" s="531" t="s">
        <v>509</v>
      </c>
      <c r="H88" s="534" t="str" cm="1">
        <f t="array" ref="H88">INDEX(KirjastoC!$D$4:$K$500,115,KirjastoC!$B$4)</f>
        <v xml:space="preserve">Patterimitoitus menoveden lämpötilan mukaan </v>
      </c>
      <c r="I88" s="607"/>
      <c r="J88" s="535"/>
      <c r="K88" s="535"/>
      <c r="L88" s="535"/>
      <c r="M88" s="535"/>
      <c r="N88" s="536"/>
      <c r="O88" s="386"/>
    </row>
    <row r="89" spans="2:15" x14ac:dyDescent="0.15">
      <c r="B89" s="385"/>
      <c r="C89" s="531" t="str" cm="1">
        <f t="array" ref="C89">INDEX(KirjastoC!$D$4:$K$500,109,KirjastoC!$B$4)</f>
        <v>Patterilta lähtevän ilman lämpötila</v>
      </c>
      <c r="D89" s="531"/>
      <c r="E89" s="531"/>
      <c r="F89" s="533">
        <v>20</v>
      </c>
      <c r="G89" s="531" t="s">
        <v>509</v>
      </c>
      <c r="H89" s="137" t="str" cm="1">
        <f t="array" ref="H89">INDEX(KirjastoC!$D$4:$K$500,117,KirjastoC!$B$4)</f>
        <v>Menoveden lämpötila</v>
      </c>
      <c r="I89" s="608"/>
      <c r="J89" s="531"/>
      <c r="K89" s="531"/>
      <c r="L89" s="531"/>
      <c r="M89" s="537" t="str">
        <f>'C5 Lämmitys'!R17</f>
        <v>-</v>
      </c>
      <c r="N89" s="538" t="s">
        <v>509</v>
      </c>
      <c r="O89" s="386"/>
    </row>
    <row r="90" spans="2:15" x14ac:dyDescent="0.15">
      <c r="B90" s="385"/>
      <c r="C90" s="531" t="str" cm="1">
        <f t="array" ref="C90">INDEX(KirjastoC!$D$4:$K$500,110,KirjastoC!$B$4)</f>
        <v>Menoveden lämpötila</v>
      </c>
      <c r="D90" s="1341" t="str">
        <f>'C5 Lämmitys'!O13</f>
        <v/>
      </c>
      <c r="E90" s="531"/>
      <c r="F90" s="533">
        <v>50</v>
      </c>
      <c r="G90" s="531" t="s">
        <v>509</v>
      </c>
      <c r="H90" s="137" t="str" cm="1">
        <f t="array" ref="H90">INDEX(KirjastoC!$D$4:$K$500,118,KirjastoC!$B$4)</f>
        <v>Paluuveden lämpötila</v>
      </c>
      <c r="I90" s="608"/>
      <c r="J90" s="531"/>
      <c r="K90" s="531"/>
      <c r="L90" s="531"/>
      <c r="M90" s="537" t="str">
        <f>'C5 Lämmitys'!R18</f>
        <v>-</v>
      </c>
      <c r="N90" s="538" t="s">
        <v>509</v>
      </c>
      <c r="O90" s="386"/>
    </row>
    <row r="91" spans="2:15" x14ac:dyDescent="0.15">
      <c r="B91" s="385"/>
      <c r="C91" s="531" t="str" cm="1">
        <f t="array" ref="C91">INDEX(KirjastoC!$D$4:$K$500,111,KirjastoC!$B$4)</f>
        <v>Paluuveden lämpötila</v>
      </c>
      <c r="D91" s="1341" t="str">
        <f>'C5 Lämmitys'!O14</f>
        <v/>
      </c>
      <c r="E91" s="531"/>
      <c r="F91" s="533">
        <v>30</v>
      </c>
      <c r="G91" s="531" t="s">
        <v>509</v>
      </c>
      <c r="H91" s="137" t="str" cm="1">
        <f t="array" ref="H91">INDEX(KirjastoC!$D$4:$K$500,119,KirjastoC!$B$4)</f>
        <v>Virtaama</v>
      </c>
      <c r="I91" s="608"/>
      <c r="J91" s="531"/>
      <c r="K91" s="531"/>
      <c r="L91" s="531"/>
      <c r="M91" s="545" t="str">
        <f>'C5 Lämmitys'!R19</f>
        <v>-</v>
      </c>
      <c r="N91" s="538" t="s">
        <v>1219</v>
      </c>
      <c r="O91" s="386"/>
    </row>
    <row r="92" spans="2:15" x14ac:dyDescent="0.15">
      <c r="B92" s="385"/>
      <c r="C92" s="531"/>
      <c r="D92" s="531"/>
      <c r="E92" s="531"/>
      <c r="F92" s="531"/>
      <c r="G92" s="531"/>
      <c r="H92" s="137" t="str" cm="1">
        <f t="array" ref="H92">INDEX(KirjastoC!$D$4:$K$500,120,KirjastoC!$B$4)</f>
        <v>Patterin nestepuolen painehäviö</v>
      </c>
      <c r="I92" s="608"/>
      <c r="J92" s="531"/>
      <c r="K92" s="531"/>
      <c r="L92" s="531"/>
      <c r="M92" s="537" t="str">
        <f>'C5 Lämmitys'!R20</f>
        <v>-</v>
      </c>
      <c r="N92" s="538" t="s">
        <v>500</v>
      </c>
      <c r="O92" s="386"/>
    </row>
    <row r="93" spans="2:15" ht="14.25" customHeight="1" x14ac:dyDescent="0.15">
      <c r="B93" s="385"/>
      <c r="C93" s="531" t="str" cm="1">
        <f t="array" ref="C93">INDEX(KirjastoC!$D$4:$K$500,112,KirjastoC!$B$4)</f>
        <v>Tuloilman tilavuusvirta</v>
      </c>
      <c r="D93" s="531"/>
      <c r="E93" s="531"/>
      <c r="F93" s="753">
        <f>E33</f>
        <v>500</v>
      </c>
      <c r="G93" s="531" t="s">
        <v>974</v>
      </c>
      <c r="H93" s="137" t="str" cm="1">
        <f t="array" ref="H93">INDEX(KirjastoC!$D$4:$K$500,121,KirjastoC!$B$4)</f>
        <v>Säätöventtiilin painehäviö (Airfi toteutus)*</v>
      </c>
      <c r="I93" s="608"/>
      <c r="J93" s="531"/>
      <c r="K93" s="531"/>
      <c r="L93" s="531"/>
      <c r="M93" s="537" t="str">
        <f>'C5 Lämmitys'!R21</f>
        <v>-</v>
      </c>
      <c r="N93" s="538" t="s">
        <v>500</v>
      </c>
      <c r="O93" s="386"/>
    </row>
    <row r="94" spans="2:15" x14ac:dyDescent="0.15">
      <c r="B94" s="385"/>
      <c r="C94" s="540" t="str" cm="1">
        <f t="array" ref="C94">INDEX(KirjastoC!$D$4:$K$500,113,KirjastoC!$B$4)</f>
        <v>Tarvittava lämmitysteho:</v>
      </c>
      <c r="D94" s="541"/>
      <c r="E94" s="542"/>
      <c r="F94" s="1359" t="str">
        <f>'C5 Lämmitys'!O12</f>
        <v>-</v>
      </c>
      <c r="G94" s="530" t="s">
        <v>2259</v>
      </c>
      <c r="H94" s="543" t="str" cm="1">
        <f t="array" ref="H94">INDEX(KirjastoC!$D$4:$K$500,122,KirjastoC!$B$4)</f>
        <v>Virtausnopeus patterin putkireitissä</v>
      </c>
      <c r="I94" s="609"/>
      <c r="J94" s="544"/>
      <c r="K94" s="544"/>
      <c r="L94" s="544"/>
      <c r="M94" s="545" t="str">
        <f>'C5 Lämmitys'!R22</f>
        <v>-</v>
      </c>
      <c r="N94" s="546" t="s">
        <v>502</v>
      </c>
      <c r="O94" s="386"/>
    </row>
    <row r="95" spans="2:15" x14ac:dyDescent="0.15">
      <c r="B95" s="385"/>
      <c r="C95" s="531"/>
      <c r="D95" s="531"/>
      <c r="E95" s="531"/>
      <c r="F95" s="531"/>
      <c r="G95" s="531"/>
      <c r="H95" s="529" t="str">
        <f>'C5 Lämmitys'!M23</f>
        <v/>
      </c>
      <c r="I95" s="529"/>
      <c r="J95" s="531"/>
      <c r="K95" s="531"/>
      <c r="L95" s="531"/>
      <c r="M95" s="531"/>
      <c r="N95" s="531"/>
      <c r="O95" s="386"/>
    </row>
    <row r="96" spans="2:15" x14ac:dyDescent="0.15">
      <c r="B96" s="385"/>
      <c r="C96" s="531"/>
      <c r="D96" s="531"/>
      <c r="E96" s="531"/>
      <c r="F96" s="531"/>
      <c r="G96" s="531"/>
      <c r="H96" s="534" t="str" cm="1">
        <f t="array" ref="H96">INDEX(KirjastoC!$D$4:$K$500,116,KirjastoC!$B$4)</f>
        <v xml:space="preserve">Patterimitoitus paluuveden lämpötilan mukaan </v>
      </c>
      <c r="I96" s="607"/>
      <c r="J96" s="535"/>
      <c r="K96" s="535"/>
      <c r="L96" s="535"/>
      <c r="M96" s="535"/>
      <c r="N96" s="547"/>
      <c r="O96" s="386"/>
    </row>
    <row r="97" spans="2:15" x14ac:dyDescent="0.15">
      <c r="B97" s="385"/>
      <c r="C97" s="531"/>
      <c r="D97" s="531"/>
      <c r="E97" s="531"/>
      <c r="F97" s="531"/>
      <c r="G97" s="531"/>
      <c r="H97" s="137" t="str">
        <f t="shared" ref="H97:H102" si="0">H89</f>
        <v>Menoveden lämpötila</v>
      </c>
      <c r="I97" s="608"/>
      <c r="J97" s="531"/>
      <c r="K97" s="531"/>
      <c r="L97" s="531"/>
      <c r="M97" s="537" t="str">
        <f>'C5 Lämmitys'!R25</f>
        <v>-</v>
      </c>
      <c r="N97" s="538" t="s">
        <v>509</v>
      </c>
      <c r="O97" s="386"/>
    </row>
    <row r="98" spans="2:15" x14ac:dyDescent="0.15">
      <c r="B98" s="385"/>
      <c r="C98" s="531"/>
      <c r="D98" s="531"/>
      <c r="E98" s="531"/>
      <c r="F98" s="531"/>
      <c r="G98" s="531"/>
      <c r="H98" s="137" t="str">
        <f t="shared" si="0"/>
        <v>Paluuveden lämpötila</v>
      </c>
      <c r="I98" s="608"/>
      <c r="J98" s="531"/>
      <c r="K98" s="531"/>
      <c r="L98" s="531"/>
      <c r="M98" s="537" t="str">
        <f>'C5 Lämmitys'!R26</f>
        <v>-</v>
      </c>
      <c r="N98" s="538" t="s">
        <v>509</v>
      </c>
      <c r="O98" s="386"/>
    </row>
    <row r="99" spans="2:15" x14ac:dyDescent="0.15">
      <c r="B99" s="385"/>
      <c r="C99" s="531"/>
      <c r="D99" s="531"/>
      <c r="E99" s="531"/>
      <c r="F99" s="531"/>
      <c r="G99" s="531"/>
      <c r="H99" s="137" t="str">
        <f t="shared" si="0"/>
        <v>Virtaama</v>
      </c>
      <c r="I99" s="608"/>
      <c r="J99" s="531"/>
      <c r="K99" s="531"/>
      <c r="L99" s="531"/>
      <c r="M99" s="545" t="str">
        <f>'C5 Lämmitys'!R27</f>
        <v>-</v>
      </c>
      <c r="N99" s="538" t="s">
        <v>1219</v>
      </c>
      <c r="O99" s="386"/>
    </row>
    <row r="100" spans="2:15" x14ac:dyDescent="0.15">
      <c r="B100" s="385"/>
      <c r="C100" s="531"/>
      <c r="D100" s="531"/>
      <c r="E100" s="531"/>
      <c r="F100" s="531"/>
      <c r="G100" s="531"/>
      <c r="H100" s="137" t="str">
        <f t="shared" si="0"/>
        <v>Patterin nestepuolen painehäviö</v>
      </c>
      <c r="I100" s="608"/>
      <c r="J100" s="531"/>
      <c r="K100" s="531"/>
      <c r="L100" s="531"/>
      <c r="M100" s="537" t="str">
        <f>'C5 Lämmitys'!R28</f>
        <v>-</v>
      </c>
      <c r="N100" s="538" t="s">
        <v>500</v>
      </c>
      <c r="O100" s="386"/>
    </row>
    <row r="101" spans="2:15" x14ac:dyDescent="0.15">
      <c r="B101" s="385"/>
      <c r="C101" s="1424" t="str">
        <f>'C5 Lämmitys'!M32</f>
        <v/>
      </c>
      <c r="D101" s="1424"/>
      <c r="E101" s="1424"/>
      <c r="F101" s="1424"/>
      <c r="G101" s="531"/>
      <c r="H101" s="137" t="str">
        <f t="shared" si="0"/>
        <v>Säätöventtiilin painehäviö (Airfi toteutus)*</v>
      </c>
      <c r="I101" s="608"/>
      <c r="J101" s="531"/>
      <c r="K101" s="531"/>
      <c r="L101" s="531"/>
      <c r="M101" s="537" t="str">
        <f>'C5 Lämmitys'!R29</f>
        <v>-</v>
      </c>
      <c r="N101" s="538" t="s">
        <v>500</v>
      </c>
      <c r="O101" s="386"/>
    </row>
    <row r="102" spans="2:15" x14ac:dyDescent="0.15">
      <c r="B102" s="385"/>
      <c r="C102" s="1424"/>
      <c r="D102" s="1424"/>
      <c r="E102" s="1424"/>
      <c r="F102" s="1424"/>
      <c r="G102" s="531"/>
      <c r="H102" s="543" t="str">
        <f t="shared" si="0"/>
        <v>Virtausnopeus patterin putkireitissä</v>
      </c>
      <c r="I102" s="609"/>
      <c r="J102" s="544"/>
      <c r="K102" s="544"/>
      <c r="L102" s="544"/>
      <c r="M102" s="545" t="str">
        <f>'C5 Lämmitys'!R30</f>
        <v>-</v>
      </c>
      <c r="N102" s="546" t="s">
        <v>502</v>
      </c>
      <c r="O102" s="386"/>
    </row>
    <row r="103" spans="2:15" x14ac:dyDescent="0.15">
      <c r="B103" s="385"/>
      <c r="C103" s="445"/>
      <c r="D103" s="445"/>
      <c r="E103" s="445"/>
      <c r="F103" s="445"/>
      <c r="G103" s="126"/>
      <c r="H103" s="559" t="str">
        <f>'C5 Lämmitys'!M31</f>
        <v/>
      </c>
      <c r="I103" s="559"/>
      <c r="J103" s="383"/>
      <c r="K103" s="383"/>
      <c r="L103" s="383"/>
      <c r="M103" s="448"/>
      <c r="N103" s="383"/>
      <c r="O103" s="386"/>
    </row>
    <row r="104" spans="2:15" x14ac:dyDescent="0.15">
      <c r="B104" s="38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447"/>
    </row>
    <row r="105" spans="2:15" x14ac:dyDescent="0.15">
      <c r="B105" s="382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4"/>
    </row>
    <row r="106" spans="2:15" ht="15" customHeight="1" x14ac:dyDescent="0.15">
      <c r="B106" s="385"/>
      <c r="C106" s="1485" t="str" cm="1">
        <f t="array" ref="C106">INDEX(KirjastoC!$D$4:$K$500,190,KirjastoC!$B$4)</f>
        <v>Vesikiertoisen jäähdytyspatterin mitoitus</v>
      </c>
      <c r="D106" s="1485"/>
      <c r="E106" s="1485"/>
      <c r="F106" s="1485"/>
      <c r="G106" s="392" t="s">
        <v>362</v>
      </c>
      <c r="H106" s="1479" t="str">
        <f>H81</f>
        <v>Huom. patterimitoitus onnistunut, kun laskelmassa ei ole virheilmoituksia.
Muuta tarvittaessa meno- tai paluuveden lämpötiloja.</v>
      </c>
      <c r="I106" s="1480"/>
      <c r="J106" s="1480"/>
      <c r="K106" s="1480"/>
      <c r="L106" s="1480"/>
      <c r="M106" s="1480"/>
      <c r="N106" s="1481"/>
      <c r="O106" s="386"/>
    </row>
    <row r="107" spans="2:15" x14ac:dyDescent="0.15">
      <c r="B107" s="385"/>
      <c r="C107" s="531" t="str">
        <f>'C5 Jäähdytys'!O11</f>
        <v/>
      </c>
      <c r="D107" s="126"/>
      <c r="E107" s="126"/>
      <c r="F107" s="126"/>
      <c r="G107" s="392"/>
      <c r="H107" s="1482"/>
      <c r="I107" s="1483"/>
      <c r="J107" s="1483"/>
      <c r="K107" s="1483"/>
      <c r="L107" s="1483"/>
      <c r="M107" s="1483"/>
      <c r="N107" s="1484"/>
      <c r="O107" s="386"/>
    </row>
    <row r="108" spans="2:15" ht="14" x14ac:dyDescent="0.15">
      <c r="B108" s="385"/>
      <c r="C108" s="388"/>
      <c r="D108" s="126"/>
      <c r="E108" s="126"/>
      <c r="F108" s="126"/>
      <c r="G108" s="392"/>
      <c r="H108" s="126"/>
      <c r="I108" s="126"/>
      <c r="J108" s="126"/>
      <c r="K108" s="126"/>
      <c r="L108" s="126"/>
      <c r="M108" s="126"/>
      <c r="N108" s="126"/>
      <c r="O108" s="386"/>
    </row>
    <row r="109" spans="2:15" ht="14" x14ac:dyDescent="0.15">
      <c r="B109" s="385"/>
      <c r="C109" s="530" t="str">
        <f>C86</f>
        <v>Syötä mitoitus- ja tavoitearvot:</v>
      </c>
      <c r="D109" s="531"/>
      <c r="E109" s="531"/>
      <c r="F109" s="531"/>
      <c r="G109" s="531"/>
      <c r="H109" s="1354" t="str">
        <f>'C5 Jäähdytys'!R8</f>
        <v>Valitussa mallissa ei vesikiertoista jäähdytyspatteria</v>
      </c>
      <c r="I109" s="531"/>
      <c r="J109" s="531"/>
      <c r="K109" s="531"/>
      <c r="L109" s="531"/>
      <c r="M109" s="531"/>
      <c r="N109" s="531"/>
      <c r="O109" s="386"/>
    </row>
    <row r="110" spans="2:15" x14ac:dyDescent="0.15">
      <c r="B110" s="385"/>
      <c r="C110" s="532" t="str">
        <f>C87</f>
        <v>Aloita syöttämällä joko meno- tai paluuveden lämpötila</v>
      </c>
      <c r="D110" s="531"/>
      <c r="E110" s="531"/>
      <c r="F110" s="531"/>
      <c r="G110" s="531"/>
      <c r="H110" s="531"/>
      <c r="I110" s="531"/>
      <c r="J110" s="531"/>
      <c r="K110" s="531"/>
      <c r="L110" s="531"/>
      <c r="M110" s="531"/>
      <c r="N110" s="531"/>
      <c r="O110" s="386"/>
    </row>
    <row r="111" spans="2:15" x14ac:dyDescent="0.15">
      <c r="B111" s="385"/>
      <c r="C111" s="531" t="str">
        <f>C88</f>
        <v>Patterille tulevan ilman lämpötila</v>
      </c>
      <c r="D111" s="531"/>
      <c r="E111" s="531"/>
      <c r="F111" s="533">
        <v>25</v>
      </c>
      <c r="G111" s="531" t="s">
        <v>509</v>
      </c>
      <c r="H111" s="534" t="str" cm="1">
        <f t="array" ref="H111">INDEX(KirjastoC!$D$4:$K$500,194,KirjastoC!$B$4)</f>
        <v xml:space="preserve">Patterimitoitus menoveden lämpötilan mukaan </v>
      </c>
      <c r="I111" s="607"/>
      <c r="J111" s="535"/>
      <c r="K111" s="535"/>
      <c r="L111" s="535"/>
      <c r="M111" s="535"/>
      <c r="N111" s="536"/>
      <c r="O111" s="386"/>
    </row>
    <row r="112" spans="2:15" x14ac:dyDescent="0.15">
      <c r="B112" s="385"/>
      <c r="C112" s="531" t="str" cm="1">
        <f t="array" ref="C112">INDEX(KirjastoC!$D$4:$K$500,191,KirjastoC!$B$4)</f>
        <v>Patterille tulevan ilman suhteellinen kosteus</v>
      </c>
      <c r="D112" s="531"/>
      <c r="E112" s="531"/>
      <c r="F112" s="533">
        <v>65</v>
      </c>
      <c r="G112" s="531" t="s">
        <v>2458</v>
      </c>
      <c r="H112" s="137" t="str">
        <f>H89</f>
        <v>Menoveden lämpötila</v>
      </c>
      <c r="I112" s="608"/>
      <c r="J112" s="531"/>
      <c r="K112" s="531"/>
      <c r="L112" s="531"/>
      <c r="M112" s="537" t="str">
        <f>'C5 Jäähdytys'!R20</f>
        <v>-</v>
      </c>
      <c r="N112" s="538" t="s">
        <v>509</v>
      </c>
      <c r="O112" s="386"/>
    </row>
    <row r="113" spans="2:15" x14ac:dyDescent="0.15">
      <c r="B113" s="385"/>
      <c r="C113" s="531" t="str">
        <f>C89</f>
        <v>Patterilta lähtevän ilman lämpötila</v>
      </c>
      <c r="D113" s="531"/>
      <c r="E113" s="531"/>
      <c r="F113" s="533">
        <v>17</v>
      </c>
      <c r="G113" s="531" t="s">
        <v>509</v>
      </c>
      <c r="H113" s="137" t="str">
        <f t="shared" ref="H113:H114" si="1">H90</f>
        <v>Paluuveden lämpötila</v>
      </c>
      <c r="I113" s="608"/>
      <c r="J113" s="531"/>
      <c r="K113" s="531"/>
      <c r="L113" s="531"/>
      <c r="M113" s="537" t="str">
        <f>'C5 Jäähdytys'!R21</f>
        <v>-</v>
      </c>
      <c r="N113" s="538" t="s">
        <v>509</v>
      </c>
      <c r="O113" s="386"/>
    </row>
    <row r="114" spans="2:15" x14ac:dyDescent="0.15">
      <c r="B114" s="385"/>
      <c r="C114" s="531" t="str">
        <f>C90</f>
        <v>Menoveden lämpötila</v>
      </c>
      <c r="D114" s="1341" t="str">
        <f>'C5 Jäähdytys'!O15</f>
        <v/>
      </c>
      <c r="E114" s="531"/>
      <c r="F114" s="533">
        <v>7</v>
      </c>
      <c r="G114" s="531" t="s">
        <v>509</v>
      </c>
      <c r="H114" s="137" t="str">
        <f t="shared" si="1"/>
        <v>Virtaama</v>
      </c>
      <c r="I114" s="608"/>
      <c r="J114" s="531"/>
      <c r="K114" s="531"/>
      <c r="L114" s="531"/>
      <c r="M114" s="545" t="str">
        <f>'C5 Jäähdytys'!R22</f>
        <v>-</v>
      </c>
      <c r="N114" s="538" t="s">
        <v>1219</v>
      </c>
      <c r="O114" s="386"/>
    </row>
    <row r="115" spans="2:15" x14ac:dyDescent="0.15">
      <c r="B115" s="385"/>
      <c r="C115" s="531" t="str">
        <f>C91</f>
        <v>Paluuveden lämpötila</v>
      </c>
      <c r="D115" s="1341" t="str">
        <f>'C5 Jäähdytys'!O16</f>
        <v/>
      </c>
      <c r="E115" s="531"/>
      <c r="F115" s="533">
        <v>12</v>
      </c>
      <c r="G115" s="531" t="s">
        <v>509</v>
      </c>
      <c r="H115" s="137" t="s">
        <v>514</v>
      </c>
      <c r="I115" s="608"/>
      <c r="J115" s="531"/>
      <c r="K115" s="531"/>
      <c r="L115" s="531"/>
      <c r="M115" s="537" t="str">
        <f>'C5 Jäähdytys'!R23</f>
        <v>-</v>
      </c>
      <c r="N115" s="538" t="s">
        <v>500</v>
      </c>
      <c r="O115" s="386"/>
    </row>
    <row r="116" spans="2:15" x14ac:dyDescent="0.15">
      <c r="B116" s="385"/>
      <c r="C116" s="531"/>
      <c r="D116" s="531"/>
      <c r="E116" s="531"/>
      <c r="F116" s="531"/>
      <c r="G116" s="531"/>
      <c r="H116" s="137" t="str">
        <f>H93</f>
        <v>Säätöventtiilin painehäviö (Airfi toteutus)*</v>
      </c>
      <c r="I116" s="608"/>
      <c r="J116" s="531"/>
      <c r="K116" s="531"/>
      <c r="L116" s="531"/>
      <c r="M116" s="537" t="str">
        <f>'C5 Jäähdytys'!R24</f>
        <v>-</v>
      </c>
      <c r="N116" s="538" t="s">
        <v>500</v>
      </c>
      <c r="O116" s="386"/>
    </row>
    <row r="117" spans="2:15" x14ac:dyDescent="0.15">
      <c r="B117" s="385"/>
      <c r="C117" s="531" t="str">
        <f>C93</f>
        <v>Tuloilman tilavuusvirta</v>
      </c>
      <c r="D117" s="531"/>
      <c r="E117" s="531"/>
      <c r="F117" s="753">
        <f>F93</f>
        <v>500</v>
      </c>
      <c r="G117" s="531" t="s">
        <v>1219</v>
      </c>
      <c r="H117" s="543" t="str">
        <f>H94</f>
        <v>Virtausnopeus patterin putkireitissä</v>
      </c>
      <c r="I117" s="609"/>
      <c r="J117" s="544"/>
      <c r="K117" s="544"/>
      <c r="L117" s="544"/>
      <c r="M117" s="545" t="str">
        <f>'C5 Jäähdytys'!R25</f>
        <v>-</v>
      </c>
      <c r="N117" s="546" t="s">
        <v>502</v>
      </c>
      <c r="O117" s="386"/>
    </row>
    <row r="118" spans="2:15" x14ac:dyDescent="0.15">
      <c r="B118" s="385"/>
      <c r="C118" s="541" t="str" cm="1">
        <f t="array" ref="C118">INDEX(KirjastoC!$D$4:$K$500,192,KirjastoC!$B$4)</f>
        <v>Tarvittava jäähdytysteho (tuntuva)</v>
      </c>
      <c r="D118" s="541"/>
      <c r="E118" s="542"/>
      <c r="F118" s="542" t="str">
        <f>'C5 Jäähdytys'!O12</f>
        <v>-</v>
      </c>
      <c r="G118" s="531" t="s">
        <v>2259</v>
      </c>
      <c r="H118" s="529" t="str">
        <f>'C5 Jäähdytys'!M26</f>
        <v/>
      </c>
      <c r="I118" s="529"/>
      <c r="J118" s="531"/>
      <c r="K118" s="531"/>
      <c r="L118" s="531"/>
      <c r="M118" s="531"/>
      <c r="N118" s="531"/>
      <c r="O118" s="386"/>
    </row>
    <row r="119" spans="2:15" x14ac:dyDescent="0.15">
      <c r="B119" s="385"/>
      <c r="C119" s="540" t="str" cm="1">
        <f t="array" ref="C119">INDEX(KirjastoC!$D$4:$K$500,193,KirjastoC!$B$4)</f>
        <v>Tarvittava kokonaisjäähdytysteho</v>
      </c>
      <c r="D119" s="541"/>
      <c r="E119" s="542"/>
      <c r="F119" s="1359" t="str">
        <f>'C5 Jäähdytys'!O14</f>
        <v>-</v>
      </c>
      <c r="G119" s="530" t="s">
        <v>2259</v>
      </c>
      <c r="H119" s="534" t="str" cm="1">
        <f t="array" ref="H119">INDEX(KirjastoC!$D$4:$K$500,195,KirjastoC!$B$4)</f>
        <v xml:space="preserve">Patterimitoitus paluuveden lämpötilan mukaan </v>
      </c>
      <c r="I119" s="607"/>
      <c r="J119" s="535"/>
      <c r="K119" s="535"/>
      <c r="L119" s="535"/>
      <c r="M119" s="535"/>
      <c r="N119" s="547"/>
      <c r="O119" s="386"/>
    </row>
    <row r="120" spans="2:15" x14ac:dyDescent="0.15">
      <c r="B120" s="385"/>
      <c r="C120" s="531"/>
      <c r="D120" s="531"/>
      <c r="E120" s="531"/>
      <c r="F120" s="1345"/>
      <c r="G120" s="531"/>
      <c r="H120" s="137" t="str">
        <f>H112</f>
        <v>Menoveden lämpötila</v>
      </c>
      <c r="I120" s="608"/>
      <c r="J120" s="531"/>
      <c r="K120" s="531"/>
      <c r="L120" s="531"/>
      <c r="M120" s="537" t="str">
        <f>'C5 Jäähdytys'!R28</f>
        <v>-</v>
      </c>
      <c r="N120" s="538" t="s">
        <v>509</v>
      </c>
      <c r="O120" s="386"/>
    </row>
    <row r="121" spans="2:15" x14ac:dyDescent="0.15">
      <c r="B121" s="385"/>
      <c r="C121" s="531"/>
      <c r="D121" s="531"/>
      <c r="E121" s="531"/>
      <c r="F121" s="531"/>
      <c r="G121" s="531"/>
      <c r="H121" s="137" t="str">
        <f t="shared" ref="H121:H125" si="2">H113</f>
        <v>Paluuveden lämpötila</v>
      </c>
      <c r="I121" s="608"/>
      <c r="J121" s="531"/>
      <c r="K121" s="531"/>
      <c r="L121" s="531"/>
      <c r="M121" s="537" t="str">
        <f>'C5 Jäähdytys'!R29</f>
        <v>-</v>
      </c>
      <c r="N121" s="538" t="s">
        <v>509</v>
      </c>
      <c r="O121" s="386"/>
    </row>
    <row r="122" spans="2:15" x14ac:dyDescent="0.15">
      <c r="B122" s="385"/>
      <c r="C122" s="531"/>
      <c r="D122" s="531"/>
      <c r="E122" s="531"/>
      <c r="F122" s="531"/>
      <c r="G122" s="531"/>
      <c r="H122" s="137" t="str">
        <f t="shared" si="2"/>
        <v>Virtaama</v>
      </c>
      <c r="I122" s="608"/>
      <c r="J122" s="531"/>
      <c r="K122" s="531"/>
      <c r="L122" s="531"/>
      <c r="M122" s="545" t="str">
        <f>'C5 Jäähdytys'!R30</f>
        <v>-</v>
      </c>
      <c r="N122" s="538" t="s">
        <v>1219</v>
      </c>
      <c r="O122" s="386"/>
    </row>
    <row r="123" spans="2:15" x14ac:dyDescent="0.15">
      <c r="B123" s="385"/>
      <c r="C123" s="531"/>
      <c r="D123" s="531"/>
      <c r="E123" s="531"/>
      <c r="F123" s="531"/>
      <c r="G123" s="531"/>
      <c r="H123" s="137" t="str">
        <f t="shared" si="2"/>
        <v>Patterin nestepuolen painehäviö</v>
      </c>
      <c r="I123" s="608"/>
      <c r="J123" s="531"/>
      <c r="K123" s="531"/>
      <c r="L123" s="531"/>
      <c r="M123" s="537" t="str">
        <f>'C5 Jäähdytys'!R31</f>
        <v>-</v>
      </c>
      <c r="N123" s="538" t="s">
        <v>500</v>
      </c>
      <c r="O123" s="386"/>
    </row>
    <row r="124" spans="2:15" x14ac:dyDescent="0.15">
      <c r="B124" s="385"/>
      <c r="C124" s="1424" t="str">
        <f>'C5 Jäähdytys'!M35</f>
        <v/>
      </c>
      <c r="D124" s="1424"/>
      <c r="E124" s="1424"/>
      <c r="F124" s="1424"/>
      <c r="G124" s="531"/>
      <c r="H124" s="137" t="str">
        <f t="shared" si="2"/>
        <v>Säätöventtiilin painehäviö (Airfi toteutus)*</v>
      </c>
      <c r="I124" s="608"/>
      <c r="J124" s="531"/>
      <c r="K124" s="531"/>
      <c r="L124" s="531"/>
      <c r="M124" s="537" t="str">
        <f>'C5 Jäähdytys'!R32</f>
        <v>-</v>
      </c>
      <c r="N124" s="538" t="s">
        <v>500</v>
      </c>
      <c r="O124" s="386"/>
    </row>
    <row r="125" spans="2:15" x14ac:dyDescent="0.15">
      <c r="B125" s="385"/>
      <c r="C125" s="1424"/>
      <c r="D125" s="1424"/>
      <c r="E125" s="1424"/>
      <c r="F125" s="1424"/>
      <c r="G125" s="531"/>
      <c r="H125" s="137" t="str">
        <f t="shared" si="2"/>
        <v>Virtausnopeus patterin putkireitissä</v>
      </c>
      <c r="I125" s="609"/>
      <c r="J125" s="544"/>
      <c r="K125" s="544"/>
      <c r="L125" s="544"/>
      <c r="M125" s="545" t="str">
        <f>'C5 Jäähdytys'!R33</f>
        <v>-</v>
      </c>
      <c r="N125" s="546" t="s">
        <v>502</v>
      </c>
      <c r="O125" s="386"/>
    </row>
    <row r="126" spans="2:15" x14ac:dyDescent="0.15">
      <c r="B126" s="385"/>
      <c r="C126" s="445"/>
      <c r="D126" s="445"/>
      <c r="E126" s="445"/>
      <c r="F126" s="445"/>
      <c r="G126" s="126"/>
      <c r="H126" s="559" t="str">
        <f>'C5 Jäähdytys'!M34</f>
        <v/>
      </c>
      <c r="I126" s="559"/>
      <c r="J126" s="383"/>
      <c r="K126" s="383"/>
      <c r="L126" s="383"/>
      <c r="M126" s="448"/>
      <c r="N126" s="383"/>
      <c r="O126" s="386"/>
    </row>
    <row r="127" spans="2:15" x14ac:dyDescent="0.15">
      <c r="B127" s="38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447" t="str">
        <f>O2</f>
        <v>Versio 7.1</v>
      </c>
    </row>
  </sheetData>
  <sheetProtection algorithmName="SHA-512" hashValue="1NHyjxUTl+soVo1O2EAn3W1FyDuru90Uszw1rvfRBMMz1eWrFOhzAc6xNGBeAT0nOp7Z+ZNNz+9ILL7mSkh8uw==" saltValue="RkG5ejHT97HyB2pGUTt/yw==" spinCount="100000" sheet="1" objects="1" scenarios="1"/>
  <mergeCells count="46">
    <mergeCell ref="H81:N81"/>
    <mergeCell ref="AF3:AG3"/>
    <mergeCell ref="H106:N107"/>
    <mergeCell ref="C83:F83"/>
    <mergeCell ref="C106:F106"/>
    <mergeCell ref="M56:M57"/>
    <mergeCell ref="N56:N57"/>
    <mergeCell ref="I57:J57"/>
    <mergeCell ref="I62:J62"/>
    <mergeCell ref="W58:AC59"/>
    <mergeCell ref="R16:R17"/>
    <mergeCell ref="R19:R20"/>
    <mergeCell ref="J41:K42"/>
    <mergeCell ref="I58:J58"/>
    <mergeCell ref="AC9:AC10"/>
    <mergeCell ref="C101:F102"/>
    <mergeCell ref="C124:F125"/>
    <mergeCell ref="R13:R14"/>
    <mergeCell ref="R3:AB3"/>
    <mergeCell ref="D4:I4"/>
    <mergeCell ref="R6:U6"/>
    <mergeCell ref="R7:U7"/>
    <mergeCell ref="D5:I5"/>
    <mergeCell ref="R9:R10"/>
    <mergeCell ref="W9:W10"/>
    <mergeCell ref="X9:X10"/>
    <mergeCell ref="Y9:Y10"/>
    <mergeCell ref="Z9:Z10"/>
    <mergeCell ref="AA9:AA10"/>
    <mergeCell ref="AB9:AB10"/>
    <mergeCell ref="C56:C57"/>
    <mergeCell ref="D56:L56"/>
    <mergeCell ref="I59:J59"/>
    <mergeCell ref="I60:J60"/>
    <mergeCell ref="I61:J61"/>
    <mergeCell ref="C72:N73"/>
    <mergeCell ref="R72:AC73"/>
    <mergeCell ref="W64:AC69"/>
    <mergeCell ref="W60:AC61"/>
    <mergeCell ref="C64:C65"/>
    <mergeCell ref="D64:L64"/>
    <mergeCell ref="M64:M65"/>
    <mergeCell ref="N64:N65"/>
    <mergeCell ref="I65:J65"/>
    <mergeCell ref="W62:AC63"/>
    <mergeCell ref="I66:J66"/>
  </mergeCells>
  <conditionalFormatting sqref="W11:AC55">
    <cfRule type="expression" dxfId="87" priority="7">
      <formula>$AC11=0</formula>
    </cfRule>
  </conditionalFormatting>
  <dataValidations count="2">
    <dataValidation type="decimal" allowBlank="1" showInputMessage="1" showErrorMessage="1" errorTitle="Incorrect input value" error="Value must be between 15 °C to 40 °C." sqref="T27" xr:uid="{9ACE500A-6429-47FD-88C0-4D448484D886}">
      <formula1>15</formula1>
      <formula2>40</formula2>
    </dataValidation>
    <dataValidation type="decimal" allowBlank="1" showInputMessage="1" showErrorMessage="1" sqref="F112" xr:uid="{B721DAC4-5CE6-42EB-8993-FF05F8D0E4AE}">
      <formula1>0</formula1>
      <formula2>100</formula2>
    </dataValidation>
  </dataValidations>
  <hyperlinks>
    <hyperlink ref="T71" r:id="rId1" xr:uid="{B8721BB4-B57F-4E38-967B-538993C24A66}"/>
    <hyperlink ref="E71" r:id="rId2" xr:uid="{DD746178-43BF-426C-B493-3032E1DB4C32}"/>
    <hyperlink ref="F71" r:id="rId3" xr:uid="{7D3C1A2D-34E9-4CA8-BD46-F06364D0089A}"/>
  </hyperlinks>
  <pageMargins left="0.70866141732283472" right="0.70866141732283472" top="0.74803149606299213" bottom="0.74803149606299213" header="0.31496062992125984" footer="0.31496062992125984"/>
  <pageSetup paperSize="9" scale="49" orientation="portrait" r:id="rId4"/>
  <headerFooter>
    <oddFooter>&amp;C&amp;P/(&amp;N)</oddFooter>
  </headerFooter>
  <ignoredErrors>
    <ignoredError sqref="G43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97" r:id="rId7" name="Drop Down 13">
              <controlPr defaultSize="0" autoLine="0" autoPict="0">
                <anchor moveWithCells="1">
                  <from>
                    <xdr:col>18</xdr:col>
                    <xdr:colOff>50800</xdr:colOff>
                    <xdr:row>25</xdr:row>
                    <xdr:rowOff>25400</xdr:rowOff>
                  </from>
                  <to>
                    <xdr:col>20</xdr:col>
                    <xdr:colOff>25400</xdr:colOff>
                    <xdr:row>25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8" name="Drop Down 14">
              <controlPr defaultSize="0" autoLine="0" autoPict="0">
                <anchor moveWithCells="1">
                  <from>
                    <xdr:col>18</xdr:col>
                    <xdr:colOff>50800</xdr:colOff>
                    <xdr:row>28</xdr:row>
                    <xdr:rowOff>50800</xdr:rowOff>
                  </from>
                  <to>
                    <xdr:col>20</xdr:col>
                    <xdr:colOff>25400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9" name="Option Button 9">
              <controlPr defaultSize="0" autoFill="0" autoLine="0" autoPict="0" altText="Suomi">
                <anchor moveWithCells="1">
                  <from>
                    <xdr:col>11</xdr:col>
                    <xdr:colOff>685800</xdr:colOff>
                    <xdr:row>1</xdr:row>
                    <xdr:rowOff>165100</xdr:rowOff>
                  </from>
                  <to>
                    <xdr:col>12</xdr:col>
                    <xdr:colOff>673100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0" name="Option Button 10">
              <controlPr defaultSize="0" autoFill="0" autoLine="0" autoPict="0">
                <anchor moveWithCells="1">
                  <from>
                    <xdr:col>12</xdr:col>
                    <xdr:colOff>533400</xdr:colOff>
                    <xdr:row>1</xdr:row>
                    <xdr:rowOff>165100</xdr:rowOff>
                  </from>
                  <to>
                    <xdr:col>13</xdr:col>
                    <xdr:colOff>508000</xdr:colOff>
                    <xdr:row>2</xdr:row>
                    <xdr:rowOff>203200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91EDDFE-084E-4509-9266-6C6ED3EFCBE6}">
            <xm:f>TuloksetC!$BD$4</xm:f>
            <x14:dxf>
              <font>
                <color rgb="FFC00000"/>
              </font>
            </x14:dxf>
          </x14:cfRule>
          <xm:sqref>D66:I66 K66:M66 N67:N69</xm:sqref>
        </x14:conditionalFormatting>
        <x14:conditionalFormatting xmlns:xm="http://schemas.microsoft.com/office/excel/2006/main">
          <x14:cfRule type="beginsWith" priority="5" operator="beginsWith" id="{E7912CB6-CEF4-4B61-A550-1456CC3DCBB3}">
            <xm:f>LEFT(D47,LEN("-"))="-"</xm:f>
            <xm:f>"-"</xm:f>
            <x14:dxf>
              <font>
                <color rgb="FFFF0000"/>
              </font>
            </x14:dxf>
          </x14:cfRule>
          <xm:sqref>E47:E48 G47:G48 D50:D52</xm:sqref>
        </x14:conditionalFormatting>
        <x14:conditionalFormatting xmlns:xm="http://schemas.microsoft.com/office/excel/2006/main">
          <x14:cfRule type="beginsWith" priority="4" operator="beginsWith" id="{DD696B0C-9603-4C58-A2FD-19A7D2E7580A}">
            <xm:f>LEFT(L42,LEN("-"))="-"</xm:f>
            <xm:f>"-"</xm:f>
            <x14:dxf>
              <font>
                <color rgb="FFFF0000"/>
              </font>
            </x14:dxf>
          </x14:cfRule>
          <xm:sqref>L42:M42</xm:sqref>
        </x14:conditionalFormatting>
        <x14:conditionalFormatting xmlns:xm="http://schemas.microsoft.com/office/excel/2006/main">
          <x14:cfRule type="beginsWith" priority="6" operator="beginsWith" id="{B98753CE-35C5-4A39-849F-6515F34CD1EC}">
            <xm:f>LEFT(L49,LEN("-"))="-"</xm:f>
            <xm:f>"-"</xm:f>
            <x14:dxf>
              <font>
                <color rgb="FFFF0000"/>
              </font>
            </x14:dxf>
          </x14:cfRule>
          <xm:sqref>L49:M52</xm:sqref>
        </x14:conditionalFormatting>
        <x14:conditionalFormatting xmlns:xm="http://schemas.microsoft.com/office/excel/2006/main">
          <x14:cfRule type="expression" priority="9" id="{E672B83A-D753-4161-9F81-B0376ED4DB32}">
            <xm:f>TuloksetC!$BD$4</xm:f>
            <x14:dxf>
              <font>
                <b/>
                <i val="0"/>
                <color rgb="FFC00000"/>
              </font>
            </x14:dxf>
          </x14:cfRule>
          <xm:sqref>N66</xm:sqref>
        </x14:conditionalFormatting>
        <x14:conditionalFormatting xmlns:xm="http://schemas.microsoft.com/office/excel/2006/main">
          <x14:cfRule type="expression" priority="2" id="{7D9FDEBF-5479-4CD3-ACED-5299858748B5}">
            <xm:f>Laskenta_vuosihyötysuhde_C!$C$38</xm:f>
            <x14:dxf>
              <font>
                <color theme="0"/>
              </font>
            </x14:dxf>
          </x14:cfRule>
          <xm:sqref>R30:S30 U30</xm:sqref>
        </x14:conditionalFormatting>
        <x14:conditionalFormatting xmlns:xm="http://schemas.microsoft.com/office/excel/2006/main">
          <x14:cfRule type="expression" priority="1" id="{BEA337AF-341F-46EE-B942-5E344C9FAF26}">
            <xm:f>KirjastoC!$V$6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R23:T24</xm:sqref>
        </x14:conditionalFormatting>
        <x14:conditionalFormatting xmlns:xm="http://schemas.microsoft.com/office/excel/2006/main">
          <x14:cfRule type="expression" priority="3" id="{88212A22-5772-459D-BD5C-7AF4A8FC66A9}">
            <xm:f>Laskenta_vuosihyötysuhde_C!$C$38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T30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zoomScale="70" zoomScaleNormal="70" workbookViewId="0">
      <selection activeCell="AN16" sqref="AN16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15">
      <c r="P1" t="s">
        <v>518</v>
      </c>
    </row>
    <row r="2" spans="3:50" x14ac:dyDescent="0.15">
      <c r="C2" s="2" t="s">
        <v>0</v>
      </c>
      <c r="J2" t="s">
        <v>15</v>
      </c>
      <c r="P2" s="259">
        <f t="array" ref="P2:R2">LINEST(AL34:AL37,AC34:AC37^{1,2})</f>
        <v>2.9164993423366349E-2</v>
      </c>
      <c r="Q2" s="259">
        <v>0.9281612886611923</v>
      </c>
      <c r="R2" s="259">
        <v>-8.4619629319433898</v>
      </c>
      <c r="V2" t="s">
        <v>519</v>
      </c>
      <c r="W2" s="84">
        <f>P2*J3^2+Q2*J3+R2</f>
        <v>92.719999459737778</v>
      </c>
      <c r="X2" t="s">
        <v>14</v>
      </c>
      <c r="AU2" t="s">
        <v>533</v>
      </c>
    </row>
    <row r="3" spans="3:50" ht="17" x14ac:dyDescent="0.25">
      <c r="J3" s="7">
        <f>'R-series'!E33</f>
        <v>45.1</v>
      </c>
      <c r="K3" t="s">
        <v>13</v>
      </c>
      <c r="L3" s="122">
        <f>'R-series'!E39</f>
        <v>61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15">
      <c r="C5" t="s">
        <v>2</v>
      </c>
      <c r="D5" s="1"/>
      <c r="E5" s="1"/>
      <c r="H5" s="1"/>
      <c r="P5" s="52">
        <f t="array" ref="P5:Q5">LINEST(AF34:AF37,LN(AC34:AC37))</f>
        <v>19.314575585049596</v>
      </c>
      <c r="Q5" s="52">
        <v>-36.452175832612028</v>
      </c>
      <c r="R5" t="s">
        <v>28</v>
      </c>
      <c r="T5" s="4"/>
      <c r="U5" s="39" t="s">
        <v>43</v>
      </c>
      <c r="V5" t="s">
        <v>28</v>
      </c>
      <c r="W5" s="9">
        <f>$P$5*LN($J$3)+$Q$5</f>
        <v>37.114768212132461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15">
      <c r="C6" s="2" t="s">
        <v>3</v>
      </c>
      <c r="D6" s="1"/>
      <c r="E6" s="1"/>
      <c r="H6" s="1"/>
      <c r="P6" s="52">
        <f t="array" ref="P6:Q6">LINEST(AG34:AG37,LN(AC34:AC37))</f>
        <v>19.128138027142189</v>
      </c>
      <c r="Q6" s="52">
        <v>-18.171924348202353</v>
      </c>
      <c r="R6" t="s">
        <v>7</v>
      </c>
      <c r="T6" s="4"/>
      <c r="U6" s="39" t="s">
        <v>43</v>
      </c>
      <c r="V6" t="s">
        <v>7</v>
      </c>
      <c r="W6" s="9">
        <f>$P$6*LN($J$3)+$Q$6</f>
        <v>54.684900992146197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v>0.79559999999999997</v>
      </c>
      <c r="AO6" s="272" t="s">
        <v>2123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M7" s="129" t="s">
        <v>2201</v>
      </c>
      <c r="AN7">
        <f>700/3.6</f>
        <v>194.44444444444443</v>
      </c>
      <c r="AU7" t="s">
        <v>534</v>
      </c>
    </row>
    <row r="8" spans="3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92.719999459737778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1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15.852631702711868</v>
      </c>
      <c r="R9" s="52">
        <v>-12.454333659693617</v>
      </c>
      <c r="T9" s="111">
        <f>(J3-R9)/Q9</f>
        <v>3.630585428276111</v>
      </c>
      <c r="U9" s="39" t="s">
        <v>42</v>
      </c>
      <c r="V9" t="s">
        <v>44</v>
      </c>
      <c r="W9" s="125">
        <f>IF($J$3&gt;$AJ$35,AVERAGE(T10,T11,T11),AVERAGE(T9,T9,T11))</f>
        <v>3.6362588253855237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77.874823469031625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12.248273077706079</v>
      </c>
      <c r="R10" s="52">
        <v>19.984893965358481</v>
      </c>
      <c r="T10" s="111">
        <f>(J3-R10)/Q10</f>
        <v>2.0505018034220059</v>
      </c>
      <c r="W10" t="b">
        <f>IF(AND(W9&lt;=10.01,'R-series'!E33&gt;=W11),TRUE,FALSE)</f>
        <v>1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4.9158391424368632E-5</v>
      </c>
      <c r="R11" s="7">
        <v>5.5725267923633907E-2</v>
      </c>
      <c r="S11" s="7">
        <v>1.0344073765073798</v>
      </c>
      <c r="T11" s="111">
        <f>Q11*J3^2+R11*J3+S11</f>
        <v>3.6476056196043491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0.16905639202091474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0.14989360741059088</v>
      </c>
    </row>
    <row r="13" spans="3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2.3925505219684104E-2</v>
      </c>
      <c r="Q13" s="51">
        <v>-1.9878762400709864</v>
      </c>
      <c r="R13" s="51">
        <v>67.97963805858484</v>
      </c>
      <c r="U13" s="39" t="s">
        <v>43</v>
      </c>
      <c r="V13" t="s">
        <v>44</v>
      </c>
      <c r="W13" s="295">
        <f>P18</f>
        <v>24.735367445419278</v>
      </c>
      <c r="X13" t="s">
        <v>49</v>
      </c>
      <c r="Y13" s="129" t="s">
        <v>414</v>
      </c>
      <c r="AU13" t="s">
        <v>535</v>
      </c>
    </row>
    <row r="14" spans="3:50" ht="14" thickBot="1" x14ac:dyDescent="0.2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1.0844517412584961E-4</v>
      </c>
      <c r="Q14">
        <v>-7.6096411655248129E-3</v>
      </c>
      <c r="R14">
        <v>0.86623173189082148</v>
      </c>
      <c r="S14">
        <v>-11.057459938551119</v>
      </c>
      <c r="V14" t="s">
        <v>52</v>
      </c>
      <c r="W14" s="296">
        <f>IF(W13&gt;Y14,Y14,W13)</f>
        <v>24.735367445419278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1100+((AN6-0.73)*3000)-300*(AN7/1000)/2-AN5</f>
        <v>1267.6333333333332</v>
      </c>
      <c r="AU14" s="451" t="b">
        <f>Tulokset!D40</f>
        <v>0</v>
      </c>
    </row>
    <row r="15" spans="3:50" x14ac:dyDescent="0.15">
      <c r="C15" s="2"/>
      <c r="D15" s="2"/>
      <c r="E15" s="2"/>
      <c r="H15" s="2"/>
    </row>
    <row r="16" spans="3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26.991136503273012</v>
      </c>
      <c r="Q16" t="s">
        <v>49</v>
      </c>
      <c r="V16" t="s">
        <v>58</v>
      </c>
      <c r="W16">
        <f>'Laskenta poistopuoli 350'!W13</f>
        <v>23.171215815794739</v>
      </c>
      <c r="AM16" s="129" t="s">
        <v>521</v>
      </c>
      <c r="AN16" s="3">
        <f>(AN8-L3)/AN11</f>
        <v>187.62969610645393</v>
      </c>
      <c r="AU16" t="s">
        <v>21</v>
      </c>
    </row>
    <row r="17" spans="3:52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22.479598387565545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159.2784634479664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24.735367445419278</v>
      </c>
      <c r="Q18" t="s">
        <v>49</v>
      </c>
      <c r="AM18" s="297" t="s">
        <v>529</v>
      </c>
      <c r="AN18" s="84">
        <f>AN16+AN17</f>
        <v>346.90815955442031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1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50.276583261214014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52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1.11478011665663</v>
      </c>
      <c r="X22" t="s">
        <v>77</v>
      </c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1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2.9990019714750661E-2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15.852631702711868</v>
      </c>
      <c r="AX33" s="52">
        <f>R9</f>
        <v>-12.454333659693617</v>
      </c>
      <c r="AZ33" s="111">
        <f>(AO36-AX33)/AW33</f>
        <v>4.1995761276851544</v>
      </c>
    </row>
    <row r="34" spans="21:52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-3.6302456654004993E-2</v>
      </c>
      <c r="Z34" s="28">
        <f>(-W34+SQRT(W34^2-(4*Y34*X34)))/(2*Y34)</f>
        <v>-124.98739873649545</v>
      </c>
      <c r="AA34" s="29">
        <f>(-W34-SQRT(W34^2-(4*Y34*X34)))/(2*Y34)</f>
        <v>142.46762474241928</v>
      </c>
      <c r="AB34" s="36">
        <f>AB6</f>
        <v>368.02333717549868</v>
      </c>
      <c r="AC34" s="53">
        <f>IF(Z34&lt;0,AA34,IF(Z34&gt;AB34,AA34,Z34))</f>
        <v>142.46762474241928</v>
      </c>
      <c r="AD34" s="53">
        <f>V34*AC34^2+W34*AC34+X34</f>
        <v>608.70815290217581</v>
      </c>
      <c r="AE34" s="53">
        <f>X51*AC34^2+Y51*AC34+Z51</f>
        <v>271.48697517506355</v>
      </c>
      <c r="AF34" s="53">
        <f>AVERAGE(K61:K62,K61)</f>
        <v>59.766386746332813</v>
      </c>
      <c r="AG34" s="53">
        <f>AVERAGE(U61:U62,U61)</f>
        <v>76.621681215119608</v>
      </c>
      <c r="AI34">
        <v>10</v>
      </c>
      <c r="AJ34" s="3">
        <f>AC34</f>
        <v>142.46762474241928</v>
      </c>
      <c r="AL34">
        <f>AN52*AC34^2+AO52*AC34+AP52</f>
        <v>716.72321876177148</v>
      </c>
      <c r="AM34" t="s">
        <v>14</v>
      </c>
      <c r="AO34" s="618">
        <f>AC34/$J$3-1</f>
        <v>2.1589273778806932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12.248273077706079</v>
      </c>
      <c r="AX34" s="52">
        <f t="shared" si="9"/>
        <v>19.984893965358481</v>
      </c>
      <c r="AZ34" s="111">
        <f>(AO36-AX34)/AW34</f>
        <v>2.7869321510126324</v>
      </c>
    </row>
    <row r="35" spans="21:52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-3.5883851974913637E-2</v>
      </c>
      <c r="Z35" s="28">
        <f t="shared" ref="Z35:Z37" si="10">(-W35+SQRT(W35^2-(4*Y35*X35)))/(2*Y35)</f>
        <v>-103.12873743978484</v>
      </c>
      <c r="AA35" s="29">
        <f t="shared" ref="AA35:AA37" si="11">(-W35-SQRT(W35^2-(4*Y35*X35)))/(2*Y35)</f>
        <v>114.75092544599043</v>
      </c>
      <c r="AB35" s="36">
        <f>AD6</f>
        <v>299.78303188704132</v>
      </c>
      <c r="AC35" s="53">
        <f t="shared" ref="AC35:AC37" si="12">IF(Z35&lt;0,AA35,IF(Z35&gt;AB35,AA35,Z35))</f>
        <v>114.75092544599043</v>
      </c>
      <c r="AD35" s="53">
        <f>V35*AC35^2+W35*AC35+X35</f>
        <v>394.90182857182918</v>
      </c>
      <c r="AE35" s="53">
        <f t="shared" ref="AE35:AE37" si="13">X52*AC35^2+Y52*AC35+Z52</f>
        <v>152.00360588996386</v>
      </c>
      <c r="AF35" s="53">
        <f>AVERAGE(K66:K67,K66)</f>
        <v>54.387346769698617</v>
      </c>
      <c r="AG35" s="53">
        <f>AVERAGE(U66:U67,U66)</f>
        <v>72.373720338502551</v>
      </c>
      <c r="AI35">
        <v>9</v>
      </c>
      <c r="AJ35" s="3">
        <f>Q9*AI35+R9</f>
        <v>130.2193516647132</v>
      </c>
      <c r="AL35">
        <f t="shared" ref="AL35:AL37" si="14">AN53*AC35^2+AO53*AC35+AP53</f>
        <v>479.46149159892548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4.9158391424368632E-5</v>
      </c>
      <c r="AX35" s="52">
        <f t="shared" si="15"/>
        <v>5.5725267923633907E-2</v>
      </c>
      <c r="AY35" s="52">
        <f t="shared" si="15"/>
        <v>1.0344073765073798</v>
      </c>
      <c r="AZ35" s="111">
        <f>AW35*AO36^2+AX35*AO36+AY35</f>
        <v>4.1942425465616022</v>
      </c>
    </row>
    <row r="36" spans="21:52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-3.689101954136384E-2</v>
      </c>
      <c r="Z36" s="28">
        <f t="shared" si="10"/>
        <v>-65.946566357978639</v>
      </c>
      <c r="AA36" s="29">
        <f t="shared" si="11"/>
        <v>81.893045588599378</v>
      </c>
      <c r="AB36" s="36">
        <f>AF6</f>
        <v>213.61335762915562</v>
      </c>
      <c r="AC36" s="53">
        <f t="shared" si="12"/>
        <v>81.893045588599378</v>
      </c>
      <c r="AD36" s="53">
        <f>V36*AC36^2+W36*AC36+X36</f>
        <v>201.12719498053667</v>
      </c>
      <c r="AE36" s="53">
        <f t="shared" si="13"/>
        <v>68.406592650767124</v>
      </c>
      <c r="AF36" s="53">
        <f>AVERAGE(K71:K72,K71)</f>
        <v>49.002505039094423</v>
      </c>
      <c r="AG36" s="53">
        <f>AVERAGE(U71:U72,U71)</f>
        <v>66.538320868792781</v>
      </c>
      <c r="AI36">
        <v>8</v>
      </c>
      <c r="AJ36" s="3">
        <f>AC35</f>
        <v>114.75092544599043</v>
      </c>
      <c r="AL36">
        <f t="shared" si="14"/>
        <v>265.63213592390093</v>
      </c>
      <c r="AM36" t="s">
        <v>14</v>
      </c>
      <c r="AO36" s="611">
        <f>Tulokset!$CR$16</f>
        <v>54.12</v>
      </c>
      <c r="AP36" t="s">
        <v>13</v>
      </c>
      <c r="AR36" s="619">
        <f>IF($AO$36&gt;$AJ$35,AVERAGE(AZ34,AZ35,AZ35),AVERAGE(AZ33,AZ33,AZ35))</f>
        <v>4.1977982673106373</v>
      </c>
      <c r="AS36" t="s">
        <v>25</v>
      </c>
    </row>
    <row r="37" spans="21:52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-3.4518725679268343E-2</v>
      </c>
      <c r="Z37" s="30">
        <f t="shared" si="10"/>
        <v>-56.459470481644175</v>
      </c>
      <c r="AA37" s="31">
        <f t="shared" si="11"/>
        <v>51.340398635142975</v>
      </c>
      <c r="AB37" s="37">
        <f>AH6</f>
        <v>122.85148290021115</v>
      </c>
      <c r="AC37" s="53">
        <f t="shared" si="12"/>
        <v>51.340398635142975</v>
      </c>
      <c r="AD37" s="53">
        <f>V37*AC37^2+W37*AC37+X37</f>
        <v>79.04878956000158</v>
      </c>
      <c r="AE37" s="53">
        <f t="shared" si="13"/>
        <v>28.032784466218004</v>
      </c>
      <c r="AF37" s="53">
        <f>AVERAGE(K76:K77,K76)</f>
        <v>39.581460420087545</v>
      </c>
      <c r="AG37" s="53">
        <f>AVERAGE(U76:U77,U76)</f>
        <v>56.960573069316865</v>
      </c>
      <c r="AI37">
        <v>6</v>
      </c>
      <c r="AJ37" s="3">
        <f t="shared" ref="AJ37:AJ38" si="16">AC36</f>
        <v>81.893045588599378</v>
      </c>
      <c r="AL37">
        <f t="shared" si="14"/>
        <v>115.20670602644462</v>
      </c>
      <c r="AM37" t="s">
        <v>14</v>
      </c>
      <c r="AO37" s="611">
        <f>Tulokset!$CR$17</f>
        <v>87.839999999999975</v>
      </c>
      <c r="AP37" t="s">
        <v>14</v>
      </c>
    </row>
    <row r="38" spans="21:52" x14ac:dyDescent="0.15">
      <c r="AI38">
        <v>4</v>
      </c>
      <c r="AJ38" s="3">
        <f t="shared" si="16"/>
        <v>51.340398635142975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52.114768212132461</v>
      </c>
      <c r="AG43" s="53">
        <f t="shared" ref="AG43:AM43" si="17">$W$5+X43</f>
        <v>50.114768212132461</v>
      </c>
      <c r="AH43" s="53">
        <f t="shared" si="17"/>
        <v>38.114768212132461</v>
      </c>
      <c r="AI43" s="53">
        <f t="shared" si="17"/>
        <v>32.114768212132461</v>
      </c>
      <c r="AJ43" s="53">
        <f t="shared" si="17"/>
        <v>28.114768212132461</v>
      </c>
      <c r="AK43" s="53">
        <f t="shared" si="17"/>
        <v>23.114768212132461</v>
      </c>
      <c r="AL43" s="53">
        <f t="shared" si="17"/>
        <v>13.114768212132461</v>
      </c>
      <c r="AM43" s="53">
        <f t="shared" si="17"/>
        <v>8.1147682121324607</v>
      </c>
      <c r="AN43" s="5">
        <f t="array" ref="AN43">10*LOG10(SUM(10^(AF43:AM43/10)))</f>
        <v>54.383791482936147</v>
      </c>
      <c r="AO43" s="5">
        <f t="array" ref="AO43">10*LOG10(SUM(10^((AF43:AM43+AF46:AM46)/10)))</f>
        <v>37.429398946035136</v>
      </c>
      <c r="AP43" t="str">
        <f>IF(ABS(W5-AO43)&lt;0.5,"OK","Tarkista laskenta!")</f>
        <v>OK</v>
      </c>
    </row>
    <row r="44" spans="21:5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60.684900992146197</v>
      </c>
      <c r="AG44" s="53">
        <f t="shared" ref="AG44:AM44" si="18">$W$6+X44</f>
        <v>62.684900992146197</v>
      </c>
      <c r="AH44" s="53">
        <f t="shared" si="18"/>
        <v>53.684900992146197</v>
      </c>
      <c r="AI44" s="53">
        <f t="shared" si="18"/>
        <v>50.684900992146197</v>
      </c>
      <c r="AJ44" s="53">
        <f t="shared" si="18"/>
        <v>49.684900992146197</v>
      </c>
      <c r="AK44" s="53">
        <f t="shared" si="18"/>
        <v>44.684900992146197</v>
      </c>
      <c r="AL44" s="53">
        <f t="shared" si="18"/>
        <v>40.684900992146197</v>
      </c>
      <c r="AM44" s="53">
        <f t="shared" si="18"/>
        <v>38.684900992146197</v>
      </c>
      <c r="AN44" s="5">
        <f t="array" ref="AN44">10*LOG10(SUM(10^(AF44:AM44/10)))</f>
        <v>65.463751393925008</v>
      </c>
      <c r="AO44" s="5">
        <f t="array" ref="AO44">10*LOG10(SUM(10^((AF44:AM44+AF46:AM46)/10)))</f>
        <v>54.607325138590745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61.46301655516735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77.528504257517298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59.847955165537485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76.908671364808171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59.60324990792347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76.047700915742439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55.180127625054297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73.511285067098768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54.58255723389393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72.664795066717588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53.996925841307984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71.791570882072492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51.860993325353874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67.049430001643231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49.10606003291575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66.763645146065514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48.795395051451763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66.087672314247342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43.044068150520317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57.600772611775369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39.705549275261099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57.11773992200051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39.333282709740445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56.646239363949576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R20" sqref="R20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15">
      <c r="P1" t="s">
        <v>518</v>
      </c>
    </row>
    <row r="2" spans="3:34" x14ac:dyDescent="0.15">
      <c r="C2" s="2" t="s">
        <v>59</v>
      </c>
      <c r="J2" t="s">
        <v>15</v>
      </c>
      <c r="P2" s="259">
        <f t="array" ref="P2:R2">LINEST(AL34:AL37,AC34:AC37^{1,2})</f>
        <v>2.8909014745188328E-2</v>
      </c>
      <c r="Q2" s="259">
        <v>0.2718827323714994</v>
      </c>
      <c r="R2" s="259">
        <v>8.2441978347239342</v>
      </c>
      <c r="V2" t="s">
        <v>519</v>
      </c>
      <c r="W2" s="84">
        <f>P2*J3^2+Q2*J3+R2</f>
        <v>77.874823469031625</v>
      </c>
      <c r="X2" t="s">
        <v>14</v>
      </c>
    </row>
    <row r="3" spans="3:34" x14ac:dyDescent="0.15">
      <c r="J3" s="7">
        <f>'R-series'!G33</f>
        <v>44.6</v>
      </c>
      <c r="K3" t="s">
        <v>13</v>
      </c>
      <c r="L3" s="122">
        <f>'R-series'!G39</f>
        <v>54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18.604808205084819</v>
      </c>
      <c r="Q5" s="52">
        <v>-34.874247063712069</v>
      </c>
      <c r="R5" t="s">
        <v>8</v>
      </c>
      <c r="T5" s="4"/>
      <c r="U5" s="39" t="s">
        <v>43</v>
      </c>
      <c r="V5" t="s">
        <v>8</v>
      </c>
      <c r="W5" s="9">
        <f>$P$5*LN($J$3)+$Q$5</f>
        <v>35.781862997423623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20.934207556835709</v>
      </c>
      <c r="Q6" s="52">
        <v>-28.315059652244173</v>
      </c>
      <c r="R6" t="s">
        <v>57</v>
      </c>
      <c r="T6" s="4"/>
      <c r="U6" s="39" t="s">
        <v>43</v>
      </c>
      <c r="V6" t="s">
        <v>57</v>
      </c>
      <c r="W6" s="9">
        <f>$P$6*LN($J$3)+$Q$6</f>
        <v>51.187489198229144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16.704554809502866</v>
      </c>
      <c r="R9" s="52">
        <v>-12.839495280394928</v>
      </c>
      <c r="T9" s="111">
        <f>(J3-R9)/Q9</f>
        <v>3.4385528938322154</v>
      </c>
      <c r="U9" s="39" t="s">
        <v>42</v>
      </c>
      <c r="V9" t="s">
        <v>58</v>
      </c>
      <c r="W9" s="125">
        <f>IF($J$3&gt;$AJ$35,AVERAGE(T10,T11,T11),AVERAGE(T9,T9,T11))</f>
        <v>3.4493235372979947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12.455952681371748</v>
      </c>
      <c r="R10" s="52">
        <v>25.397923872785142</v>
      </c>
      <c r="T10" s="111">
        <f>(J3-R10)/Q10</f>
        <v>1.5415983520820644</v>
      </c>
      <c r="W10" t="b">
        <f>IF(AND(W9&lt;=10.01,'R-series'!E33&gt;=W11),TRUE,FALSE)</f>
        <v>1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" thickBot="1" x14ac:dyDescent="0.2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5.1297226441596621E-5</v>
      </c>
      <c r="R11" s="7">
        <v>5.1691479337036036E-2</v>
      </c>
      <c r="S11" s="7">
        <v>1.0633864548491805</v>
      </c>
      <c r="T11" s="111">
        <f>Q11*J3^2+R11*J3+S11</f>
        <v>3.4708648242295541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1.7473845293839555E-2</v>
      </c>
      <c r="Q13" s="51">
        <v>-1.1988016065286067</v>
      </c>
      <c r="R13" s="51">
        <v>41.38508024129203</v>
      </c>
      <c r="U13" s="39" t="s">
        <v>43</v>
      </c>
      <c r="V13" t="s">
        <v>58</v>
      </c>
      <c r="W13" s="295">
        <f>P18</f>
        <v>23.171215815794739</v>
      </c>
      <c r="X13" t="s">
        <v>49</v>
      </c>
      <c r="Y13" s="129" t="s">
        <v>414</v>
      </c>
    </row>
    <row r="14" spans="3:34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-1.3768476136170177E-5</v>
      </c>
      <c r="Q14">
        <v>2.169531366371702E-2</v>
      </c>
      <c r="R14">
        <v>-1.6019720262513795</v>
      </c>
      <c r="S14">
        <v>53.179622689071273</v>
      </c>
      <c r="V14" t="s">
        <v>52</v>
      </c>
      <c r="W14" s="296">
        <f>IF(W13&gt;Y14,Y14,W13)</f>
        <v>23.171215815794739</v>
      </c>
      <c r="X14" t="s">
        <v>49</v>
      </c>
      <c r="Y14" s="129">
        <v>516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22.676802694810057</v>
      </c>
      <c r="Q16" t="s">
        <v>49</v>
      </c>
    </row>
    <row r="17" spans="3:5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23.66562893677942</v>
      </c>
      <c r="Q17" t="s">
        <v>49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23.171215815794739</v>
      </c>
      <c r="Q18" t="s">
        <v>49</v>
      </c>
    </row>
    <row r="19" spans="3:5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15">
      <c r="C20" s="2"/>
      <c r="D20" s="2"/>
      <c r="E20" s="2"/>
      <c r="H20" s="1"/>
      <c r="AB20" s="6"/>
      <c r="AC20" s="6"/>
    </row>
    <row r="21" spans="3:52" x14ac:dyDescent="0.15">
      <c r="C21" s="2" t="s">
        <v>12</v>
      </c>
      <c r="D21" s="1"/>
      <c r="E21" s="1"/>
      <c r="H21" s="1"/>
      <c r="AB21" s="6"/>
      <c r="AC21" s="6"/>
    </row>
    <row r="22" spans="3:52" x14ac:dyDescent="0.15">
      <c r="C22" t="s">
        <v>11</v>
      </c>
      <c r="D22" s="1"/>
      <c r="E22" s="1"/>
      <c r="H22" s="1"/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</row>
    <row r="24" spans="3:5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2.7147137485169618E-2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16.704554809502866</v>
      </c>
      <c r="AX33" s="52">
        <f>R9</f>
        <v>-12.839495280394928</v>
      </c>
      <c r="AZ33" s="111">
        <f>(AO36-AX33)/AW33</f>
        <v>3.9725389893446557</v>
      </c>
    </row>
    <row r="34" spans="21:52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-3.3961106295268065E-2</v>
      </c>
      <c r="Z34" s="28">
        <f>(-W34+SQRT(W34^2-(4*Y34*X34)))/(2*Y34)</f>
        <v>-114.93621346775326</v>
      </c>
      <c r="AA34" s="29">
        <f>(-W34-SQRT(W34^2-(4*Y34*X34)))/(2*Y34)</f>
        <v>149.95745068650263</v>
      </c>
      <c r="AB34" s="36">
        <f>AB6</f>
        <v>387.02425293331947</v>
      </c>
      <c r="AC34" s="53">
        <f>IF(Z34&lt;0,AA34,IF(Z34&gt;AB34,AA34,Z34))</f>
        <v>149.95745068650263</v>
      </c>
      <c r="AD34" s="53">
        <f>V34*AC34^2+W34*AC34+X34</f>
        <v>610.46411494566701</v>
      </c>
      <c r="AE34" s="53">
        <f>X51*AC34^2+Y51*AC34+Z51</f>
        <v>254.39056803317524</v>
      </c>
      <c r="AF34" s="53">
        <f>AVERAGE(K61:K62,K61)</f>
        <v>58.714345219568912</v>
      </c>
      <c r="AG34" s="53">
        <f>AVERAGE(U61:U62,U61)</f>
        <v>76.769936267264811</v>
      </c>
      <c r="AI34">
        <v>10</v>
      </c>
      <c r="AJ34" s="3">
        <f>AC34</f>
        <v>149.95745068650263</v>
      </c>
      <c r="AL34">
        <f>AN52*AC34^2+AO52*AC34+AP52</f>
        <v>700.56589595263733</v>
      </c>
      <c r="AM34" t="s">
        <v>14</v>
      </c>
      <c r="AO34" s="618">
        <f>AC34/$J$3-1</f>
        <v>2.3622746790695657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12.455952681371748</v>
      </c>
      <c r="AX34" s="52">
        <f t="shared" si="3"/>
        <v>25.397923872785142</v>
      </c>
      <c r="AZ34" s="111">
        <f>(AO36-AX34)/AW34</f>
        <v>2.2577218175589469</v>
      </c>
    </row>
    <row r="35" spans="21:52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-3.2345346939040426E-2</v>
      </c>
      <c r="Z35" s="28">
        <f t="shared" ref="Z35:Z37" si="4">(-W35+SQRT(W35^2-(4*Y35*X35)))/(2*Y35)</f>
        <v>-107.9322675246656</v>
      </c>
      <c r="AA35" s="29">
        <f t="shared" ref="AA35:AA37" si="5">(-W35-SQRT(W35^2-(4*Y35*X35)))/(2*Y35)</f>
        <v>121.21031277492094</v>
      </c>
      <c r="AB35" s="36">
        <f>AD6</f>
        <v>322.84873701660229</v>
      </c>
      <c r="AC35" s="53">
        <f t="shared" ref="AC35:AC37" si="6">IF(Z35&lt;0,AA35,IF(Z35&gt;AB35,AA35,Z35))</f>
        <v>121.21031277492094</v>
      </c>
      <c r="AD35" s="53">
        <f>V35*AC35^2+W35*AC35+X35</f>
        <v>398.84411301337485</v>
      </c>
      <c r="AE35" s="53">
        <f t="shared" ref="AE35:AE37" si="7">X52*AC35^2+Y52*AC35+Z52</f>
        <v>153.23123350627674</v>
      </c>
      <c r="AF35" s="53">
        <f>AVERAGE(K66:K67,K66)</f>
        <v>53.513715349666363</v>
      </c>
      <c r="AG35" s="53">
        <f>AVERAGE(U66:U67,U66)</f>
        <v>71.743113991983364</v>
      </c>
      <c r="AI35">
        <v>9</v>
      </c>
      <c r="AJ35" s="3">
        <f>Q9*AI35+R9</f>
        <v>137.50149800513088</v>
      </c>
      <c r="AL35">
        <f t="shared" ref="AL35:AL37" si="8">AN53*AC35^2+AO53*AC35+AP53</f>
        <v>462.08982449798731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5.1297226441596621E-5</v>
      </c>
      <c r="AX35" s="52">
        <f t="shared" si="3"/>
        <v>5.1691479337036036E-2</v>
      </c>
      <c r="AY35" s="52">
        <f t="shared" si="3"/>
        <v>1.0633864548491805</v>
      </c>
      <c r="AZ35" s="111">
        <f>AW35*AO36^2+AX35*AO36+AY35</f>
        <v>3.9768497119332848</v>
      </c>
    </row>
    <row r="36" spans="21:52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-3.2554759530807692E-2</v>
      </c>
      <c r="Z36" s="28">
        <f t="shared" si="4"/>
        <v>-74.73860024485397</v>
      </c>
      <c r="AA36" s="29">
        <f t="shared" si="5"/>
        <v>86.561094418036447</v>
      </c>
      <c r="AB36" s="36">
        <f>AF6</f>
        <v>231.45482058174542</v>
      </c>
      <c r="AC36" s="53">
        <f t="shared" si="6"/>
        <v>86.561094418036447</v>
      </c>
      <c r="AD36" s="53">
        <f>V36*AC36^2+W36*AC36+X36</f>
        <v>203.40869794777888</v>
      </c>
      <c r="AE36" s="53">
        <f t="shared" si="7"/>
        <v>68.14026338257375</v>
      </c>
      <c r="AF36" s="53">
        <f>AVERAGE(K71:K72,K71)</f>
        <v>48.806030071581283</v>
      </c>
      <c r="AG36" s="53">
        <f>AVERAGE(U71:U72,U71)</f>
        <v>65.284212536754453</v>
      </c>
      <c r="AI36">
        <v>8</v>
      </c>
      <c r="AJ36" s="3">
        <f>AC35</f>
        <v>121.21031277492094</v>
      </c>
      <c r="AL36">
        <f t="shared" si="8"/>
        <v>252.00448813845148</v>
      </c>
      <c r="AM36" t="s">
        <v>14</v>
      </c>
      <c r="AO36" s="611">
        <f>Tulokset!$CS$16</f>
        <v>53.52</v>
      </c>
      <c r="AP36" t="s">
        <v>13</v>
      </c>
      <c r="AR36" s="619">
        <f>IF($AO$36&gt;$AJ$35,AVERAGE(AZ34,AZ35,AZ35),AVERAGE(AZ33,AZ33,AZ35))</f>
        <v>3.9739758968741987</v>
      </c>
      <c r="AS36" t="s">
        <v>25</v>
      </c>
    </row>
    <row r="37" spans="21:52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-3.1984062419620464E-2</v>
      </c>
      <c r="Z37" s="30">
        <f t="shared" si="4"/>
        <v>-51.6870692364839</v>
      </c>
      <c r="AA37" s="31">
        <f t="shared" si="5"/>
        <v>54.392093536909456</v>
      </c>
      <c r="AB37" s="37">
        <f>AH6</f>
        <v>137.79479127749656</v>
      </c>
      <c r="AC37" s="53">
        <f t="shared" si="6"/>
        <v>54.392093536909456</v>
      </c>
      <c r="AD37" s="53">
        <f>V37*AC37^2+W37*AC37+X37</f>
        <v>80.314801888086976</v>
      </c>
      <c r="AE37" s="53">
        <f t="shared" si="7"/>
        <v>28.014982970755362</v>
      </c>
      <c r="AF37" s="53">
        <f>AVERAGE(K76:K77,K76)</f>
        <v>39.284775763307032</v>
      </c>
      <c r="AG37" s="53">
        <f>AVERAGE(U76:U77,U76)</f>
        <v>55.304711315396467</v>
      </c>
      <c r="AI37">
        <v>6</v>
      </c>
      <c r="AJ37" s="3">
        <f t="shared" ref="AJ37:AJ38" si="9">AC36</f>
        <v>86.561094418036447</v>
      </c>
      <c r="AL37">
        <f t="shared" si="8"/>
        <v>107.3159754445777</v>
      </c>
      <c r="AM37" t="s">
        <v>14</v>
      </c>
      <c r="AO37" s="611">
        <f>Tulokset!$CS$17</f>
        <v>77.760000000000005</v>
      </c>
      <c r="AP37" t="s">
        <v>14</v>
      </c>
    </row>
    <row r="38" spans="21:52" x14ac:dyDescent="0.15">
      <c r="AI38">
        <v>4</v>
      </c>
      <c r="AJ38" s="3">
        <f t="shared" si="9"/>
        <v>54.392093536909456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51.781862997423623</v>
      </c>
      <c r="AG43" s="53">
        <f t="shared" ref="AG43:AM43" si="10">$W$5+X43</f>
        <v>48.781862997423623</v>
      </c>
      <c r="AH43" s="53">
        <f t="shared" si="10"/>
        <v>35.781862997423623</v>
      </c>
      <c r="AI43" s="53">
        <f t="shared" si="10"/>
        <v>31.781862997423623</v>
      </c>
      <c r="AJ43" s="53">
        <f t="shared" si="10"/>
        <v>26.781862997423623</v>
      </c>
      <c r="AK43" s="53">
        <f t="shared" si="10"/>
        <v>21.781862997423623</v>
      </c>
      <c r="AL43" s="53">
        <f t="shared" si="10"/>
        <v>12.781862997423623</v>
      </c>
      <c r="AM43" s="53">
        <f t="shared" si="10"/>
        <v>3.7818629974236231</v>
      </c>
      <c r="AN43" s="5">
        <f t="array" ref="AN43">10*LOG10(SUM(10^(AF43:AM43/10)))</f>
        <v>53.658790452574834</v>
      </c>
      <c r="AO43" s="5">
        <f t="array" ref="AO43">10*LOG10(SUM(10^((AF43:AM43+AF46:AM46)/10)))</f>
        <v>36.191979082143682</v>
      </c>
      <c r="AP43" t="str">
        <f>IF(ABS(W5-AO43)&lt;0.5,"OK","Tarkista laskenta!")</f>
        <v>OK</v>
      </c>
    </row>
    <row r="44" spans="21:5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59.187489198229144</v>
      </c>
      <c r="AG44" s="53">
        <f t="shared" ref="AG44:AM44" si="11">$W$6+X44</f>
        <v>59.187489198229144</v>
      </c>
      <c r="AH44" s="53">
        <f t="shared" si="11"/>
        <v>50.187489198229144</v>
      </c>
      <c r="AI44" s="53">
        <f t="shared" si="11"/>
        <v>47.187489198229144</v>
      </c>
      <c r="AJ44" s="53">
        <f t="shared" si="11"/>
        <v>46.187489198229144</v>
      </c>
      <c r="AK44" s="53">
        <f t="shared" si="11"/>
        <v>41.187489198229144</v>
      </c>
      <c r="AL44" s="53">
        <f t="shared" si="11"/>
        <v>37.187489198229144</v>
      </c>
      <c r="AM44" s="53">
        <f t="shared" si="11"/>
        <v>35.187489198229144</v>
      </c>
      <c r="AN44" s="5">
        <f t="array" ref="AN44">10*LOG10(SUM(10^(AF44:AM44/10)))</f>
        <v>62.738644024613698</v>
      </c>
      <c r="AO44" s="5">
        <f t="array" ref="AO44">10*LOG10(SUM(10^((AF44:AM44+AF46:AM46)/10)))</f>
        <v>51.134538932272818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61.102793085083704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76.986456909746352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58.874202851575966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77.137478520109724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58.394629955554791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76.03485176157497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55.791550155192091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71.896807031615211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53.76253546557259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72.189373704924378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53.016075117853894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70.850594566101336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51.489493636928785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66.440234588541415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48.916888889246202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65.675934018457795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48.584312436251437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64.500769573347753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41.147953087806584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56.526046193703031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39.428567475588224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55.659480479961132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38.997192338744654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54.595172986267123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topLeftCell="A4" workbookViewId="0">
      <selection activeCell="C4" sqref="C4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5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5" t="s">
        <v>430</v>
      </c>
      <c r="AG3" s="1507" t="s">
        <v>431</v>
      </c>
    </row>
    <row r="4" spans="2:43" x14ac:dyDescent="0.15">
      <c r="B4" t="s">
        <v>7</v>
      </c>
      <c r="C4" s="314">
        <f>Tulokset!E37</f>
        <v>5.2606981527034833</v>
      </c>
      <c r="D4" t="s">
        <v>25</v>
      </c>
      <c r="E4" s="313">
        <f>'R-series'!E39/'R-series'!E33^2</f>
        <v>2.9990019714750661E-2</v>
      </c>
      <c r="F4" s="313">
        <f>AVERAGE(E4:E5)</f>
        <v>2.8568578599960141E-2</v>
      </c>
      <c r="K4" s="1510" t="s">
        <v>432</v>
      </c>
      <c r="L4" s="1448" t="s">
        <v>433</v>
      </c>
      <c r="M4" s="1448" t="s">
        <v>434</v>
      </c>
      <c r="N4" s="1448" t="s">
        <v>435</v>
      </c>
      <c r="O4" s="1448" t="s">
        <v>436</v>
      </c>
      <c r="P4" s="1448" t="s">
        <v>437</v>
      </c>
      <c r="Q4" s="1504" t="s">
        <v>438</v>
      </c>
      <c r="R4" s="1504" t="s">
        <v>439</v>
      </c>
      <c r="S4" s="1504" t="s">
        <v>440</v>
      </c>
      <c r="T4" s="1504" t="s">
        <v>441</v>
      </c>
      <c r="U4" s="1504" t="s">
        <v>442</v>
      </c>
      <c r="V4" s="1504" t="s">
        <v>443</v>
      </c>
      <c r="W4" s="1506"/>
      <c r="X4" s="1503" t="s">
        <v>61</v>
      </c>
      <c r="Y4" s="1503" t="s">
        <v>62</v>
      </c>
      <c r="Z4" s="1503" t="s">
        <v>63</v>
      </c>
      <c r="AA4" s="1503" t="s">
        <v>64</v>
      </c>
      <c r="AB4" s="1503" t="s">
        <v>65</v>
      </c>
      <c r="AC4" s="1503" t="s">
        <v>66</v>
      </c>
      <c r="AD4" s="1503" t="s">
        <v>67</v>
      </c>
      <c r="AE4" s="1503" t="s">
        <v>68</v>
      </c>
      <c r="AF4" s="1506"/>
      <c r="AG4" s="1508"/>
    </row>
    <row r="5" spans="2:43" x14ac:dyDescent="0.15">
      <c r="B5" t="s">
        <v>8</v>
      </c>
      <c r="C5" s="314">
        <f>Tulokset!H37</f>
        <v>4.5864116691067442</v>
      </c>
      <c r="D5" t="s">
        <v>25</v>
      </c>
      <c r="E5" s="313">
        <f>'R-series'!G39/'R-series'!G33^2</f>
        <v>2.7147137485169618E-2</v>
      </c>
      <c r="K5" s="1510"/>
      <c r="L5" s="1448"/>
      <c r="M5" s="1448"/>
      <c r="N5" s="1448"/>
      <c r="O5" s="1448"/>
      <c r="P5" s="1448"/>
      <c r="Q5" s="1504"/>
      <c r="R5" s="1504"/>
      <c r="S5" s="1504"/>
      <c r="T5" s="1504"/>
      <c r="U5" s="1504"/>
      <c r="V5" s="1504"/>
      <c r="W5" s="1506"/>
      <c r="X5" s="1503"/>
      <c r="Y5" s="1503"/>
      <c r="Z5" s="1503"/>
      <c r="AA5" s="1503"/>
      <c r="AB5" s="1503"/>
      <c r="AC5" s="1503"/>
      <c r="AD5" s="1503"/>
      <c r="AE5" s="1503"/>
      <c r="AF5" s="1503"/>
      <c r="AG5" s="1509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-1.3098627911144507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15">
      <c r="B15" t="s">
        <v>91</v>
      </c>
      <c r="C15" s="314">
        <f>MAX(C4,C5)</f>
        <v>5.2606981527034833</v>
      </c>
      <c r="D15" t="s">
        <v>25</v>
      </c>
      <c r="E15" s="82" t="s">
        <v>42</v>
      </c>
      <c r="F15" s="5">
        <f>C11*LN(C15)+D11</f>
        <v>39.679339155770535</v>
      </c>
      <c r="G15" t="s">
        <v>31</v>
      </c>
      <c r="H15" s="3">
        <f>F15+F12</f>
        <v>38.679339155770535</v>
      </c>
      <c r="I15" t="s">
        <v>31</v>
      </c>
    </row>
    <row r="16" spans="2:43" x14ac:dyDescent="0.15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C11*LN(C16)+D11</f>
        <v>38.738003130214246</v>
      </c>
      <c r="G16" t="s">
        <v>31</v>
      </c>
      <c r="H16" s="3">
        <f>F16+F12</f>
        <v>37.738003130214246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1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15">
      <c r="B22" s="25"/>
      <c r="C22" s="25" t="s">
        <v>8</v>
      </c>
      <c r="D22" s="81">
        <f>'R-series'!N55</f>
        <v>48.991849262605832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15">
      <c r="C23" t="s">
        <v>87</v>
      </c>
      <c r="D23" s="3">
        <f>ABS(D21-D22)</f>
        <v>3.0623439613788719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1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15">
      <c r="B26" s="25"/>
      <c r="C26" s="25" t="s">
        <v>57</v>
      </c>
      <c r="D26" s="81">
        <f>'R-series'!N56</f>
        <v>61.131940217930122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15">
      <c r="C27" t="s">
        <v>87</v>
      </c>
      <c r="D27" s="3">
        <f>ABS(D25-D26)</f>
        <v>2.0349018717580236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2.5486229165684477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0.52695830397018284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39.206297459740718</v>
      </c>
      <c r="D32" t="s">
        <v>31</v>
      </c>
    </row>
    <row r="33" spans="2:23" x14ac:dyDescent="0.15">
      <c r="B33" t="s">
        <v>95</v>
      </c>
      <c r="C33" s="3">
        <f>H15-2.6</f>
        <v>36.079339155770533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37.738003130214246</v>
      </c>
      <c r="D35" s="2" t="s">
        <v>31</v>
      </c>
      <c r="F35" s="5">
        <f>C35+10*LOG10(4/10)</f>
        <v>33.758603043493871</v>
      </c>
      <c r="G35" s="5">
        <f>C35+10*LOG10(4/2.5)</f>
        <v>39.779202956773496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>
        <f>$C$35+C39</f>
        <v>55.738003130214246</v>
      </c>
      <c r="M39" s="86">
        <f t="shared" ref="M39:S39" si="16">$C$35+D39</f>
        <v>49.738003130214246</v>
      </c>
      <c r="N39" s="86">
        <f t="shared" si="16"/>
        <v>40.738003130214246</v>
      </c>
      <c r="O39" s="86">
        <f t="shared" si="16"/>
        <v>27.738003130214246</v>
      </c>
      <c r="P39" s="86">
        <f t="shared" si="16"/>
        <v>23.738003130214246</v>
      </c>
      <c r="Q39" s="86">
        <f t="shared" si="16"/>
        <v>19.738003130214246</v>
      </c>
      <c r="R39" s="86">
        <f t="shared" si="16"/>
        <v>19.738003130214246</v>
      </c>
      <c r="S39" s="86">
        <f t="shared" si="16"/>
        <v>18.738003130214246</v>
      </c>
      <c r="T39" s="5">
        <f t="array" ref="T39">10*LOG10(SUM(10^(L39:S39/10)))</f>
        <v>56.829498113859039</v>
      </c>
      <c r="U39" s="5">
        <f t="array" ref="U39">10*LOG10(SUM(10^((L39:S39+L41:S41)/10)))</f>
        <v>37.53401411301769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topLeftCell="D7" zoomScale="70" zoomScaleNormal="70" workbookViewId="0">
      <selection activeCell="AK25" sqref="AK23:AK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45.1</v>
      </c>
      <c r="K3" t="s">
        <v>13</v>
      </c>
      <c r="L3" s="122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16.256584318046833</v>
      </c>
      <c r="Q5" s="52">
        <v>-9.86522217389453</v>
      </c>
      <c r="R5" t="s">
        <v>28</v>
      </c>
      <c r="T5" s="4"/>
      <c r="U5" s="39" t="s">
        <v>43</v>
      </c>
      <c r="V5" t="s">
        <v>28</v>
      </c>
      <c r="W5" s="9">
        <f>$P$5*LN($J$3)+$Q$5</f>
        <v>52.054193223984704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16.332916886414889</v>
      </c>
      <c r="Q6" s="52">
        <v>0.95668492732141885</v>
      </c>
      <c r="R6" t="s">
        <v>7</v>
      </c>
      <c r="T6" s="4"/>
      <c r="U6" s="39" t="s">
        <v>43</v>
      </c>
      <c r="V6" t="s">
        <v>7</v>
      </c>
      <c r="W6" s="9">
        <f>$P$6*LN($J$3)+$Q$6</f>
        <v>63.166842089688146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11.437607928953708</v>
      </c>
      <c r="R9" s="52">
        <v>-15.069802903193484</v>
      </c>
      <c r="U9" s="39" t="s">
        <v>42</v>
      </c>
      <c r="V9" t="s">
        <v>44</v>
      </c>
      <c r="W9" s="9">
        <f>IF($J$3&gt;$AJ$35,($J$3-$R$10)/$Q$10,($J$3-$R$9)/$Q$9)</f>
        <v>5.2606981527034833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3.6118132583223419</v>
      </c>
      <c r="R10" s="52">
        <v>43.623657126541765</v>
      </c>
      <c r="W10" t="b">
        <f>IF(AND(W9&lt;=10.01,'R-series'!E33&gt;=W11),TRUE,FALSE)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2.2912702086933856E-2</v>
      </c>
      <c r="Q13" s="51">
        <v>-0.81391143903182162</v>
      </c>
      <c r="R13" s="51">
        <v>14.108754446212401</v>
      </c>
      <c r="U13" s="39" t="s">
        <v>43</v>
      </c>
      <c r="V13" t="s">
        <v>44</v>
      </c>
      <c r="W13" s="9">
        <f>$P$13*J3^2+$Q$13*J3+$R$13</f>
        <v>24.006013717721586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24.006013717721586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100'!W13</f>
        <v>18.150117836193097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45.156131553914683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1.0012446020823655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2.9990019714750665E-2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-5.2423318572439717E-2</v>
      </c>
      <c r="Z34" s="28">
        <f>(-W34+SQRT(W34^2-(4*Y34*X34)))/(2*Y34)</f>
        <v>-122.87158798076136</v>
      </c>
      <c r="AA34" s="29">
        <f>(-W34-SQRT(W34^2-(4*Y34*X34)))/(2*Y34)</f>
        <v>79.741789709765186</v>
      </c>
      <c r="AB34" s="36">
        <f>AB6</f>
        <v>105.55992375280067</v>
      </c>
      <c r="AC34" s="53">
        <f>IF(Z34&lt;0,AA34,IF(Z34&gt;AB34,AA34,Z34))</f>
        <v>79.741789709765186</v>
      </c>
      <c r="AD34" s="53">
        <f>V34*AC34^2+W34*AC34+X34</f>
        <v>190.69912861446176</v>
      </c>
      <c r="AE34" s="53">
        <f>X51*AC34^2+Y51*AC34+Z51</f>
        <v>95.40325574657399</v>
      </c>
      <c r="AF34" s="53">
        <f>$H$60*AC34^2+$I$60*AC34+$J$60</f>
        <v>61.463772608084341</v>
      </c>
      <c r="AG34" s="53">
        <f>$R$60*AC34^2+$S$60*AC34+$T$60</f>
        <v>72.998321056326319</v>
      </c>
      <c r="AI34">
        <v>10</v>
      </c>
      <c r="AJ34" s="3">
        <f>AC34</f>
        <v>79.741789709765186</v>
      </c>
      <c r="AL34" s="618">
        <f>AC34/$J$3-1</f>
        <v>0.76811063658015932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-4.3750286596976912E-2</v>
      </c>
      <c r="Z35" s="28">
        <f t="shared" ref="Z35:Z37" si="3">(-W35+SQRT(W35^2-(4*Y35*X35)))/(2*Y35)</f>
        <v>-111.07199038549049</v>
      </c>
      <c r="AA35" s="29">
        <f t="shared" ref="AA35:AA37" si="4">(-W35-SQRT(W35^2-(4*Y35*X35)))/(2*Y35)</f>
        <v>59.80758975113757</v>
      </c>
      <c r="AB35" s="36">
        <f>AD6</f>
        <v>80.704641716435873</v>
      </c>
      <c r="AC35" s="53">
        <f t="shared" ref="AC35:AC37" si="5">IF(Z35&lt;0,AA35,IF(Z35&gt;AB35,AA35,Z35))</f>
        <v>59.80758975113757</v>
      </c>
      <c r="AD35" s="53">
        <f>V35*AC35^2+W35*AC35+X35</f>
        <v>107.27273479592679</v>
      </c>
      <c r="AE35" s="53">
        <f t="shared" ref="AE35:AE37" si="6">X52*AC35^2+Y52*AC35+Z52</f>
        <v>45.835954608284695</v>
      </c>
      <c r="AF35" s="53">
        <f>$H$65*AC35^2+$I$65*AC35+$J$65</f>
        <v>56.664699444084086</v>
      </c>
      <c r="AG35" s="53">
        <f>$R$65*AC35^2+$S$65*AC35+$T$65</f>
        <v>67.514723767959595</v>
      </c>
      <c r="AI35">
        <v>7.5</v>
      </c>
      <c r="AJ35" s="3">
        <f>Q9*AI35+R9</f>
        <v>70.712256563959329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-4.1120969055749745E-2</v>
      </c>
      <c r="Z36" s="28">
        <f t="shared" si="3"/>
        <v>-90.891348405639874</v>
      </c>
      <c r="AA36" s="29">
        <f t="shared" si="4"/>
        <v>41.185589788344139</v>
      </c>
      <c r="AB36" s="36">
        <f>AF6</f>
        <v>54.339001915022031</v>
      </c>
      <c r="AC36" s="53">
        <f t="shared" si="5"/>
        <v>41.185589788344139</v>
      </c>
      <c r="AD36" s="53">
        <f>V36*AC36^2+W36*AC36+X36</f>
        <v>50.870655099551712</v>
      </c>
      <c r="AE36" s="53">
        <f t="shared" si="6"/>
        <v>20.949341361693321</v>
      </c>
      <c r="AF36" s="53">
        <f>$H$70*AC36^2+$I$70*AC36+$J$70</f>
        <v>50.271040832610737</v>
      </c>
      <c r="AG36" s="53">
        <f>$R$70*AC36^2+$S$70*AC36+$T$70</f>
        <v>61.088036068481493</v>
      </c>
      <c r="AI36">
        <v>6.5</v>
      </c>
      <c r="AJ36" s="3">
        <f>AC35</f>
        <v>59.80758975113757</v>
      </c>
      <c r="AL36" s="611">
        <f>Tulokset!$CR$16</f>
        <v>54.12</v>
      </c>
      <c r="AM36" t="s">
        <v>13</v>
      </c>
      <c r="AO36" s="619">
        <f>IF($AL$36&gt;$AJ$35,($AL$36-$R$10)/$Q$10,($AL$36-$R$9)/$Q$9)</f>
        <v>6.0493245906815094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-4.0307150751392989E-2</v>
      </c>
      <c r="Z37" s="30">
        <f t="shared" si="3"/>
        <v>-60.127222657101186</v>
      </c>
      <c r="AA37" s="31">
        <f t="shared" si="4"/>
        <v>19.642726720766603</v>
      </c>
      <c r="AB37" s="37">
        <f>AH6</f>
        <v>20.411043893478237</v>
      </c>
      <c r="AC37" s="53">
        <f t="shared" si="5"/>
        <v>19.642726720766603</v>
      </c>
      <c r="AD37" s="53">
        <f>V37*AC37^2+W37*AC37+X37</f>
        <v>11.571250630345872</v>
      </c>
      <c r="AE37" s="53">
        <f t="shared" si="6"/>
        <v>6.5168169308963897</v>
      </c>
      <c r="AF37" s="53">
        <f>$H$75*AC37^2+$I$75*AC37+$J$75</f>
        <v>38.682435539113378</v>
      </c>
      <c r="AG37" s="53">
        <f>$R$75*AC37^2+$S$75*AC37+$T$75</f>
        <v>49.926134441218167</v>
      </c>
      <c r="AI37">
        <v>5</v>
      </c>
      <c r="AJ37" s="3">
        <f t="shared" ref="AJ37:AJ38" si="7">AC36</f>
        <v>41.185589788344139</v>
      </c>
      <c r="AL37" s="611">
        <f>Tulokset!$CR$17</f>
        <v>87.839999999999975</v>
      </c>
      <c r="AM37" t="s">
        <v>14</v>
      </c>
    </row>
    <row r="38" spans="21:42" x14ac:dyDescent="0.15">
      <c r="AI38">
        <v>3</v>
      </c>
      <c r="AJ38" s="3">
        <f t="shared" si="7"/>
        <v>19.642726720766603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73.054193223984697</v>
      </c>
      <c r="AG43" s="53">
        <f t="shared" ref="AG43:AM43" si="8">$W$5+X43</f>
        <v>62.054193223984704</v>
      </c>
      <c r="AH43" s="53">
        <f t="shared" si="8"/>
        <v>55.054193223984704</v>
      </c>
      <c r="AI43" s="53">
        <f t="shared" si="8"/>
        <v>44.054193223984704</v>
      </c>
      <c r="AJ43" s="53">
        <f t="shared" si="8"/>
        <v>32.054193223984704</v>
      </c>
      <c r="AK43" s="53">
        <f t="shared" si="8"/>
        <v>26.054193223984704</v>
      </c>
      <c r="AL43" s="53">
        <f t="shared" si="8"/>
        <v>18.054193223984704</v>
      </c>
      <c r="AM43" s="53">
        <f t="shared" si="8"/>
        <v>13.054193223984704</v>
      </c>
      <c r="AN43" s="5">
        <f t="array" ref="AN43">10*LOG10(SUM(10^(AF43:AM43/10)))</f>
        <v>73.454850797406877</v>
      </c>
      <c r="AO43" s="5">
        <f t="array" ref="AO43">10*LOG10(SUM(10^((AF43:AM43+AF46:AM46)/10)))</f>
        <v>51.65726870440924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85.166842089688146</v>
      </c>
      <c r="AG44" s="53">
        <f t="shared" ref="AG44:AM44" si="9">$W$6+X44</f>
        <v>70.166842089688146</v>
      </c>
      <c r="AH44" s="53">
        <f t="shared" si="9"/>
        <v>62.166842089688146</v>
      </c>
      <c r="AI44" s="53">
        <f t="shared" si="9"/>
        <v>59.166842089688146</v>
      </c>
      <c r="AJ44" s="53">
        <f t="shared" si="9"/>
        <v>53.166842089688146</v>
      </c>
      <c r="AK44" s="53">
        <f t="shared" si="9"/>
        <v>51.166842089688146</v>
      </c>
      <c r="AL44" s="53">
        <f t="shared" si="9"/>
        <v>45.166842089688146</v>
      </c>
      <c r="AM44" s="53">
        <f t="shared" si="9"/>
        <v>35.166842089688146</v>
      </c>
      <c r="AN44" s="5">
        <f t="array" ref="AN44">10*LOG10(SUM(10^(AF44:AM44/10)))</f>
        <v>85.338367957927019</v>
      </c>
      <c r="AO44" s="5">
        <f t="array" ref="AO44">10*LOG10(SUM(10^((AF44:AM44+AF46:AM46)/10)))</f>
        <v>63.200453908169649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topLeftCell="I1" zoomScale="85" zoomScaleNormal="85" workbookViewId="0">
      <selection activeCell="AJ25" sqref="AJ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18.008273840705353</v>
      </c>
      <c r="Q5" s="52">
        <v>-19.398782044853412</v>
      </c>
      <c r="R5" t="s">
        <v>28</v>
      </c>
      <c r="T5" s="4"/>
      <c r="U5" s="39" t="s">
        <v>43</v>
      </c>
      <c r="V5" t="s">
        <v>8</v>
      </c>
      <c r="W5" s="9">
        <f>$P$5*LN($J$3)+$Q$5</f>
        <v>48.991849262605832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17.929303724745996</v>
      </c>
      <c r="Q6" s="52">
        <v>-6.9587836062990505</v>
      </c>
      <c r="R6" t="s">
        <v>7</v>
      </c>
      <c r="T6" s="4"/>
      <c r="U6" s="39" t="s">
        <v>43</v>
      </c>
      <c r="V6" t="s">
        <v>57</v>
      </c>
      <c r="W6" s="9">
        <f>$P$6*LN($J$3)+$Q$6</f>
        <v>61.131940217930122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12.632112206766086</v>
      </c>
      <c r="R9" s="52">
        <v>-13.336066830577728</v>
      </c>
      <c r="U9" s="39" t="s">
        <v>42</v>
      </c>
      <c r="V9" t="s">
        <v>44</v>
      </c>
      <c r="W9" s="9">
        <f>IF($J$3&gt;$AJ$35,($J$3-$R$10)/$Q$10,($J$3-$R$9)/$Q$9)</f>
        <v>4.5864116691067442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3.1440618955925683</v>
      </c>
      <c r="R10" s="52">
        <v>57.824310503223657</v>
      </c>
      <c r="W10" t="b">
        <f>IF(AND(W9&lt;=10.01,'R-series'!G33&gt;=W11),TRUE,FALSE)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2.0943858720218967E-2</v>
      </c>
      <c r="Q13" s="51">
        <v>-0.89760988252509832</v>
      </c>
      <c r="R13" s="51">
        <v>16.522832584901721</v>
      </c>
      <c r="U13" s="39" t="s">
        <v>43</v>
      </c>
      <c r="V13" t="s">
        <v>44</v>
      </c>
      <c r="W13" s="9">
        <f>$P$13*J3^2+$Q$13*J3+$R$13</f>
        <v>18.150117836193097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18.150117836193097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17.754934733499603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38.9050525696927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44.6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0.87231059573302017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2.7147137485169618E-2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-6.6056958751592662E-2</v>
      </c>
      <c r="Z34" s="28">
        <f>(-W34+SQRT(W34^2-(4*Y34*X34)))/(2*Y34)</f>
        <v>-78.193158530599931</v>
      </c>
      <c r="AA34" s="29">
        <f>(-W34-SQRT(W34^2-(4*Y34*X34)))/(2*Y34)</f>
        <v>89.264929459149343</v>
      </c>
      <c r="AB34" s="36">
        <f>AB6</f>
        <v>115.67880715777122</v>
      </c>
      <c r="AC34" s="53">
        <f>IF(Z34&lt;0,AA34,IF(Z34&gt;AB34,AA34,Z34))</f>
        <v>89.264929459149343</v>
      </c>
      <c r="AD34" s="53">
        <f>V34*AC34^2+W34*AC34+X34</f>
        <v>216.31457102130202</v>
      </c>
      <c r="AE34" s="53">
        <f>X51*AC34^2+Y51*AC34+Z51</f>
        <v>103.57761301250554</v>
      </c>
      <c r="AF34" s="53">
        <f>$H$60*AC34^2+$I$60*AC34+$J$60</f>
        <v>61.961302980290775</v>
      </c>
      <c r="AG34" s="53">
        <f>$R$60*AC34^2+$S$60*AC34+$T$60</f>
        <v>73.809721520211866</v>
      </c>
      <c r="AI34">
        <v>10</v>
      </c>
      <c r="AJ34" s="3">
        <f>AC34</f>
        <v>89.264929459149343</v>
      </c>
      <c r="AL34" s="618">
        <f>AC34/$J$3-1</f>
        <v>1.0014558174697163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-5.4947319617123083E-2</v>
      </c>
      <c r="Z35" s="28">
        <f t="shared" ref="Z35:Z37" si="3">(-W35+SQRT(W35^2-(4*Y35*X35)))/(2*Y35)</f>
        <v>-74.641108241723231</v>
      </c>
      <c r="AA35" s="29">
        <f t="shared" ref="AA35:AA37" si="4">(-W35-SQRT(W35^2-(4*Y35*X35)))/(2*Y35)</f>
        <v>69.083296304840971</v>
      </c>
      <c r="AB35" s="36">
        <f>AD6</f>
        <v>91.988373586551461</v>
      </c>
      <c r="AC35" s="53">
        <f t="shared" ref="AC35:AC37" si="5">IF(Z35&lt;0,AA35,IF(Z35&gt;AB35,AA35,Z35))</f>
        <v>69.083296304840971</v>
      </c>
      <c r="AD35" s="53">
        <f>V35*AC35^2+W35*AC35+X35</f>
        <v>129.55976328223596</v>
      </c>
      <c r="AE35" s="53">
        <f t="shared" ref="AE35:AE37" si="6">X52*AC35^2+Y52*AC35+Z52</f>
        <v>53.602195253932109</v>
      </c>
      <c r="AF35" s="53">
        <f>$H$65*AC35^2+$I$65*AC35+$J$65</f>
        <v>56.653715140019358</v>
      </c>
      <c r="AG35" s="53">
        <f>$R$65*AC35^2+$S$65*AC35+$T$65</f>
        <v>68.850678573350066</v>
      </c>
      <c r="AI35">
        <v>7.5</v>
      </c>
      <c r="AJ35" s="3">
        <f>Q9*AI35+R9</f>
        <v>81.404774720167921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-5.9727766819852479E-2</v>
      </c>
      <c r="Z36" s="28">
        <f t="shared" si="3"/>
        <v>-47.753336593788603</v>
      </c>
      <c r="AA36" s="29">
        <f t="shared" si="4"/>
        <v>49.280885068234205</v>
      </c>
      <c r="AB36" s="36">
        <f>AF6</f>
        <v>63.494874015749062</v>
      </c>
      <c r="AC36" s="53">
        <f t="shared" si="5"/>
        <v>49.280885068234205</v>
      </c>
      <c r="AD36" s="53">
        <f>V36*AC36^2+W36*AC36+X36</f>
        <v>65.929691019254093</v>
      </c>
      <c r="AE36" s="53">
        <f t="shared" si="6"/>
        <v>23.942222890066784</v>
      </c>
      <c r="AF36" s="53">
        <f>$H$70*AC36^2+$I$70*AC36+$J$70</f>
        <v>50.230733038797275</v>
      </c>
      <c r="AG36" s="53">
        <f>$R$70*AC36^2+$S$70*AC36+$T$70</f>
        <v>62.66828289334282</v>
      </c>
      <c r="AI36">
        <v>6.5</v>
      </c>
      <c r="AJ36" s="3">
        <f>AC35</f>
        <v>69.083296304840971</v>
      </c>
      <c r="AL36" s="611">
        <f>Tulokset!$CS$16</f>
        <v>53.52</v>
      </c>
      <c r="AM36" t="s">
        <v>13</v>
      </c>
      <c r="AO36" s="619">
        <f>IF($AL$36&gt;$AJ$35,($AL$36-$R$10)/$Q$10,($AL$36-$R$9)/$Q$9)</f>
        <v>5.2925485252393409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-9.551890312119924E-3</v>
      </c>
      <c r="Z37" s="30">
        <f t="shared" si="3"/>
        <v>-268.66769739518821</v>
      </c>
      <c r="AA37" s="31">
        <f t="shared" si="4"/>
        <v>24.79324513329987</v>
      </c>
      <c r="AB37" s="37">
        <f>AH6</f>
        <v>29.670491870313402</v>
      </c>
      <c r="AC37" s="53">
        <f t="shared" si="5"/>
        <v>24.79324513329987</v>
      </c>
      <c r="AD37" s="53">
        <f>V37*AC37^2+W37*AC37+X37</f>
        <v>16.687481262922276</v>
      </c>
      <c r="AE37" s="53">
        <f t="shared" si="6"/>
        <v>6.9234013753118306</v>
      </c>
      <c r="AF37" s="53">
        <f>$H$75*AC37^2+$I$75*AC37+$J$75</f>
        <v>38.720662308536909</v>
      </c>
      <c r="AG37" s="53">
        <f>$R$75*AC37^2+$S$75*AC37+$T$75</f>
        <v>50.747230144839612</v>
      </c>
      <c r="AI37">
        <v>5</v>
      </c>
      <c r="AJ37" s="3">
        <f t="shared" ref="AJ37:AJ38" si="7">AC36</f>
        <v>49.280885068234205</v>
      </c>
      <c r="AL37" s="611">
        <f>Tulokset!$CS$17</f>
        <v>77.760000000000005</v>
      </c>
      <c r="AM37" t="s">
        <v>14</v>
      </c>
    </row>
    <row r="38" spans="21:42" x14ac:dyDescent="0.15">
      <c r="AI38">
        <v>3</v>
      </c>
      <c r="AJ38" s="3">
        <f t="shared" si="7"/>
        <v>24.79324513329987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67.991849262605825</v>
      </c>
      <c r="AG43" s="53">
        <f t="shared" ref="AG43:AM43" si="8">$W$5+X43</f>
        <v>58.991849262605832</v>
      </c>
      <c r="AH43" s="53">
        <f t="shared" si="8"/>
        <v>51.991849262605832</v>
      </c>
      <c r="AI43" s="53">
        <f t="shared" si="8"/>
        <v>43.991849262605832</v>
      </c>
      <c r="AJ43" s="53">
        <f t="shared" si="8"/>
        <v>35.991849262605832</v>
      </c>
      <c r="AK43" s="53">
        <f t="shared" si="8"/>
        <v>29.991849262605832</v>
      </c>
      <c r="AL43" s="53">
        <f t="shared" si="8"/>
        <v>19.991849262605832</v>
      </c>
      <c r="AM43" s="53">
        <f t="shared" si="8"/>
        <v>14.991849262605832</v>
      </c>
      <c r="AN43" s="5">
        <f t="array" ref="AN43">10*LOG10(SUM(10^(AF43:AM43/10)))</f>
        <v>68.620686627350423</v>
      </c>
      <c r="AO43" s="5">
        <f t="array" ref="AO43">10*LOG10(SUM(10^((AF43:AM43+AF46:AM46)/10)))</f>
        <v>48.683232458623493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83.131940217930122</v>
      </c>
      <c r="AG44" s="53">
        <f t="shared" ref="AG44:AM44" si="9">$W$6+X44</f>
        <v>67.131940217930122</v>
      </c>
      <c r="AH44" s="53">
        <f t="shared" si="9"/>
        <v>64.131940217930122</v>
      </c>
      <c r="AI44" s="53">
        <f t="shared" si="9"/>
        <v>57.131940217930122</v>
      </c>
      <c r="AJ44" s="53">
        <f t="shared" si="9"/>
        <v>52.131940217930122</v>
      </c>
      <c r="AK44" s="53">
        <f t="shared" si="9"/>
        <v>50.131940217930122</v>
      </c>
      <c r="AL44" s="53">
        <f t="shared" si="9"/>
        <v>43.131940217930122</v>
      </c>
      <c r="AM44" s="53">
        <f t="shared" si="9"/>
        <v>39.131940217930122</v>
      </c>
      <c r="AN44" s="5">
        <f t="array" ref="AN44">10*LOG10(SUM(10^(AF44:AM44/10)))</f>
        <v>83.309180626517744</v>
      </c>
      <c r="AO44" s="5">
        <f t="array" ref="AO44">10*LOG10(SUM(10^((AF44:AM44+AF46:AM46)/10)))</f>
        <v>61.921355680970606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D28" sqref="D28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Tulokset!E24</f>
        <v>5.2606981527034833</v>
      </c>
      <c r="D4" t="s">
        <v>25</v>
      </c>
    </row>
    <row r="5" spans="2:7" x14ac:dyDescent="0.15">
      <c r="B5" t="s">
        <v>8</v>
      </c>
      <c r="C5" s="3">
        <f>Tulokset!H24</f>
        <v>4.5864116691067442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5.2606981527034833</v>
      </c>
      <c r="D15" t="s">
        <v>25</v>
      </c>
      <c r="E15" s="82" t="s">
        <v>42</v>
      </c>
      <c r="F15" s="5">
        <f>IF(C15&gt;7.5,C12*LN(C15)+D12,C13*LN(C15)+D13)</f>
        <v>38.209256805935283</v>
      </c>
      <c r="G15" t="s">
        <v>31</v>
      </c>
    </row>
    <row r="16" spans="2:7" x14ac:dyDescent="0.15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IF(C16&gt;7.5,C12*LN(C16)+D12,C13*LN(C16)+D13)</f>
        <v>37.059608416600945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15">
      <c r="C23" t="s">
        <v>87</v>
      </c>
      <c r="D23" s="3">
        <f>ABS(D21-D22)</f>
        <v>3.0623439613788719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15">
      <c r="C27" t="s">
        <v>87</v>
      </c>
      <c r="D27" s="3">
        <f>ABS(D25-D26)</f>
        <v>2.0349018717580236</v>
      </c>
      <c r="E27" t="s">
        <v>31</v>
      </c>
    </row>
    <row r="29" spans="2:5" x14ac:dyDescent="0.15">
      <c r="B29" t="s">
        <v>94</v>
      </c>
      <c r="C29" s="3">
        <f>AVERAGE(D27,D23)</f>
        <v>2.5486229165684477</v>
      </c>
      <c r="D29" t="s">
        <v>31</v>
      </c>
    </row>
    <row r="30" spans="2:5" x14ac:dyDescent="0.1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15">
      <c r="B32" t="s">
        <v>83</v>
      </c>
      <c r="C32" s="3">
        <f>F15+C30</f>
        <v>38.736215109905466</v>
      </c>
      <c r="D32" t="s">
        <v>31</v>
      </c>
    </row>
    <row r="33" spans="2:23" x14ac:dyDescent="0.15">
      <c r="B33" t="s">
        <v>95</v>
      </c>
      <c r="C33" s="3">
        <f>F15-2.6</f>
        <v>35.609256805935281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37.059608416600945</v>
      </c>
      <c r="D35" s="2" t="s">
        <v>31</v>
      </c>
      <c r="F35" s="5">
        <f>C35+10*LOG10(4/10)</f>
        <v>33.08020832988057</v>
      </c>
      <c r="G35" s="5">
        <f>C35+10*LOG10(4/2.5)</f>
        <v>39.100808243160195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52.059608416600945</v>
      </c>
      <c r="M39" s="86">
        <f t="shared" ref="M39:S39" si="0">$C$35+D39</f>
        <v>47.059608416600945</v>
      </c>
      <c r="N39" s="86">
        <f t="shared" si="0"/>
        <v>42.059608416600945</v>
      </c>
      <c r="O39" s="86">
        <f t="shared" si="0"/>
        <v>32.059608416600945</v>
      </c>
      <c r="P39" s="86">
        <f t="shared" si="0"/>
        <v>23.059608416600945</v>
      </c>
      <c r="Q39" s="86">
        <f t="shared" si="0"/>
        <v>17.059608416600945</v>
      </c>
      <c r="R39" s="86">
        <f t="shared" si="0"/>
        <v>11.059608416600945</v>
      </c>
      <c r="S39" s="86">
        <f t="shared" si="0"/>
        <v>7.0596084166009447</v>
      </c>
      <c r="T39" s="5">
        <f t="array" ref="T39">10*LOG10(SUM(10^(L39:S39/10)))</f>
        <v>53.606628856567454</v>
      </c>
      <c r="U39" s="5">
        <f t="array" ref="U39">10*LOG10(SUM(10^((L39:S39+L41:S41)/10)))</f>
        <v>36.909974953268367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45.1</v>
      </c>
      <c r="K3" t="s">
        <v>13</v>
      </c>
      <c r="L3" s="7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13.290573051978454</v>
      </c>
      <c r="Q5" s="52">
        <v>-5.0062504580863063</v>
      </c>
      <c r="R5" t="s">
        <v>28</v>
      </c>
      <c r="S5" s="9">
        <f>$P$5*LN($J$3)+$Q$5</f>
        <v>45.615977285520479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43.008140150514052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19.358350566933019</v>
      </c>
      <c r="Q6" s="52">
        <v>-30.725537645567456</v>
      </c>
      <c r="R6" t="s">
        <v>28</v>
      </c>
      <c r="S6" s="9">
        <f>$P$6*LN($J$3)+$Q$6</f>
        <v>43.008140150514052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18.03857349127286</v>
      </c>
      <c r="Q8" s="52">
        <v>-13.903857969439258</v>
      </c>
      <c r="R8" t="s">
        <v>7</v>
      </c>
      <c r="S8" s="9">
        <f>$P$8*LN($J$3)+$Q$8</f>
        <v>54.802944353811185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54.482587945306371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1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18.785379182817206</v>
      </c>
      <c r="Q9" s="52">
        <v>-17.068709318058929</v>
      </c>
      <c r="R9" t="s">
        <v>7</v>
      </c>
      <c r="S9" s="9">
        <f>$P$9*LN($J$3)+$Q$9</f>
        <v>54.482587945306371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7.0080709255440382E-2</v>
      </c>
      <c r="S12" s="51">
        <v>0.5271021931356783</v>
      </c>
      <c r="U12" s="39" t="s">
        <v>42</v>
      </c>
      <c r="V12" t="s">
        <v>44</v>
      </c>
      <c r="W12" s="9">
        <f>Q14*J3^2+R14*J3+S14</f>
        <v>3.6877421805560395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0.11469979815613167</v>
      </c>
      <c r="S13" s="51">
        <v>-3.2979081962717576</v>
      </c>
      <c r="W13" t="b">
        <f>IF(AND(W12&lt;=10.01,'R-series'!E33&gt;=W14,AD34&lt;W11,J3&lt;W10),TRUE,FALSE)</f>
        <v>1</v>
      </c>
    </row>
    <row r="14" spans="3:34" x14ac:dyDescent="0.1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7.0080709255440382E-2</v>
      </c>
      <c r="S14" s="54">
        <f>IF($J$3&gt;$AC$35,S13,S12)</f>
        <v>0.5271021931356783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17.74322983365461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17.74322983365461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1.9084508206940201E-2</v>
      </c>
      <c r="Q18" s="51">
        <v>-0.9653657277690515</v>
      </c>
      <c r="R18" s="51">
        <v>22.463143618040391</v>
      </c>
    </row>
    <row r="19" spans="3:38" x14ac:dyDescent="0.1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17.754934733499603</v>
      </c>
      <c r="AB19" s="6"/>
      <c r="AC19" s="6"/>
    </row>
    <row r="20" spans="3:38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 t="s">
        <v>74</v>
      </c>
      <c r="W22" s="77">
        <f>W16+W19+W20</f>
        <v>38.498164567154213</v>
      </c>
      <c r="X22" s="75" t="s">
        <v>49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45.1</v>
      </c>
      <c r="X23" t="s">
        <v>13</v>
      </c>
    </row>
    <row r="24" spans="3:38" ht="15" x14ac:dyDescent="0.1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0.85361783962647919</v>
      </c>
      <c r="X24" t="s">
        <v>77</v>
      </c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2.9990019714750665E-2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-3.0440028514816985E-2</v>
      </c>
      <c r="Z34" s="28">
        <f>(-W34+SQRT(W34^2-(4*Y34*X34)))/(2*Y34)</f>
        <v>-349.90782421604553</v>
      </c>
      <c r="AA34" s="29">
        <f>(-W34-SQRT(W34^2-(4*Y34*X34)))/(2*Y34)</f>
        <v>115.93663118892658</v>
      </c>
      <c r="AB34" s="36">
        <f>AB6</f>
        <v>163.27621827727629</v>
      </c>
      <c r="AC34" s="53">
        <f>IF(Z34&lt;0,AA34,IF(Z34&gt;AB34,AA34,Z34))</f>
        <v>115.93663118892658</v>
      </c>
      <c r="AD34" s="53">
        <f>V34*AC34^2+W34*AC34+X34</f>
        <v>403.10492551052755</v>
      </c>
      <c r="AE34" s="53">
        <f>AB83*AC34^2+AC83*AC34+AD83</f>
        <v>167.18526507109277</v>
      </c>
      <c r="AF34" s="53">
        <f>$H$60*AC34^2+$I$60*AC34+$J$60</f>
        <v>57.485766917538591</v>
      </c>
      <c r="AG34" s="53">
        <f>$R$60*AC34^2+$S$60*AC34+$T$60</f>
        <v>71.749992019399883</v>
      </c>
      <c r="AI34">
        <v>10</v>
      </c>
      <c r="AJ34" s="3">
        <f>AC34</f>
        <v>115.93663118892658</v>
      </c>
      <c r="AL34" s="618">
        <f>AC34/$J$3-1</f>
        <v>1.5706570108409439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7.0080709255440382E-2</v>
      </c>
      <c r="AU34" s="213">
        <f t="shared" si="3"/>
        <v>0.5271021931356783</v>
      </c>
    </row>
    <row r="35" spans="21:47" x14ac:dyDescent="0.1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-1.7756180665031256E-2</v>
      </c>
      <c r="Z35" s="28">
        <f t="shared" ref="Z35:Z37" si="4">(-W35+SQRT(W35^2-(4*Y35*X35)))/(2*Y35)</f>
        <v>-521.2779196811191</v>
      </c>
      <c r="AA35" s="29">
        <f t="shared" ref="AA35:AA37" si="5">(-W35-SQRT(W35^2-(4*Y35*X35)))/(2*Y35)</f>
        <v>85.422192137902883</v>
      </c>
      <c r="AB35" s="36">
        <f>AD6</f>
        <v>119.61125525000722</v>
      </c>
      <c r="AC35" s="53">
        <f t="shared" ref="AC35:AC37" si="6">IF(Z35&lt;0,AA35,IF(Z35&gt;AB35,AA35,Z35))</f>
        <v>85.422192137902883</v>
      </c>
      <c r="AD35" s="53">
        <f>V35*AC35^2+W35*AC35+X35</f>
        <v>218.83570163781519</v>
      </c>
      <c r="AE35" s="53">
        <f>AB84*AC35^2+AC84*AC35+AD84</f>
        <v>78.785696018219909</v>
      </c>
      <c r="AF35" s="53">
        <f>$H$65*AC35^2+$I$65*AC35+$J$65</f>
        <v>55.481869113261148</v>
      </c>
      <c r="AG35" s="53">
        <f>$R$65*AC35^2+$S$65*AC35+$T$65</f>
        <v>66.495597333717583</v>
      </c>
      <c r="AI35">
        <v>6.5</v>
      </c>
      <c r="AJ35" s="3">
        <f>AC35</f>
        <v>85.422192137902883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-2.7004917637418614E-2</v>
      </c>
      <c r="Z36" s="28">
        <f t="shared" si="4"/>
        <v>-238.50870276302209</v>
      </c>
      <c r="AA36" s="29">
        <f t="shared" si="5"/>
        <v>63.48031688687103</v>
      </c>
      <c r="AB36" s="36">
        <f>AF6</f>
        <v>85.871546877565663</v>
      </c>
      <c r="AC36" s="53">
        <f t="shared" si="6"/>
        <v>63.48031688687103</v>
      </c>
      <c r="AD36" s="53">
        <f>V36*AC36^2+W36*AC36+X36</f>
        <v>120.85230090093529</v>
      </c>
      <c r="AE36" s="53">
        <f>AB85*AC36^2+AC85*AC36+AD85</f>
        <v>38.577162367964604</v>
      </c>
      <c r="AF36" s="53">
        <f>$H$70*AC36^2+$I$70*AC36+$J$70</f>
        <v>49.46109817697095</v>
      </c>
      <c r="AG36" s="53">
        <f>$R$70*AC36^2+$S$70*AC36+$T$70</f>
        <v>60.882678406379974</v>
      </c>
      <c r="AI36">
        <f>AVERAGE(AI35,AI37)</f>
        <v>5.75</v>
      </c>
      <c r="AJ36">
        <f>AVERAGE(AJ35,AJ37)</f>
        <v>74.451254512386953</v>
      </c>
      <c r="AL36" s="611">
        <f>Tulokset!$CR$16</f>
        <v>54.12</v>
      </c>
      <c r="AM36" t="s">
        <v>13</v>
      </c>
      <c r="AO36" s="619">
        <f>AS34*AL36^2+AT34*AL36+AU34</f>
        <v>4.3198701780401114</v>
      </c>
      <c r="AP36" t="s">
        <v>25</v>
      </c>
    </row>
    <row r="37" spans="21:47" x14ac:dyDescent="0.1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-5.2334352190337594E-2</v>
      </c>
      <c r="Z37" s="30">
        <f t="shared" si="4"/>
        <v>-55.738637989626426</v>
      </c>
      <c r="AA37" s="31">
        <f t="shared" si="5"/>
        <v>35.437711812675495</v>
      </c>
      <c r="AB37" s="37">
        <f>AH6</f>
        <v>45.102913284775056</v>
      </c>
      <c r="AC37" s="53">
        <f t="shared" si="6"/>
        <v>35.437711812675495</v>
      </c>
      <c r="AD37" s="53">
        <f>V37*AC37^2+W37*AC37+X37</f>
        <v>37.662408999765319</v>
      </c>
      <c r="AE37" s="53">
        <f>AB86*AC37^2+AC86*AC37+AD86</f>
        <v>12.079569716085981</v>
      </c>
      <c r="AF37" s="53">
        <f>$H$75*AC37^2+$I$75*AC37+$J$75</f>
        <v>38.396288150418357</v>
      </c>
      <c r="AG37" s="53">
        <f>$R$75*AC37^2+$S$75*AC37+$T$75</f>
        <v>49.960630436698324</v>
      </c>
      <c r="AI37">
        <v>5</v>
      </c>
      <c r="AJ37" s="3">
        <f>AC36</f>
        <v>63.48031688687103</v>
      </c>
      <c r="AL37" s="611">
        <f>Tulokset!$CR$17</f>
        <v>87.839999999999975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49.459014349773263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35.437711812675495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62.966292398624937</v>
      </c>
      <c r="AI42" s="53">
        <f t="shared" si="8"/>
        <v>56.246766034427786</v>
      </c>
      <c r="AJ42" s="53">
        <f t="shared" si="8"/>
        <v>50.714906696054364</v>
      </c>
      <c r="AK42" s="53">
        <f t="shared" si="8"/>
        <v>41.14956199129513</v>
      </c>
      <c r="AL42" s="53">
        <f t="shared" si="8"/>
        <v>26.627888698092015</v>
      </c>
      <c r="AM42" s="53">
        <f t="shared" si="8"/>
        <v>21.877596055478868</v>
      </c>
      <c r="AN42" s="53">
        <f t="shared" si="8"/>
        <v>15.615977285520479</v>
      </c>
      <c r="AO42" s="53">
        <f t="shared" si="8"/>
        <v>10.615977285520479</v>
      </c>
      <c r="AP42" s="5">
        <f t="array" ref="AP42">10*LOG10(SUM(10^(AH42:AO42/10)))</f>
        <v>64.036017318065291</v>
      </c>
      <c r="AQ42" s="5">
        <f t="array" ref="AQ42">10*LOG10(SUM(10^((AH42:AO42+AH45:AO45)/10)))</f>
        <v>45.834433386476817</v>
      </c>
      <c r="AR42" t="str">
        <f>IF(ABS(W5-AQ42)&lt;0.5,"OK","Tarkista laskenta!")</f>
        <v>Tarkista laskenta!</v>
      </c>
    </row>
    <row r="43" spans="21:47" x14ac:dyDescent="0.1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65.567151332894014</v>
      </c>
      <c r="AI43" s="53">
        <f t="shared" si="10"/>
        <v>64.608698779724591</v>
      </c>
      <c r="AJ43" s="53">
        <f t="shared" si="10"/>
        <v>59.991623706230683</v>
      </c>
      <c r="AK43" s="53">
        <f t="shared" si="10"/>
        <v>50.159767932450876</v>
      </c>
      <c r="AL43" s="53">
        <f t="shared" si="10"/>
        <v>41.096929720231032</v>
      </c>
      <c r="AM43" s="53">
        <f t="shared" si="10"/>
        <v>40.668238372751667</v>
      </c>
      <c r="AN43" s="53">
        <f t="shared" si="10"/>
        <v>30.549284282477338</v>
      </c>
      <c r="AO43" s="53">
        <f t="shared" si="10"/>
        <v>25.723595900067469</v>
      </c>
      <c r="AP43" s="5">
        <f t="array" ref="AP43">10*LOG10(SUM(10^(AH43:AO43/10)))</f>
        <v>68.820177491490028</v>
      </c>
      <c r="AQ43" s="5">
        <f t="array" ref="AQ43">10*LOG10(SUM(10^((AH43:AO43+AH45:AO45)/10)))</f>
        <v>54.72722647813881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6.3122578194439605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2.8122578194439605</v>
      </c>
    </row>
    <row r="47" spans="21:47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1.3122578194439605</v>
      </c>
    </row>
    <row r="48" spans="21:47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0.68774218055603953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11">
        <f>MIN(AE45:AE48)</f>
        <v>0.68774218055603953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6.3122578194439605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2.8122578194439605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1.3122578194439605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0.68774218055603953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11">
        <f>MIN(AE51:AE54)</f>
        <v>0.68774218055603953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12.155027437765305</v>
      </c>
      <c r="Q5" s="52">
        <v>-1.5746339276076782</v>
      </c>
      <c r="R5" t="s">
        <v>28</v>
      </c>
      <c r="S5" s="9">
        <f>$P$5*LN($J$3)+$Q$5</f>
        <v>44.586925330183888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43.064242377048664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15.280963188828238</v>
      </c>
      <c r="Q6" s="52">
        <v>-14.968788923694532</v>
      </c>
      <c r="R6" t="s">
        <v>28</v>
      </c>
      <c r="S6" s="9">
        <f>$P$6*LN($J$3)+$Q$6</f>
        <v>43.064242377048664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16.279177924211364</v>
      </c>
      <c r="Q8" s="52">
        <v>-5.9310408424067163</v>
      </c>
      <c r="R8" t="s">
        <v>7</v>
      </c>
      <c r="S8" s="9">
        <f>$P$8*LN($J$3)+$Q$8</f>
        <v>55.892944357479678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52.754986167199483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1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22.348623517258801</v>
      </c>
      <c r="Q9" s="52">
        <v>-32.119138066919412</v>
      </c>
      <c r="R9" t="s">
        <v>7</v>
      </c>
      <c r="S9" s="9">
        <f>$P$9*LN($J$3)+$Q$9</f>
        <v>52.754986167199483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6.9025118347101205E-2</v>
      </c>
      <c r="S12" s="51">
        <v>0.20333075929517097</v>
      </c>
      <c r="U12" s="39" t="s">
        <v>42</v>
      </c>
      <c r="V12" t="s">
        <v>58</v>
      </c>
      <c r="W12" s="9">
        <f>Q14*J3^2+R14*J3+S14</f>
        <v>3.2818510375758847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9.3300592275691999E-2</v>
      </c>
      <c r="S13" s="51">
        <v>-2.0113676658069313</v>
      </c>
      <c r="W13" t="b">
        <f>IF(AND(W12&lt;=10.01,'R-series'!G33&gt;=W14,AD34&lt;W11,J3&lt;W10),TRUE,FALSE)</f>
        <v>1</v>
      </c>
    </row>
    <row r="14" spans="3:34" x14ac:dyDescent="0.1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6.9025118347101205E-2</v>
      </c>
      <c r="S14" s="54">
        <f>IF($J$3&gt;$AC$35,S13,S12)</f>
        <v>0.20333075929517097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13.697258155112504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13.697258155112504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1.4590031686232385E-2</v>
      </c>
      <c r="Q18" s="51">
        <v>-0.68842337453777491</v>
      </c>
      <c r="R18" s="51">
        <v>15.379033230511254</v>
      </c>
    </row>
    <row r="19" spans="3:38" x14ac:dyDescent="0.1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2.7147137485169618E-2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2.0614075669827422E-2</v>
      </c>
      <c r="Z34" s="28">
        <f>(-W34+SQRT(W34^2-(4*Y34*X34)))/(2*Y34)</f>
        <v>921.48860907570099</v>
      </c>
      <c r="AA34" s="29">
        <f>(-W34-SQRT(W34^2-(4*Y34*X34)))/(2*Y34)</f>
        <v>128.73838603633715</v>
      </c>
      <c r="AB34" s="36">
        <f>AB6</f>
        <v>179.11691580328477</v>
      </c>
      <c r="AC34" s="53">
        <f>IF(Z34&lt;0,AA34,IF(Z34&gt;AB34,AA34,Z34))</f>
        <v>128.73838603633715</v>
      </c>
      <c r="AD34" s="53">
        <f>V34*AC34^2+W34*AC34+X34</f>
        <v>449.92503876963792</v>
      </c>
      <c r="AE34" s="53">
        <f>AB83*AC34^2+AC83*AC34+AD83</f>
        <v>168.27720488349144</v>
      </c>
      <c r="AF34" s="53">
        <f>$H$60*AC34^2+$I$60*AC34+$J$60</f>
        <v>57.034164072970967</v>
      </c>
      <c r="AG34" s="53">
        <f>$R$60*AC34^2+$S$60*AC34+$T$60</f>
        <v>72.511898077091431</v>
      </c>
      <c r="AI34">
        <v>10</v>
      </c>
      <c r="AJ34" s="3">
        <f>AC34</f>
        <v>128.73838603633715</v>
      </c>
      <c r="AL34" s="618">
        <f>AC34/$J$3-1</f>
        <v>1.8865108976757208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6.9025118347101205E-2</v>
      </c>
      <c r="AU34" s="213">
        <f t="shared" si="3"/>
        <v>0.20333075929517097</v>
      </c>
    </row>
    <row r="35" spans="21:47" x14ac:dyDescent="0.1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-2.1258905611315024E-2</v>
      </c>
      <c r="Z35" s="28">
        <f t="shared" ref="Z35:Z37" si="4">(-W35+SQRT(W35^2-(4*Y35*X35)))/(2*Y35)</f>
        <v>-360.1220913489928</v>
      </c>
      <c r="AA35" s="29">
        <f t="shared" ref="AA35:AA37" si="5">(-W35-SQRT(W35^2-(4*Y35*X35)))/(2*Y35)</f>
        <v>91.225226530790579</v>
      </c>
      <c r="AB35" s="36">
        <f>AD6</f>
        <v>131.14254504164199</v>
      </c>
      <c r="AC35" s="53">
        <f t="shared" ref="AC35:AC37" si="6">IF(Z35&lt;0,AA35,IF(Z35&gt;AB35,AA35,Z35))</f>
        <v>91.225226530790579</v>
      </c>
      <c r="AD35" s="53">
        <f>V35*AC35^2+W35*AC35+X35</f>
        <v>225.91961712586141</v>
      </c>
      <c r="AE35" s="53">
        <f>AB84*AC35^2+AC84*AC35+AD84</f>
        <v>75.344312571558845</v>
      </c>
      <c r="AF35" s="53">
        <f>$H$65*AC35^2+$I$65*AC35+$J$65</f>
        <v>54.276599406506769</v>
      </c>
      <c r="AG35" s="53">
        <f>$R$65*AC35^2+$S$65*AC35+$T$65</f>
        <v>68.987143144400747</v>
      </c>
      <c r="AI35">
        <v>6.5</v>
      </c>
      <c r="AJ35" s="3">
        <f>AC35</f>
        <v>91.225226530790579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-1.790533635680485E-2</v>
      </c>
      <c r="Z36" s="28">
        <f t="shared" si="4"/>
        <v>-355.76965184273081</v>
      </c>
      <c r="AA36" s="29">
        <f t="shared" si="5"/>
        <v>69.487519395702776</v>
      </c>
      <c r="AB36" s="36">
        <f>AF6</f>
        <v>96.216817804800328</v>
      </c>
      <c r="AC36" s="53">
        <f t="shared" si="6"/>
        <v>69.487519395702776</v>
      </c>
      <c r="AD36" s="53">
        <f>V36*AC36^2+W36*AC36+X36</f>
        <v>131.08037010370265</v>
      </c>
      <c r="AE36" s="53">
        <f>AB85*AC36^2+AC85*AC36+AD85</f>
        <v>36.496529084891819</v>
      </c>
      <c r="AF36" s="53">
        <f>$H$70*AC36^2+$I$70*AC36+$J$70</f>
        <v>49.422740134112566</v>
      </c>
      <c r="AG36" s="53">
        <f>$R$70*AC36^2+$S$70*AC36+$T$70</f>
        <v>62.304254286340907</v>
      </c>
      <c r="AI36">
        <f>AVERAGE(AI35,AI37)</f>
        <v>5.75</v>
      </c>
      <c r="AJ36">
        <f>AVERAGE(AJ35,AJ37)</f>
        <v>80.356372963246685</v>
      </c>
      <c r="AL36" s="611">
        <f>Tulokset!$CS$16</f>
        <v>53.52</v>
      </c>
      <c r="AM36" t="s">
        <v>13</v>
      </c>
      <c r="AO36" s="619">
        <f>AS34*AL36^2+AT34*AL36+AU34</f>
        <v>3.8975550932320275</v>
      </c>
      <c r="AP36" t="s">
        <v>25</v>
      </c>
    </row>
    <row r="37" spans="21:47" x14ac:dyDescent="0.1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-4.5877311281856036E-2</v>
      </c>
      <c r="Z37" s="30">
        <f t="shared" si="4"/>
        <v>-57.053488326297057</v>
      </c>
      <c r="AA37" s="31">
        <f t="shared" si="5"/>
        <v>40.518458810699457</v>
      </c>
      <c r="AB37" s="37">
        <f>AH6</f>
        <v>52.354855059834129</v>
      </c>
      <c r="AC37" s="53">
        <f t="shared" si="6"/>
        <v>40.518458810699457</v>
      </c>
      <c r="AD37" s="53">
        <f>V37*AC37^2+W37*AC37+X37</f>
        <v>44.568690923452493</v>
      </c>
      <c r="AE37" s="53">
        <f>AB86*AC37^2+AC86*AC37+AD86</f>
        <v>11.868415149394449</v>
      </c>
      <c r="AF37" s="53">
        <f>$H$75*AC37^2+$I$75*AC37+$J$75</f>
        <v>41.737581575792611</v>
      </c>
      <c r="AG37" s="53">
        <f>$R$75*AC37^2+$S$75*AC37+$T$75</f>
        <v>50.730923171135956</v>
      </c>
      <c r="AI37">
        <v>5</v>
      </c>
      <c r="AJ37" s="3">
        <f>AC36</f>
        <v>69.487519395702776</v>
      </c>
      <c r="AL37" s="611">
        <f>Tulokset!$CS$17</f>
        <v>77.760000000000005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55.002989103201116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40.518458810699457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55.896333250508675</v>
      </c>
      <c r="AI42" s="53">
        <f t="shared" si="8"/>
        <v>55.699853086967096</v>
      </c>
      <c r="AJ42" s="53">
        <f t="shared" si="8"/>
        <v>51.032819205714553</v>
      </c>
      <c r="AK42" s="53">
        <f t="shared" si="8"/>
        <v>36.47495478345887</v>
      </c>
      <c r="AL42" s="53">
        <f t="shared" si="8"/>
        <v>25.897118325539328</v>
      </c>
      <c r="AM42" s="53">
        <f t="shared" si="8"/>
        <v>19.481376922832695</v>
      </c>
      <c r="AN42" s="53">
        <f t="shared" si="8"/>
        <v>14.586925330183888</v>
      </c>
      <c r="AO42" s="53">
        <f t="shared" si="8"/>
        <v>10.586925330183888</v>
      </c>
      <c r="AP42" s="5">
        <f t="array" ref="AP42">10*LOG10(SUM(10^(AH42:AO42/10)))</f>
        <v>59.503871810117602</v>
      </c>
      <c r="AQ42" s="5">
        <f t="array" ref="AQ42">10*LOG10(SUM(10^((AH42:AO42+AH45:AO45)/10)))</f>
        <v>44.805620092095808</v>
      </c>
      <c r="AR42" t="str">
        <f>IF(ABS(W5-AQ42)&lt;0.5,"OK","Tarkista laskenta!")</f>
        <v>Tarkista laskenta!</v>
      </c>
    </row>
    <row r="43" spans="21:47" x14ac:dyDescent="0.1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60.929578216047084</v>
      </c>
      <c r="AI43" s="53">
        <f t="shared" si="10"/>
        <v>60.732900255887699</v>
      </c>
      <c r="AJ43" s="53">
        <f t="shared" si="10"/>
        <v>59.765076329113654</v>
      </c>
      <c r="AK43" s="53">
        <f t="shared" si="10"/>
        <v>48.642810892753872</v>
      </c>
      <c r="AL43" s="53">
        <f t="shared" si="10"/>
        <v>38.654691814869473</v>
      </c>
      <c r="AM43" s="53">
        <f t="shared" si="10"/>
        <v>37.706919641583298</v>
      </c>
      <c r="AN43" s="53">
        <f t="shared" si="10"/>
        <v>28.256089482113858</v>
      </c>
      <c r="AO43" s="53">
        <f t="shared" si="10"/>
        <v>22.401542652557247</v>
      </c>
      <c r="AP43" s="5">
        <f t="array" ref="AP43">10*LOG10(SUM(10^(AH43:AO43/10)))</f>
        <v>65.387107288381401</v>
      </c>
      <c r="AQ43" s="5">
        <f t="array" ref="AQ43">10*LOG10(SUM(10^((AH43:AO43+AH45:AO45)/10)))</f>
        <v>53.302241138759065</v>
      </c>
      <c r="AR43" t="str">
        <f>IF(ABS(W8-AQ43)&lt;0.5,"OK","Tarkista laskenta!")</f>
        <v>Tarkista laskenta!</v>
      </c>
    </row>
    <row r="44" spans="21:47" x14ac:dyDescent="0.15">
      <c r="AE44" t="s">
        <v>140</v>
      </c>
    </row>
    <row r="45" spans="21:47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6.7181489624241149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3.2181489624241153</v>
      </c>
    </row>
    <row r="47" spans="21:47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1.7181489624241153</v>
      </c>
    </row>
    <row r="48" spans="21:47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0.2818510375758847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11">
        <f>MIN(AE45:AE48)</f>
        <v>0.2818510375758847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6.7181489624241149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3.2181489624241153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1.7181489624241153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0.2818510375758847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11">
        <f>MIN(AE51:AE54)</f>
        <v>0.2818510375758847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Tulokset!E37</f>
        <v>5.2606981527034833</v>
      </c>
      <c r="D4" t="s">
        <v>25</v>
      </c>
    </row>
    <row r="5" spans="2:7" x14ac:dyDescent="0.15">
      <c r="B5" t="s">
        <v>8</v>
      </c>
      <c r="C5" s="3">
        <f>Tulokset!H37</f>
        <v>4.5864116691067442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5.2606981527034833</v>
      </c>
      <c r="D15" t="s">
        <v>25</v>
      </c>
      <c r="E15" s="82" t="s">
        <v>42</v>
      </c>
      <c r="F15" s="5">
        <f>C12*LN(C15)+D12</f>
        <v>40.013133939936218</v>
      </c>
      <c r="G15" t="s">
        <v>31</v>
      </c>
    </row>
    <row r="16" spans="2:7" x14ac:dyDescent="0.15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C12*LN(C16)+D12</f>
        <v>39.476485909460024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15">
      <c r="C23" t="s">
        <v>87</v>
      </c>
      <c r="D23" s="3">
        <f>ABS(D21-D22)</f>
        <v>3.0623439613788719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15">
      <c r="C27" t="s">
        <v>87</v>
      </c>
      <c r="D27" s="3">
        <f>ABS(D25-D26)</f>
        <v>2.0349018717580236</v>
      </c>
      <c r="E27" t="s">
        <v>31</v>
      </c>
    </row>
    <row r="29" spans="2:5" x14ac:dyDescent="0.15">
      <c r="B29" t="s">
        <v>94</v>
      </c>
      <c r="C29" s="3">
        <f>AVERAGE(D27,D23)</f>
        <v>2.5486229165684477</v>
      </c>
      <c r="D29" t="s">
        <v>31</v>
      </c>
    </row>
    <row r="30" spans="2:5" x14ac:dyDescent="0.1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15">
      <c r="B32" t="s">
        <v>83</v>
      </c>
      <c r="C32" s="3">
        <f>F15+C30</f>
        <v>40.5400922439064</v>
      </c>
      <c r="D32" t="s">
        <v>31</v>
      </c>
    </row>
    <row r="33" spans="2:23" x14ac:dyDescent="0.15">
      <c r="B33" t="s">
        <v>95</v>
      </c>
      <c r="C33" s="3">
        <f>F15-2.6</f>
        <v>37.413133939936216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39.476485909460024</v>
      </c>
      <c r="D35" s="2" t="s">
        <v>31</v>
      </c>
      <c r="F35" s="5">
        <f>C35+10*LOG10(4/10)</f>
        <v>35.497085822739649</v>
      </c>
      <c r="G35" s="5">
        <f>C35+10*LOG10(4/2.5)</f>
        <v>41.517685736019274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50.476485909460024</v>
      </c>
      <c r="M39" s="86">
        <f t="shared" ref="M39:S39" si="0">$C$35+D39</f>
        <v>45.476485909460024</v>
      </c>
      <c r="N39" s="86">
        <f t="shared" si="0"/>
        <v>45.476485909460024</v>
      </c>
      <c r="O39" s="86">
        <f t="shared" si="0"/>
        <v>35.476485909460024</v>
      </c>
      <c r="P39" s="86">
        <f t="shared" si="0"/>
        <v>23.476485909460024</v>
      </c>
      <c r="Q39" s="86">
        <f t="shared" si="0"/>
        <v>21.476485909460024</v>
      </c>
      <c r="R39" s="86">
        <f t="shared" si="0"/>
        <v>16.476485909460024</v>
      </c>
      <c r="S39" s="86">
        <f t="shared" si="0"/>
        <v>15.476485909460024</v>
      </c>
      <c r="T39" s="5">
        <f t="array" ref="T39">10*LOG10(SUM(10^(L39:S39/10)))</f>
        <v>52.698568304666018</v>
      </c>
      <c r="U39" s="5">
        <f t="array" ref="U39">10*LOG10(SUM(10^((L39:S39+L41:S41)/10)))</f>
        <v>39.130487514078062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8994-A040-45E2-95CD-ECAAC9E25043}">
  <dimension ref="B1:AX84"/>
  <sheetViews>
    <sheetView workbookViewId="0">
      <selection activeCell="B126" sqref="B126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TuloksetC!DG4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IV (Sodankylä)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30" t="s">
        <v>21</v>
      </c>
      <c r="D4" s="630">
        <f>IF($B$2,D2,D3)</f>
        <v>0</v>
      </c>
      <c r="E4" s="630">
        <f>IF($B$2,E2,E3)</f>
        <v>4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3.4246575342465754E-4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INDEX('KirjastoC (kaupungit)'!$D$4:$K$23,1,'KirjastoC (kaupungit)'!$B$4)</f>
        <v>I (Vantaa)</v>
      </c>
      <c r="D7" t="str" cm="1">
        <f t="array" aca="1" ref="D7:D10" ca="1">OFFSET($B$7,$D$4,0,$E$4,1)</f>
        <v>I (Vantaa)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5.7077625570776253E-4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INDEX('KirjastoC (kaupungit)'!$D$4:$K$23,2,'KirjastoC (kaupungit)'!$B$4)</f>
        <v>II (Jokioinen)</v>
      </c>
      <c r="D8" t="str">
        <f ca="1"/>
        <v>II (Jokioinen)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1.1415525114155251E-3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INDEX('KirjastoC (kaupungit)'!$D$4:$K$23,3,'KirjastoC (kaupungit)'!$B$4)</f>
        <v>III (Jyväskylä)</v>
      </c>
      <c r="D9" t="str">
        <f ca="1"/>
        <v>III (Jyväskylä)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1.8264840182648401E-3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INDEX('KirjastoC (kaupungit)'!$D$4:$K$23,4,'KirjastoC (kaupungit)'!$B$4)</f>
        <v>IV (Sodankylä)</v>
      </c>
      <c r="D10" t="str">
        <f ca="1"/>
        <v>IV (Sodankylä)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2.9680365296803654E-3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INDEX('KirjastoC (kaupungit)'!$D$4:$K$23,5,'KirjastoC (kaupungit)'!$B$4)</f>
        <v>Tukholma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4.10958904109589E-3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INDEX('KirjastoC (kaupungit)'!$D$4:$K$23,6,'KirjastoC (kaupungit)'!$B$4)</f>
        <v>Göteborg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4.7945205479452057E-3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INDEX('KirjastoC (kaupungit)'!$D$4:$K$23,7,'KirjastoC (kaupungit)'!$B$4)</f>
        <v>Tallinna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6.0502283105022831E-3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INDEX('KirjastoC (kaupungit)'!$D$4:$K$23,8,'KirjastoC (kaupungit)'!$B$4)</f>
        <v>Riika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7.9908675799086754E-3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INDEX('KirjastoC (kaupungit)'!$D$4:$K$23,9,'KirjastoC (kaupungit)'!$B$4)</f>
        <v>Vilna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1.1187214611872146E-2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INDEX('KirjastoC (kaupungit)'!$D$4:$K$23,10,'KirjastoC (kaupungit)'!$B$4)</f>
        <v>Varsova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1.4726027397260274E-2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INDEX('KirjastoC (kaupungit)'!$D$4:$K$23,11,'KirjastoC (kaupungit)'!$B$4)</f>
        <v>Krakova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1.906392694063927E-2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INDEX('KirjastoC (kaupungit)'!$D$4:$K$23,12,'KirjastoC (kaupungit)'!$B$4)</f>
        <v>Gdansk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2.2488584474885845E-2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INDEX('KirjastoC (kaupungit)'!$D$4:$K$23,13,'KirjastoC (kaupungit)'!$B$4)</f>
        <v>Reykjavík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2.7397260273972601E-2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INDEX('KirjastoC (kaupungit)'!$D$4:$K$23,14,'KirjastoC (kaupungit)'!$B$4)</f>
        <v>Bukarest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3.093607305936073E-2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INDEX('KirjastoC (kaupungit)'!$D$4:$K$23,15,'KirjastoC (kaupungit)'!$B$4)</f>
        <v>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3.4018264840182645E-2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INDEX('KirjastoC (kaupungit)'!$D$4:$K$23,16,'KirjastoC (kaupungit)'!$B$4)</f>
        <v>Kööpenhamina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4.1095890410958902E-2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INDEX('KirjastoC (kaupungit)'!$D$4:$K$23,17,'KirjastoC (kaupungit)'!$B$4)</f>
        <v>Berliini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4.8059360730593609E-2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5.5251141552511415E-2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6.2557077625570778E-2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6.803652968036529E-2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6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7.4543378995433784E-2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4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8.1621004566210048E-2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9.0981735159817348E-2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4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0.10422374429223745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IV (Sodankylä)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0.11746575342465754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0.13344748858447489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0.15136986301369862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0.16860730593607307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0.18630136986301371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0.20091324200913241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0.22237442922374429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0.24121004566210047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0.27180365296803655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0.3065068493150685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0.34178082191780823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0.37648401826484018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0.41678082191780824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0.46027397260273972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0.51118721461187211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0.54372146118721465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0.57363013698630139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0.61015981735159819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0.63641552511415522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0.66415525114155249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0.6905251141552512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0.71872146118721458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0.74885844748858443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0.78527397260273968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0.82283105022831049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0.85114155251141554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0.87602739726027401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0.89577625570776254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0.91803652968036531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0.93550228310502281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0.95273972602739732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0.9671232876712329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0.97602739726027399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0.98264840182648405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0.98789954337899544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0.9916666666666667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0.99497716894977173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0.99748858447488586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0.99851598173515976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0.99954337899543377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0858D-8DD2-4AEC-9B86-A5A65E0B5950}">
  <dimension ref="B2:R32"/>
  <sheetViews>
    <sheetView workbookViewId="0">
      <selection activeCell="E37" sqref="E37"/>
    </sheetView>
  </sheetViews>
  <sheetFormatPr baseColWidth="10" defaultColWidth="8.83203125" defaultRowHeight="13" x14ac:dyDescent="0.15"/>
  <sheetData>
    <row r="2" spans="3:18" ht="14" thickBot="1" x14ac:dyDescent="0.2"/>
    <row r="3" spans="3:18" x14ac:dyDescent="0.15">
      <c r="C3" s="2" t="s">
        <v>29</v>
      </c>
      <c r="G3" s="997" t="s">
        <v>365</v>
      </c>
      <c r="H3" s="999" t="s">
        <v>49</v>
      </c>
      <c r="I3" s="997">
        <v>63</v>
      </c>
      <c r="J3" s="998">
        <v>125</v>
      </c>
      <c r="K3" s="998">
        <v>250</v>
      </c>
      <c r="L3" s="998">
        <v>500</v>
      </c>
      <c r="M3" s="998">
        <v>1000</v>
      </c>
      <c r="N3" s="998">
        <v>2000</v>
      </c>
      <c r="O3" s="998">
        <v>4000</v>
      </c>
      <c r="P3" s="998">
        <v>8000</v>
      </c>
      <c r="Q3" s="998" t="s">
        <v>70</v>
      </c>
      <c r="R3" s="999" t="s">
        <v>2118</v>
      </c>
    </row>
    <row r="4" spans="3:18" x14ac:dyDescent="0.15">
      <c r="C4">
        <v>390.5</v>
      </c>
      <c r="D4" t="s">
        <v>13</v>
      </c>
      <c r="F4" t="s">
        <v>2116</v>
      </c>
      <c r="G4" s="1001">
        <v>8</v>
      </c>
      <c r="H4" s="1000">
        <f>481.4-4.4</f>
        <v>477</v>
      </c>
      <c r="I4" s="342">
        <v>72.599999999999994</v>
      </c>
      <c r="J4" s="344">
        <v>69.2</v>
      </c>
      <c r="K4" s="344">
        <v>78.8</v>
      </c>
      <c r="L4" s="344">
        <v>71.3</v>
      </c>
      <c r="M4" s="344">
        <v>67.2</v>
      </c>
      <c r="N4" s="344">
        <v>66.5</v>
      </c>
      <c r="O4" s="344">
        <v>60.2</v>
      </c>
      <c r="P4" s="344">
        <v>61.1</v>
      </c>
      <c r="Q4" s="344">
        <v>81.099999999999994</v>
      </c>
      <c r="R4" s="1000">
        <v>74.3</v>
      </c>
    </row>
    <row r="5" spans="3:18" x14ac:dyDescent="0.15">
      <c r="C5">
        <v>405.9</v>
      </c>
      <c r="D5" t="s">
        <v>14</v>
      </c>
      <c r="F5" t="s">
        <v>2117</v>
      </c>
      <c r="G5" s="1001">
        <v>8</v>
      </c>
      <c r="H5" s="1000">
        <v>485</v>
      </c>
      <c r="I5" s="1001">
        <v>74.511011128782798</v>
      </c>
      <c r="J5" s="611">
        <v>70.511011128782798</v>
      </c>
      <c r="K5" s="611">
        <v>78.511011128782798</v>
      </c>
      <c r="L5" s="611">
        <v>70.511011128782798</v>
      </c>
      <c r="M5" s="611">
        <v>67.511011128782798</v>
      </c>
      <c r="N5" s="611">
        <v>66.511011128782798</v>
      </c>
      <c r="O5" s="611">
        <v>60.511011128782798</v>
      </c>
      <c r="P5" s="611">
        <v>60.511011128782798</v>
      </c>
      <c r="Q5" s="611">
        <v>81.274048489445491</v>
      </c>
      <c r="R5" s="1002">
        <v>74.511011128782798</v>
      </c>
    </row>
    <row r="6" spans="3:18" ht="14" thickBot="1" x14ac:dyDescent="0.2">
      <c r="F6" t="s">
        <v>2119</v>
      </c>
      <c r="G6" s="1006">
        <f>(G4-G5)/G5</f>
        <v>0</v>
      </c>
      <c r="H6" s="915">
        <f>(H4-H5)/H5</f>
        <v>-1.6494845360824743E-2</v>
      </c>
      <c r="I6" s="1003">
        <f>I5-I4</f>
        <v>1.9110111287828033</v>
      </c>
      <c r="J6" s="1004">
        <f t="shared" ref="J6:R6" si="0">J5-J4</f>
        <v>1.3110111287827948</v>
      </c>
      <c r="K6" s="1004">
        <f t="shared" si="0"/>
        <v>-0.28898887121719952</v>
      </c>
      <c r="L6" s="1004">
        <f t="shared" si="0"/>
        <v>-0.78898887121719952</v>
      </c>
      <c r="M6" s="1004">
        <f t="shared" si="0"/>
        <v>0.3110111287827948</v>
      </c>
      <c r="N6" s="1004">
        <f t="shared" si="0"/>
        <v>1.1011128782797641E-2</v>
      </c>
      <c r="O6" s="1004">
        <f t="shared" si="0"/>
        <v>0.3110111287827948</v>
      </c>
      <c r="P6" s="1004">
        <f t="shared" si="0"/>
        <v>-0.58898887121720378</v>
      </c>
      <c r="Q6" s="1004">
        <f t="shared" si="0"/>
        <v>0.17404848944549656</v>
      </c>
      <c r="R6" s="1005">
        <f t="shared" si="0"/>
        <v>0.21101112878280048</v>
      </c>
    </row>
    <row r="8" spans="3:18" x14ac:dyDescent="0.15">
      <c r="C8" t="s">
        <v>2120</v>
      </c>
    </row>
    <row r="9" spans="3:18" x14ac:dyDescent="0.15">
      <c r="C9" t="s">
        <v>2121</v>
      </c>
    </row>
    <row r="10" spans="3:18" x14ac:dyDescent="0.15">
      <c r="C10" t="s">
        <v>2122</v>
      </c>
    </row>
    <row r="11" spans="3:18" ht="14" thickBot="1" x14ac:dyDescent="0.2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3:18" x14ac:dyDescent="0.15">
      <c r="C12" s="2" t="s">
        <v>26</v>
      </c>
      <c r="G12" s="997" t="s">
        <v>365</v>
      </c>
      <c r="H12" s="999" t="s">
        <v>49</v>
      </c>
      <c r="I12" s="997">
        <v>63</v>
      </c>
      <c r="J12" s="998">
        <v>125</v>
      </c>
      <c r="K12" s="998">
        <v>250</v>
      </c>
      <c r="L12" s="998">
        <v>500</v>
      </c>
      <c r="M12" s="998">
        <v>1000</v>
      </c>
      <c r="N12" s="998">
        <v>2000</v>
      </c>
      <c r="O12" s="998">
        <v>4000</v>
      </c>
      <c r="P12" s="998">
        <v>8000</v>
      </c>
      <c r="Q12" s="998" t="s">
        <v>70</v>
      </c>
      <c r="R12" s="999" t="s">
        <v>2118</v>
      </c>
    </row>
    <row r="13" spans="3:18" x14ac:dyDescent="0.15">
      <c r="C13">
        <v>277.60000000000002</v>
      </c>
      <c r="D13" t="s">
        <v>13</v>
      </c>
      <c r="F13" t="s">
        <v>2116</v>
      </c>
      <c r="G13" s="1001">
        <v>6</v>
      </c>
      <c r="H13" s="1000">
        <f>212.2-4.4</f>
        <v>207.79999999999998</v>
      </c>
      <c r="I13" s="342">
        <v>59.8</v>
      </c>
      <c r="J13" s="344">
        <v>58.3</v>
      </c>
      <c r="K13" s="344">
        <v>49.7</v>
      </c>
      <c r="L13" s="344">
        <v>46.9</v>
      </c>
      <c r="M13" s="344">
        <v>39.200000000000003</v>
      </c>
      <c r="N13" s="344">
        <v>33.299999999999997</v>
      </c>
      <c r="O13" s="344">
        <v>28</v>
      </c>
      <c r="P13" s="344">
        <v>22.2</v>
      </c>
      <c r="Q13" s="344">
        <v>62.5</v>
      </c>
      <c r="R13" s="1000">
        <v>47.9</v>
      </c>
    </row>
    <row r="14" spans="3:18" x14ac:dyDescent="0.15">
      <c r="C14">
        <v>219.7</v>
      </c>
      <c r="D14" t="s">
        <v>14</v>
      </c>
      <c r="F14" t="s">
        <v>2117</v>
      </c>
      <c r="G14" s="1001">
        <v>5.9863306837044812</v>
      </c>
      <c r="H14" s="1000">
        <v>203</v>
      </c>
      <c r="I14" s="1001">
        <v>60.601193879843386</v>
      </c>
      <c r="J14" s="611">
        <v>58.601193879843386</v>
      </c>
      <c r="K14" s="611">
        <v>52.601193879843386</v>
      </c>
      <c r="L14" s="611">
        <v>48.601193879843386</v>
      </c>
      <c r="M14" s="611">
        <v>40.601193879843386</v>
      </c>
      <c r="N14" s="611">
        <v>35.601193879843386</v>
      </c>
      <c r="O14" s="611">
        <v>29.601193879843386</v>
      </c>
      <c r="P14" s="611">
        <v>26.601193879843386</v>
      </c>
      <c r="Q14" s="611">
        <v>63.312397716794742</v>
      </c>
      <c r="R14" s="1002">
        <v>49.601193879843386</v>
      </c>
    </row>
    <row r="15" spans="3:18" ht="14" thickBot="1" x14ac:dyDescent="0.2">
      <c r="F15" t="s">
        <v>2119</v>
      </c>
      <c r="G15" s="1006">
        <f>(G13-G14)/G14</f>
        <v>2.2834215177468154E-3</v>
      </c>
      <c r="H15" s="915">
        <f>(H13-H14)/H14</f>
        <v>2.364532019704425E-2</v>
      </c>
      <c r="I15" s="1003">
        <f>I14-I13</f>
        <v>0.80119387984338886</v>
      </c>
      <c r="J15" s="1004">
        <f t="shared" ref="J15" si="1">J14-J13</f>
        <v>0.30119387984338886</v>
      </c>
      <c r="K15" s="1004">
        <f t="shared" ref="K15" si="2">K14-K13</f>
        <v>2.9011938798433832</v>
      </c>
      <c r="L15" s="1004">
        <f t="shared" ref="L15" si="3">L14-L13</f>
        <v>1.7011938798433874</v>
      </c>
      <c r="M15" s="1004">
        <f t="shared" ref="M15" si="4">M14-M13</f>
        <v>1.4011938798433832</v>
      </c>
      <c r="N15" s="1004">
        <f t="shared" ref="N15" si="5">N14-N13</f>
        <v>2.3011938798433889</v>
      </c>
      <c r="O15" s="1004">
        <f t="shared" ref="O15" si="6">O14-O13</f>
        <v>1.601193879843386</v>
      </c>
      <c r="P15" s="1004">
        <f t="shared" ref="P15" si="7">P14-P13</f>
        <v>4.4011938798433867</v>
      </c>
      <c r="Q15" s="1004">
        <f t="shared" ref="Q15" si="8">Q14-Q13</f>
        <v>0.8123977167947416</v>
      </c>
      <c r="R15" s="1005">
        <f t="shared" ref="R15" si="9">R14-R13</f>
        <v>1.7011938798433874</v>
      </c>
    </row>
    <row r="16" spans="3:18" ht="14" thickBot="1" x14ac:dyDescent="0.2"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2:18" x14ac:dyDescent="0.15">
      <c r="C17" s="2" t="s">
        <v>55</v>
      </c>
      <c r="G17" s="997" t="s">
        <v>365</v>
      </c>
      <c r="H17" s="999" t="s">
        <v>49</v>
      </c>
      <c r="I17" s="997">
        <v>63</v>
      </c>
      <c r="J17" s="998">
        <v>125</v>
      </c>
      <c r="K17" s="998">
        <v>250</v>
      </c>
      <c r="L17" s="998">
        <v>500</v>
      </c>
      <c r="M17" s="998">
        <v>1000</v>
      </c>
      <c r="N17" s="998">
        <v>2000</v>
      </c>
      <c r="O17" s="998">
        <v>4000</v>
      </c>
      <c r="P17" s="998">
        <v>8000</v>
      </c>
      <c r="Q17" s="998" t="s">
        <v>70</v>
      </c>
      <c r="R17" s="999" t="s">
        <v>2118</v>
      </c>
    </row>
    <row r="18" spans="2:18" x14ac:dyDescent="0.15">
      <c r="C18">
        <v>490</v>
      </c>
      <c r="D18" t="s">
        <v>13</v>
      </c>
      <c r="F18" t="s">
        <v>2116</v>
      </c>
      <c r="G18" s="1001">
        <v>10</v>
      </c>
      <c r="H18" s="1000">
        <f>730-4.4</f>
        <v>725.6</v>
      </c>
      <c r="I18" s="342">
        <v>68.900000000000006</v>
      </c>
      <c r="J18" s="344">
        <v>61</v>
      </c>
      <c r="K18" s="344">
        <v>64.3</v>
      </c>
      <c r="L18" s="344">
        <v>57.3</v>
      </c>
      <c r="M18" s="344">
        <v>53.3</v>
      </c>
      <c r="N18" s="344">
        <v>50</v>
      </c>
      <c r="O18" s="344">
        <v>46</v>
      </c>
      <c r="P18" s="344">
        <v>41.2</v>
      </c>
      <c r="Q18" s="344">
        <v>71</v>
      </c>
      <c r="R18" s="1000">
        <v>60.1</v>
      </c>
    </row>
    <row r="19" spans="2:18" x14ac:dyDescent="0.15">
      <c r="C19">
        <v>500</v>
      </c>
      <c r="D19" t="s">
        <v>14</v>
      </c>
      <c r="F19" t="s">
        <v>2117</v>
      </c>
      <c r="G19" s="1001">
        <v>9.9072671293108971</v>
      </c>
      <c r="H19" s="1000">
        <v>710.02597930260356</v>
      </c>
      <c r="I19" s="1001">
        <v>68.653637608589548</v>
      </c>
      <c r="J19" s="611">
        <v>62.653637608589548</v>
      </c>
      <c r="K19" s="611">
        <v>64.653637608589548</v>
      </c>
      <c r="L19" s="611">
        <v>57.653637608589548</v>
      </c>
      <c r="M19" s="611">
        <v>53.653637608589548</v>
      </c>
      <c r="N19" s="611">
        <v>49.653637608589548</v>
      </c>
      <c r="O19" s="611">
        <v>45.653637608589548</v>
      </c>
      <c r="P19" s="611">
        <v>38.653637608589548</v>
      </c>
      <c r="Q19" s="611">
        <v>71.155281227765201</v>
      </c>
      <c r="R19" s="1002">
        <v>60.608268972852734</v>
      </c>
    </row>
    <row r="20" spans="2:18" ht="14" thickBot="1" x14ac:dyDescent="0.2">
      <c r="F20" t="s">
        <v>2119</v>
      </c>
      <c r="G20" s="1006">
        <f>(G18-G19)/G19</f>
        <v>9.360085831818377E-3</v>
      </c>
      <c r="H20" s="915">
        <f>(H18-H19)/H19</f>
        <v>2.1934437825350366E-2</v>
      </c>
      <c r="I20" s="1003">
        <f>I19-I18</f>
        <v>-0.24636239141045735</v>
      </c>
      <c r="J20" s="1004">
        <f t="shared" ref="J20" si="10">J19-J18</f>
        <v>1.6536376085895483</v>
      </c>
      <c r="K20" s="1004">
        <f t="shared" ref="K20" si="11">K19-K18</f>
        <v>0.35363760858955118</v>
      </c>
      <c r="L20" s="1004">
        <f t="shared" ref="L20" si="12">L19-L18</f>
        <v>0.35363760858955118</v>
      </c>
      <c r="M20" s="1004">
        <f t="shared" ref="M20" si="13">M19-M18</f>
        <v>0.35363760858955118</v>
      </c>
      <c r="N20" s="1004">
        <f t="shared" ref="N20" si="14">N19-N18</f>
        <v>-0.34636239141045166</v>
      </c>
      <c r="O20" s="1004">
        <f t="shared" ref="O20" si="15">O19-O18</f>
        <v>-0.34636239141045166</v>
      </c>
      <c r="P20" s="1004">
        <f t="shared" ref="P20" si="16">P19-P18</f>
        <v>-2.5463623914104545</v>
      </c>
      <c r="Q20" s="1004">
        <f t="shared" ref="Q20" si="17">Q19-Q18</f>
        <v>0.15528122776520092</v>
      </c>
      <c r="R20" s="1005">
        <f t="shared" ref="R20" si="18">R19-R18</f>
        <v>0.50826897285273276</v>
      </c>
    </row>
    <row r="21" spans="2:18" ht="14" thickBot="1" x14ac:dyDescent="0.2"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2:18" x14ac:dyDescent="0.15">
      <c r="C22" s="2" t="s">
        <v>56</v>
      </c>
      <c r="G22" s="997" t="s">
        <v>365</v>
      </c>
      <c r="H22" s="999" t="s">
        <v>49</v>
      </c>
      <c r="I22" s="997">
        <v>63</v>
      </c>
      <c r="J22" s="998">
        <v>125</v>
      </c>
      <c r="K22" s="998">
        <v>250</v>
      </c>
      <c r="L22" s="998">
        <v>500</v>
      </c>
      <c r="M22" s="998">
        <v>1000</v>
      </c>
      <c r="N22" s="998">
        <v>2000</v>
      </c>
      <c r="O22" s="998">
        <v>4000</v>
      </c>
      <c r="P22" s="998">
        <v>8000</v>
      </c>
      <c r="Q22" s="998" t="s">
        <v>70</v>
      </c>
      <c r="R22" s="999" t="s">
        <v>2118</v>
      </c>
    </row>
    <row r="23" spans="2:18" x14ac:dyDescent="0.15">
      <c r="C23">
        <v>239.4</v>
      </c>
      <c r="D23" t="s">
        <v>13</v>
      </c>
      <c r="F23" t="s">
        <v>2116</v>
      </c>
      <c r="G23" s="1001">
        <v>4</v>
      </c>
      <c r="H23" s="1000">
        <f>79.2-4.4</f>
        <v>74.8</v>
      </c>
      <c r="I23" s="342">
        <v>60.8</v>
      </c>
      <c r="J23" s="344">
        <v>61.8</v>
      </c>
      <c r="K23" s="344">
        <v>57.6</v>
      </c>
      <c r="L23" s="344">
        <v>53.2</v>
      </c>
      <c r="M23" s="344">
        <v>53.2</v>
      </c>
      <c r="N23" s="344">
        <v>49.4</v>
      </c>
      <c r="O23" s="344">
        <v>41</v>
      </c>
      <c r="P23" s="344">
        <v>35.4</v>
      </c>
      <c r="Q23" s="344">
        <v>65.8</v>
      </c>
      <c r="R23" s="1000">
        <v>57.4</v>
      </c>
    </row>
    <row r="24" spans="2:18" x14ac:dyDescent="0.15">
      <c r="C24">
        <v>58.5</v>
      </c>
      <c r="D24" t="s">
        <v>14</v>
      </c>
      <c r="F24" t="s">
        <v>2117</v>
      </c>
      <c r="G24" s="1001">
        <v>4.0629067282413267</v>
      </c>
      <c r="H24" s="1002">
        <v>75.432682131475318</v>
      </c>
      <c r="I24" s="1001">
        <v>64.355830910401423</v>
      </c>
      <c r="J24" s="611">
        <v>64.355830910401423</v>
      </c>
      <c r="K24" s="611">
        <v>59.355830910401423</v>
      </c>
      <c r="L24" s="611">
        <v>54.355830910401423</v>
      </c>
      <c r="M24" s="611">
        <v>53.355830910401423</v>
      </c>
      <c r="N24" s="611">
        <v>50.355830910401423</v>
      </c>
      <c r="O24" s="611">
        <v>41.355830910401423</v>
      </c>
      <c r="P24" s="611">
        <v>36.355830910401423</v>
      </c>
      <c r="Q24" s="611">
        <v>68.407702670496334</v>
      </c>
      <c r="R24" s="1002">
        <v>58.470578838494362</v>
      </c>
    </row>
    <row r="25" spans="2:18" ht="14" thickBot="1" x14ac:dyDescent="0.2">
      <c r="F25" t="s">
        <v>2119</v>
      </c>
      <c r="G25" s="1006">
        <f>(G23-G24)/G24</f>
        <v>-1.5483182964566003E-2</v>
      </c>
      <c r="H25" s="915">
        <f>(H23-H24)/H24</f>
        <v>-8.3873741937558009E-3</v>
      </c>
      <c r="I25" s="1003">
        <f>I24-I23</f>
        <v>3.5558309104014256</v>
      </c>
      <c r="J25" s="1004">
        <f t="shared" ref="J25" si="19">J24-J23</f>
        <v>2.5558309104014256</v>
      </c>
      <c r="K25" s="1004">
        <f t="shared" ref="K25" si="20">K24-K23</f>
        <v>1.7558309104014214</v>
      </c>
      <c r="L25" s="1004">
        <f t="shared" ref="L25" si="21">L24-L23</f>
        <v>1.1558309104014199</v>
      </c>
      <c r="M25" s="1004">
        <f t="shared" ref="M25" si="22">M24-M23</f>
        <v>0.15583091040141994</v>
      </c>
      <c r="N25" s="1004">
        <f t="shared" ref="N25" si="23">N24-N23</f>
        <v>0.95583091040142421</v>
      </c>
      <c r="O25" s="1004">
        <f t="shared" ref="O25" si="24">O24-O23</f>
        <v>0.35583091040142278</v>
      </c>
      <c r="P25" s="1004">
        <f t="shared" ref="P25" si="25">P24-P23</f>
        <v>0.95583091040142421</v>
      </c>
      <c r="Q25" s="1004">
        <f t="shared" ref="Q25" si="26">Q24-Q23</f>
        <v>2.6077026704963373</v>
      </c>
      <c r="R25" s="1005">
        <f t="shared" ref="R25" si="27">R24-R23</f>
        <v>1.0705788384943631</v>
      </c>
    </row>
    <row r="26" spans="2:18" x14ac:dyDescent="0.15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2:18" ht="14" thickBot="1" x14ac:dyDescent="0.2"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2:18" x14ac:dyDescent="0.15">
      <c r="C28" s="2" t="s">
        <v>96</v>
      </c>
      <c r="G28" s="997" t="s">
        <v>365</v>
      </c>
      <c r="H28" s="999" t="s">
        <v>49</v>
      </c>
      <c r="I28" s="997">
        <v>63</v>
      </c>
      <c r="J28" s="998">
        <v>125</v>
      </c>
      <c r="K28" s="998">
        <v>250</v>
      </c>
      <c r="L28" s="998">
        <v>500</v>
      </c>
      <c r="M28" s="998">
        <v>1000</v>
      </c>
      <c r="N28" s="998">
        <v>2000</v>
      </c>
      <c r="O28" s="998">
        <v>4000</v>
      </c>
      <c r="P28" s="998">
        <v>8000</v>
      </c>
      <c r="Q28" s="998" t="s">
        <v>70</v>
      </c>
      <c r="R28" s="999" t="s">
        <v>2118</v>
      </c>
    </row>
    <row r="29" spans="2:18" x14ac:dyDescent="0.15">
      <c r="B29" t="s">
        <v>7</v>
      </c>
      <c r="C29">
        <v>386.1</v>
      </c>
      <c r="D29" t="s">
        <v>13</v>
      </c>
      <c r="F29" t="s">
        <v>2116</v>
      </c>
      <c r="G29" s="1001">
        <v>8</v>
      </c>
      <c r="H29" s="1000">
        <v>1000.8</v>
      </c>
      <c r="I29" s="342">
        <v>60.1</v>
      </c>
      <c r="J29" s="344">
        <v>57.8</v>
      </c>
      <c r="K29" s="344">
        <v>53.8</v>
      </c>
      <c r="L29" s="344">
        <v>40.700000000000003</v>
      </c>
      <c r="M29" s="344">
        <v>39.9</v>
      </c>
      <c r="N29" s="344">
        <v>39</v>
      </c>
      <c r="O29" s="344">
        <v>31.6</v>
      </c>
      <c r="P29" s="344">
        <v>29.9</v>
      </c>
      <c r="Q29" s="344">
        <v>62.8</v>
      </c>
      <c r="R29" s="1000">
        <v>48.6</v>
      </c>
    </row>
    <row r="30" spans="2:18" x14ac:dyDescent="0.15">
      <c r="C30">
        <v>405.9</v>
      </c>
      <c r="D30" t="s">
        <v>14</v>
      </c>
      <c r="F30" t="s">
        <v>2117</v>
      </c>
      <c r="G30" s="1001">
        <v>7.991914932196889</v>
      </c>
      <c r="H30" s="1002">
        <v>994.93264660532338</v>
      </c>
      <c r="I30" s="1001">
        <v>60.399822218092353</v>
      </c>
      <c r="J30" s="611">
        <v>59.399822218092353</v>
      </c>
      <c r="K30" s="611">
        <v>54.399822218092353</v>
      </c>
      <c r="L30" s="611">
        <v>41.399822218092353</v>
      </c>
      <c r="M30" s="611">
        <v>38.399822218092353</v>
      </c>
      <c r="N30" s="611">
        <v>37.399822218092353</v>
      </c>
      <c r="O30" s="611">
        <v>28.399822218092353</v>
      </c>
      <c r="P30" s="611">
        <v>27.399822218092353</v>
      </c>
      <c r="Q30" s="611">
        <v>63.560699834353727</v>
      </c>
      <c r="R30" s="1002">
        <v>49.247574340674632</v>
      </c>
    </row>
    <row r="31" spans="2:18" ht="14" thickBot="1" x14ac:dyDescent="0.2">
      <c r="B31" t="s">
        <v>8</v>
      </c>
      <c r="C31">
        <v>417.6</v>
      </c>
      <c r="D31" t="s">
        <v>13</v>
      </c>
      <c r="F31" t="s">
        <v>2119</v>
      </c>
      <c r="G31" s="1006">
        <f>(G29-G30)/G30</f>
        <v>1.0116558886955681E-3</v>
      </c>
      <c r="H31" s="915">
        <f>(H29-H30)/H30</f>
        <v>5.8972367774801455E-3</v>
      </c>
      <c r="I31" s="1003">
        <f>I30-I29</f>
        <v>0.29982221809235199</v>
      </c>
      <c r="J31" s="1004">
        <f t="shared" ref="J31" si="28">J30-J29</f>
        <v>1.5998222180923563</v>
      </c>
      <c r="K31" s="1004">
        <f t="shared" ref="K31" si="29">K30-K29</f>
        <v>0.59982221809235625</v>
      </c>
      <c r="L31" s="1004">
        <f t="shared" ref="L31" si="30">L30-L29</f>
        <v>0.69982221809235057</v>
      </c>
      <c r="M31" s="1004">
        <f t="shared" ref="M31" si="31">M30-M29</f>
        <v>-1.5001777819076452</v>
      </c>
      <c r="N31" s="1004">
        <f t="shared" ref="N31" si="32">N30-N29</f>
        <v>-1.6001777819076466</v>
      </c>
      <c r="O31" s="1004">
        <f t="shared" ref="O31" si="33">O30-O29</f>
        <v>-3.200177781907648</v>
      </c>
      <c r="P31" s="1004">
        <f t="shared" ref="P31" si="34">P30-P29</f>
        <v>-2.5001777819076452</v>
      </c>
      <c r="Q31" s="1004">
        <f t="shared" ref="Q31" si="35">Q30-Q29</f>
        <v>0.7606998343537299</v>
      </c>
      <c r="R31" s="1005">
        <f t="shared" ref="R31" si="36">R30-R29</f>
        <v>0.64757434067463038</v>
      </c>
    </row>
    <row r="32" spans="2:18" x14ac:dyDescent="0.15">
      <c r="C32">
        <v>422.6</v>
      </c>
      <c r="D32" t="s">
        <v>14</v>
      </c>
    </row>
  </sheetData>
  <conditionalFormatting sqref="G6:H6 G15:H15 G20:H20">
    <cfRule type="cellIs" dxfId="86" priority="6" operator="between">
      <formula>-0.05</formula>
      <formula>0.05</formula>
    </cfRule>
  </conditionalFormatting>
  <conditionalFormatting sqref="G25:H25">
    <cfRule type="cellIs" dxfId="85" priority="4" operator="between">
      <formula>-0.05</formula>
      <formula>0.05</formula>
    </cfRule>
  </conditionalFormatting>
  <conditionalFormatting sqref="G31:H31">
    <cfRule type="cellIs" dxfId="84" priority="2" operator="between">
      <formula>-0.05</formula>
      <formula>0.05</formula>
    </cfRule>
  </conditionalFormatting>
  <conditionalFormatting sqref="I6:R6">
    <cfRule type="cellIs" dxfId="83" priority="9" operator="between">
      <formula>-2</formula>
      <formula>2</formula>
    </cfRule>
  </conditionalFormatting>
  <conditionalFormatting sqref="I15:R15">
    <cfRule type="cellIs" dxfId="82" priority="8" operator="between">
      <formula>-2</formula>
      <formula>2</formula>
    </cfRule>
  </conditionalFormatting>
  <conditionalFormatting sqref="I20:R20">
    <cfRule type="cellIs" dxfId="81" priority="7" operator="between">
      <formula>-2</formula>
      <formula>2</formula>
    </cfRule>
  </conditionalFormatting>
  <conditionalFormatting sqref="I25:R25">
    <cfRule type="cellIs" dxfId="80" priority="5" operator="between">
      <formula>-2</formula>
      <formula>2</formula>
    </cfRule>
  </conditionalFormatting>
  <conditionalFormatting sqref="I31:R31">
    <cfRule type="cellIs" dxfId="79" priority="3" operator="between">
      <formula>-2</formula>
      <formula>2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D15" sqref="D15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 (Vantaa)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30" t="s">
        <v>21</v>
      </c>
      <c r="D4" s="630">
        <f>IF($B$2,D2,D3)</f>
        <v>0</v>
      </c>
      <c r="E4" s="630">
        <f>IF($B$2,E2,E3)</f>
        <v>4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(kaupungit)'!$D$4:$K$23,1,'Kirjasto (kaupungit)'!$B$4)</f>
        <v>I (Vantaa)</v>
      </c>
      <c r="D7" t="str" cm="1">
        <f t="array" aca="1" ref="D7:D10" ca="1">OFFSET($B$7,$D$4,0,$E$4,1)</f>
        <v>I (Vantaa)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(kaupungit)'!$D$4:$K$23,2,'Kirjasto (kaupungit)'!$B$4)</f>
        <v>II (Jokioinen)</v>
      </c>
      <c r="D8" t="str">
        <f ca="1"/>
        <v>II (Jokioinen)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(kaupungit)'!$D$4:$K$23,3,'Kirjasto (kaupungit)'!$B$4)</f>
        <v>III (Jyväskylä)</v>
      </c>
      <c r="D9" t="str">
        <f ca="1"/>
        <v>III (Jyväskylä)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(kaupungit)'!$D$4:$K$23,4,'Kirjasto (kaupungit)'!$B$4)</f>
        <v>IV (Sodankylä)</v>
      </c>
      <c r="D10" t="str">
        <f ca="1"/>
        <v>IV (Sodankylä)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(kaupungit)'!$D$4:$K$23,5,'Kirjasto (kaupungit)'!$B$4)</f>
        <v>Tukholma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(kaupungit)'!$D$4:$K$23,6,'Kirjasto (kaupungit)'!$B$4)</f>
        <v>Göteborg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(kaupungit)'!$D$4:$K$23,7,'Kirjasto (kaupungit)'!$B$4)</f>
        <v>Tallinna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(kaupungit)'!$D$4:$K$23,8,'Kirjasto (kaupungit)'!$B$4)</f>
        <v>Riika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(kaupungit)'!$D$4:$K$23,9,'Kirjasto (kaupungit)'!$B$4)</f>
        <v>Vilna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(kaupungit)'!$D$4:$K$23,10,'Kirjasto (kaupungit)'!$B$4)</f>
        <v>Varsova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(kaupungit)'!$D$4:$K$23,11,'Kirjasto (kaupungit)'!$B$4)</f>
        <v>Krakova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(kaupungit)'!$D$4:$K$23,12,'Kirjasto (kaupungit)'!$B$4)</f>
        <v>Gdansk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(kaupungit)'!$D$4:$K$23,13,'Kirjasto (kaupungit)'!$B$4)</f>
        <v>Reykjavík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(kaupungit)'!$D$4:$K$23,14,'Kirjasto (kaupungit)'!$B$4)</f>
        <v>Bukarest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1.1415525114155251E-4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(kaupungit)'!$D$4:$K$23,15,'Kirjasto (kaupungit)'!$B$4)</f>
        <v>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3.4246575342465754E-4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(kaupungit)'!$D$4:$K$23,16,'Kirjasto (kaupungit)'!$B$4)</f>
        <v>Kööpenhamina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5.7077625570776253E-4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(kaupungit)'!$D$4:$K$23,17,'Kirjasto (kaupungit)'!$B$4)</f>
        <v>Berliini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1.1415525114155251E-3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2.8538812785388126E-3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5.3652968036529683E-3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7.0776255707762558E-3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9.2465753424657536E-3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1.1872146118721462E-2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1.632420091324201E-2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1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2.1917808219178082E-2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I (Vantaa)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2.8652968036529679E-2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3.4589041095890408E-2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4.0639269406392696E-2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4.6575342465753428E-2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5.4680365296803653E-2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6.3356164383561647E-2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7.4999999999999997E-2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8.8470319634703198E-2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0.10547945205479452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0.12888127853881279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0.15570776255707763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0.18424657534246575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0.20924657534246574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0.24920091324200913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0.30993150684931509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0.36917808219178083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0.41598173515981735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0.45079908675799085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0.48413242009132418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0.51586757990867582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0.55331050228310508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0.58984018264840188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0.61746575342465748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0.64394977168949774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0.67625570776255706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0.71415525114155254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0.75433789954337904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0.7873287671232877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0.82625570776255708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0.86187214611872143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0.88995433789954337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0.91358447488584471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0.93219178082191778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0.94783105022831049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0.96324200913242009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0.97283105022831051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0.98082191780821915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0.98550228310502286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0.98949771689497712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0.99372146118721461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0.99668949771689497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0.99874429223744288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0.99965753424657533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0"/>
  <sheetViews>
    <sheetView topLeftCell="A10" zoomScale="85" zoomScaleNormal="85" workbookViewId="0">
      <selection activeCell="C28" sqref="C28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4" width="12.1640625" bestFit="1" customWidth="1"/>
    <col min="35" max="36" width="9.33203125" bestFit="1" customWidth="1"/>
  </cols>
  <sheetData>
    <row r="1" spans="5:43" ht="14" thickBot="1" x14ac:dyDescent="0.2"/>
    <row r="2" spans="5:43" ht="15" thickBot="1" x14ac:dyDescent="0.2">
      <c r="M2" t="s">
        <v>1265</v>
      </c>
      <c r="Q2" s="696" t="s">
        <v>1255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">
      <c r="E3" s="228" t="s">
        <v>273</v>
      </c>
      <c r="F3" s="229">
        <f>Tulokset!C6</f>
        <v>2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5" t="s">
        <v>1256</v>
      </c>
      <c r="O3" s="95" t="s">
        <v>1259</v>
      </c>
      <c r="Q3" s="697" t="s">
        <v>1209</v>
      </c>
      <c r="R3" s="674"/>
      <c r="S3" s="674"/>
      <c r="T3" s="674"/>
      <c r="U3" s="675"/>
      <c r="V3" s="12"/>
      <c r="X3" s="698"/>
      <c r="Y3" s="699" t="s">
        <v>1210</v>
      </c>
      <c r="Z3" s="698"/>
      <c r="AA3" s="698"/>
      <c r="AC3" s="699" t="s">
        <v>1211</v>
      </c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700"/>
    </row>
    <row r="4" spans="5:43" ht="21" x14ac:dyDescent="0.25">
      <c r="E4" s="232" t="s">
        <v>280</v>
      </c>
      <c r="F4" s="233">
        <f>INDEX(L4:L9,$F$3)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243">
        <v>0.79500000000000004</v>
      </c>
      <c r="N4" s="734" t="str">
        <f>IF($F$3=H4,$G$38,"-")</f>
        <v>-</v>
      </c>
      <c r="O4" s="734" t="str">
        <f>IF($F$3=H4,$G$39,"-")</f>
        <v>-</v>
      </c>
      <c r="Q4" s="701"/>
      <c r="R4" s="286"/>
      <c r="S4" s="286"/>
      <c r="T4" s="286"/>
      <c r="U4" s="662"/>
      <c r="V4" s="12"/>
      <c r="X4" s="698"/>
      <c r="Y4" s="702"/>
      <c r="Z4" s="698"/>
      <c r="AA4" s="698"/>
      <c r="AC4" s="702" t="s">
        <v>1212</v>
      </c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700"/>
    </row>
    <row r="5" spans="5:43" x14ac:dyDescent="0.15">
      <c r="E5" s="232" t="s">
        <v>276</v>
      </c>
      <c r="F5" s="233">
        <f>INDEX(J4:J9,$F$3)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243">
        <v>0.82499999999999996</v>
      </c>
      <c r="N5" s="735">
        <f t="shared" ref="N5:N9" si="0">IF($F$3=H5,$G$38,"-")</f>
        <v>0.82462083333333336</v>
      </c>
      <c r="O5" s="735">
        <f t="shared" ref="O5:O9" si="1">IF($F$3=H5,$G$39,"-")</f>
        <v>0.83386249999999995</v>
      </c>
      <c r="Q5" s="701"/>
      <c r="R5" s="286"/>
      <c r="S5" s="286"/>
      <c r="T5" s="286"/>
      <c r="U5" s="662"/>
      <c r="V5" s="12"/>
      <c r="X5" s="703"/>
      <c r="Y5" s="703"/>
      <c r="Z5" s="703"/>
      <c r="AA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4"/>
    </row>
    <row r="6" spans="5:43" ht="15" x14ac:dyDescent="0.2">
      <c r="E6" s="232" t="s">
        <v>277</v>
      </c>
      <c r="F6" s="233">
        <f>INDEX(K4:K9,$F$3)</f>
        <v>100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243">
        <v>0.79500000000000004</v>
      </c>
      <c r="N6" s="734" t="str">
        <f t="shared" si="0"/>
        <v>-</v>
      </c>
      <c r="O6" s="734" t="str">
        <f t="shared" si="1"/>
        <v>-</v>
      </c>
      <c r="Q6" s="701"/>
      <c r="R6" s="705" t="s">
        <v>1213</v>
      </c>
      <c r="S6" s="286"/>
      <c r="T6" s="286"/>
      <c r="U6" s="662"/>
      <c r="V6" s="12"/>
      <c r="X6" s="703"/>
      <c r="Y6" s="706"/>
      <c r="Z6" s="703"/>
      <c r="AA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N6" s="703"/>
      <c r="AO6" s="703"/>
      <c r="AP6" s="703"/>
      <c r="AQ6" s="704"/>
    </row>
    <row r="7" spans="5:43" ht="14" thickBot="1" x14ac:dyDescent="0.2">
      <c r="E7" s="236" t="s">
        <v>284</v>
      </c>
      <c r="F7" s="237">
        <f>INDEX(M4:M9,$F$3)</f>
        <v>0.82499999999999996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237">
        <f>AH122</f>
        <v>0.79500000000000004</v>
      </c>
      <c r="N7" s="734" t="str">
        <f t="shared" si="0"/>
        <v>-</v>
      </c>
      <c r="O7" s="734" t="str">
        <f t="shared" si="1"/>
        <v>-</v>
      </c>
      <c r="Q7" s="701"/>
      <c r="R7" s="286"/>
      <c r="S7" s="286"/>
      <c r="T7" s="286"/>
      <c r="U7" s="662"/>
      <c r="V7" s="12"/>
      <c r="X7" s="703"/>
      <c r="Y7" s="703"/>
      <c r="Z7" s="703"/>
      <c r="AA7" s="703"/>
      <c r="AC7" s="703"/>
      <c r="AD7" s="703"/>
      <c r="AE7" s="703"/>
      <c r="AF7" s="703"/>
      <c r="AG7" s="703"/>
      <c r="AH7" s="703"/>
      <c r="AI7" s="703"/>
      <c r="AJ7" s="703"/>
      <c r="AK7" s="703"/>
      <c r="AL7" s="703"/>
      <c r="AM7" s="703"/>
      <c r="AN7" s="703"/>
      <c r="AO7" s="703"/>
      <c r="AP7" s="703"/>
      <c r="AQ7" s="704"/>
    </row>
    <row r="8" spans="5:43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673">
        <f>M7</f>
        <v>0.79500000000000004</v>
      </c>
      <c r="N8" s="734" t="str">
        <f t="shared" si="0"/>
        <v>-</v>
      </c>
      <c r="O8" s="735" t="str">
        <f t="shared" si="1"/>
        <v>-</v>
      </c>
      <c r="Q8" s="701"/>
      <c r="R8" s="286"/>
      <c r="S8" s="286"/>
      <c r="T8" s="286"/>
      <c r="U8" s="662"/>
      <c r="V8" s="12"/>
      <c r="X8" s="703"/>
      <c r="Y8" s="703"/>
      <c r="Z8" s="703"/>
      <c r="AA8" s="703"/>
      <c r="AC8" s="703"/>
      <c r="AD8" s="703"/>
      <c r="AE8" s="707"/>
      <c r="AF8" s="708"/>
      <c r="AG8" s="703"/>
      <c r="AH8" s="703"/>
      <c r="AI8" s="703"/>
      <c r="AJ8" s="703"/>
      <c r="AK8" s="703"/>
      <c r="AL8" s="703"/>
      <c r="AM8" s="703"/>
      <c r="AN8" s="703"/>
      <c r="AO8" s="703"/>
      <c r="AP8" s="703"/>
      <c r="AQ8" s="704"/>
    </row>
    <row r="9" spans="5:43" ht="16" thickBot="1" x14ac:dyDescent="0.25">
      <c r="F9" s="233"/>
      <c r="G9" s="233"/>
      <c r="H9" s="369">
        <v>6</v>
      </c>
      <c r="I9" s="429" t="s">
        <v>588</v>
      </c>
      <c r="J9" s="428">
        <v>20</v>
      </c>
      <c r="K9" s="428">
        <v>130</v>
      </c>
      <c r="L9" s="370">
        <v>-6.5</v>
      </c>
      <c r="M9" s="673">
        <v>0.77500000000000002</v>
      </c>
      <c r="N9" s="734" t="str">
        <f t="shared" si="0"/>
        <v>-</v>
      </c>
      <c r="O9" s="734" t="str">
        <f t="shared" si="1"/>
        <v>-</v>
      </c>
      <c r="Q9" s="701"/>
      <c r="R9" s="286" t="s">
        <v>1214</v>
      </c>
      <c r="S9" s="286"/>
      <c r="T9" s="286"/>
      <c r="U9" s="662"/>
      <c r="V9" s="12"/>
      <c r="X9" s="1501" t="s">
        <v>115</v>
      </c>
      <c r="Y9" s="1501"/>
      <c r="Z9" s="1501"/>
      <c r="AA9" s="1502"/>
      <c r="AB9" s="709"/>
      <c r="AC9" s="710"/>
      <c r="AD9" s="710"/>
      <c r="AE9" s="707"/>
      <c r="AF9" s="711"/>
      <c r="AG9" s="710"/>
      <c r="AH9" s="703"/>
      <c r="AI9" s="703"/>
      <c r="AJ9" s="703"/>
      <c r="AK9" s="703"/>
      <c r="AL9" s="703"/>
      <c r="AM9" s="703"/>
      <c r="AN9" s="703"/>
      <c r="AO9" s="703"/>
      <c r="AP9" s="703"/>
      <c r="AQ9" s="704"/>
    </row>
    <row r="10" spans="5:43" ht="48" x14ac:dyDescent="0.2">
      <c r="F10" s="233"/>
      <c r="G10" s="233"/>
      <c r="H10" s="233"/>
      <c r="I10" s="233"/>
      <c r="J10" s="4"/>
      <c r="K10" s="4"/>
      <c r="L10" s="235"/>
      <c r="M10" s="243"/>
      <c r="Q10" s="701"/>
      <c r="R10" s="286" t="s">
        <v>1215</v>
      </c>
      <c r="S10" s="286"/>
      <c r="T10" s="286"/>
      <c r="U10" s="662"/>
      <c r="V10" s="12"/>
      <c r="X10" s="676" t="s">
        <v>1216</v>
      </c>
      <c r="Y10" s="677" t="s">
        <v>1217</v>
      </c>
      <c r="Z10" s="678" t="s">
        <v>1218</v>
      </c>
      <c r="AA10" s="679"/>
      <c r="AB10" s="712"/>
      <c r="AC10" s="679" t="s">
        <v>1219</v>
      </c>
      <c r="AD10" s="679" t="s">
        <v>1220</v>
      </c>
      <c r="AE10" s="679" t="s">
        <v>1221</v>
      </c>
      <c r="AF10" s="679" t="s">
        <v>1222</v>
      </c>
      <c r="AG10" s="713"/>
      <c r="AH10" s="703"/>
      <c r="AI10" s="703"/>
      <c r="AJ10" s="703"/>
      <c r="AK10" s="703"/>
      <c r="AL10" s="703"/>
      <c r="AM10" s="703"/>
      <c r="AN10" s="703"/>
      <c r="AO10" s="703"/>
      <c r="AP10" s="703"/>
      <c r="AQ10" s="704"/>
    </row>
    <row r="11" spans="5:43" ht="15" x14ac:dyDescent="0.2">
      <c r="F11" s="233"/>
      <c r="G11" s="233"/>
      <c r="H11" s="233"/>
      <c r="I11" s="233"/>
      <c r="J11" s="4"/>
      <c r="K11" s="4"/>
      <c r="L11" s="235"/>
      <c r="M11" s="243"/>
      <c r="Q11" s="701"/>
      <c r="R11" s="286" t="s">
        <v>1223</v>
      </c>
      <c r="S11" s="286"/>
      <c r="T11" s="286"/>
      <c r="U11" s="662"/>
      <c r="V11" s="12"/>
      <c r="X11" s="680"/>
      <c r="Y11" s="681">
        <v>25</v>
      </c>
      <c r="Z11" s="681"/>
      <c r="AA11" s="682"/>
      <c r="AB11" s="714"/>
      <c r="AC11" s="683">
        <v>18</v>
      </c>
      <c r="AD11" s="684">
        <v>79.5</v>
      </c>
      <c r="AE11" s="682">
        <v>79.8</v>
      </c>
      <c r="AF11" s="682">
        <v>81.75</v>
      </c>
      <c r="AG11" s="715"/>
      <c r="AH11" s="703"/>
      <c r="AI11" s="703"/>
      <c r="AJ11" s="703"/>
      <c r="AK11" s="703"/>
      <c r="AL11" s="703"/>
      <c r="AM11" s="703"/>
      <c r="AN11" s="703"/>
      <c r="AO11" s="703"/>
      <c r="AP11" s="703"/>
      <c r="AQ11" s="704"/>
    </row>
    <row r="12" spans="5:43" ht="15" x14ac:dyDescent="0.2">
      <c r="E12" s="2" t="s">
        <v>1250</v>
      </c>
      <c r="F12" s="233"/>
      <c r="G12" s="233"/>
      <c r="H12" s="233"/>
      <c r="I12" s="233"/>
      <c r="J12" s="4"/>
      <c r="K12" s="4"/>
      <c r="L12" s="235"/>
      <c r="M12" s="243"/>
      <c r="Q12" s="701"/>
      <c r="R12" s="286" t="s">
        <v>1224</v>
      </c>
      <c r="S12" s="286"/>
      <c r="T12" s="286"/>
      <c r="U12" s="662"/>
      <c r="V12" s="12"/>
      <c r="X12" s="680">
        <v>3.4</v>
      </c>
      <c r="Y12" s="681">
        <v>34</v>
      </c>
      <c r="Z12" s="681">
        <v>80.099999999999994</v>
      </c>
      <c r="AA12" s="682"/>
      <c r="AB12" s="714"/>
      <c r="AC12" s="683">
        <v>28</v>
      </c>
      <c r="AD12" s="684">
        <v>79.5</v>
      </c>
      <c r="AE12" s="682">
        <v>79.7</v>
      </c>
      <c r="AF12" s="682">
        <v>81.5</v>
      </c>
      <c r="AG12" s="715"/>
      <c r="AH12" s="703"/>
      <c r="AI12" s="703"/>
      <c r="AJ12" s="703"/>
      <c r="AK12" s="703"/>
      <c r="AL12" s="703"/>
      <c r="AM12" s="703"/>
      <c r="AN12" s="703"/>
      <c r="AO12" s="703"/>
      <c r="AP12" s="703"/>
      <c r="AQ12" s="704"/>
    </row>
    <row r="13" spans="5:43" ht="15" x14ac:dyDescent="0.2">
      <c r="E13" t="s">
        <v>1251</v>
      </c>
      <c r="F13" s="233"/>
      <c r="G13" s="233"/>
      <c r="H13" s="233"/>
      <c r="I13" s="233"/>
      <c r="J13" s="4"/>
      <c r="K13" s="4"/>
      <c r="L13" s="235"/>
      <c r="M13" s="243"/>
      <c r="Q13" s="701"/>
      <c r="R13" s="286"/>
      <c r="S13" s="286"/>
      <c r="T13" s="286"/>
      <c r="U13" s="662"/>
      <c r="V13" s="12"/>
      <c r="X13" s="680">
        <v>3.8</v>
      </c>
      <c r="Y13" s="681">
        <v>43</v>
      </c>
      <c r="Z13" s="681">
        <v>80.7</v>
      </c>
      <c r="AA13" s="682"/>
      <c r="AB13" s="714"/>
      <c r="AC13" s="683">
        <v>36</v>
      </c>
      <c r="AD13" s="684">
        <v>79.5</v>
      </c>
      <c r="AE13" s="682">
        <v>79.599999999999994</v>
      </c>
      <c r="AF13" s="682">
        <v>81</v>
      </c>
      <c r="AG13" s="715"/>
      <c r="AH13" s="703"/>
      <c r="AI13" s="703"/>
      <c r="AJ13" s="703"/>
      <c r="AK13" s="703"/>
      <c r="AL13" s="703"/>
      <c r="AM13" s="703"/>
      <c r="AN13" s="703"/>
      <c r="AO13" s="703"/>
      <c r="AP13" s="703"/>
      <c r="AQ13" s="704"/>
    </row>
    <row r="14" spans="5:43" ht="15" x14ac:dyDescent="0.2">
      <c r="E14" t="s">
        <v>1252</v>
      </c>
      <c r="F14" s="233"/>
      <c r="G14" s="233"/>
      <c r="H14" s="233"/>
      <c r="I14" s="233"/>
      <c r="J14" s="4"/>
      <c r="K14" s="4"/>
      <c r="L14" s="235"/>
      <c r="M14" s="243"/>
      <c r="Q14" s="701"/>
      <c r="R14" s="286" t="s">
        <v>1225</v>
      </c>
      <c r="S14" s="286"/>
      <c r="T14" s="286"/>
      <c r="U14" s="662"/>
      <c r="V14" s="12"/>
      <c r="X14" s="680">
        <v>5.9</v>
      </c>
      <c r="Y14" s="681">
        <v>74</v>
      </c>
      <c r="Z14" s="681">
        <v>81.5</v>
      </c>
      <c r="AA14" s="682"/>
      <c r="AB14" s="714"/>
      <c r="AC14" s="683">
        <v>61.5</v>
      </c>
      <c r="AD14" s="684">
        <v>79.5</v>
      </c>
      <c r="AE14" s="682">
        <v>79.5</v>
      </c>
      <c r="AF14" s="682">
        <v>80.3</v>
      </c>
      <c r="AG14" s="715"/>
      <c r="AH14" s="703"/>
      <c r="AI14" s="703"/>
      <c r="AJ14" s="703"/>
      <c r="AK14" s="703"/>
      <c r="AL14" s="703"/>
      <c r="AM14" s="703"/>
      <c r="AN14" s="703"/>
      <c r="AO14" s="703"/>
      <c r="AP14" s="703"/>
      <c r="AQ14" s="704"/>
    </row>
    <row r="15" spans="5:43" ht="15" x14ac:dyDescent="0.2">
      <c r="E15" t="s">
        <v>1254</v>
      </c>
      <c r="F15" s="233"/>
      <c r="G15" s="233"/>
      <c r="H15" s="233"/>
      <c r="I15" s="233"/>
      <c r="J15" s="4"/>
      <c r="K15" s="4"/>
      <c r="L15" s="235"/>
      <c r="M15" s="243"/>
      <c r="Q15" s="701"/>
      <c r="R15" s="286"/>
      <c r="S15" s="286" t="s">
        <v>1226</v>
      </c>
      <c r="T15" s="286" t="s">
        <v>1227</v>
      </c>
      <c r="U15" s="662"/>
      <c r="V15" s="12"/>
      <c r="X15" s="680">
        <v>9.1999999999999993</v>
      </c>
      <c r="Y15" s="681">
        <v>108</v>
      </c>
      <c r="Z15" s="681">
        <v>83.1</v>
      </c>
      <c r="AA15" s="682"/>
      <c r="AB15" s="714"/>
      <c r="AC15" s="683">
        <v>90</v>
      </c>
      <c r="AD15" s="684">
        <v>79.5</v>
      </c>
      <c r="AE15" s="682">
        <v>78.5</v>
      </c>
      <c r="AF15" s="682">
        <v>79.5</v>
      </c>
      <c r="AG15" s="715"/>
      <c r="AH15" s="703"/>
      <c r="AI15" s="703"/>
      <c r="AJ15" s="703"/>
      <c r="AK15" s="703"/>
      <c r="AL15" s="703"/>
      <c r="AM15" s="703"/>
      <c r="AN15" s="703"/>
      <c r="AO15" s="703"/>
      <c r="AP15" s="703"/>
      <c r="AQ15" s="704"/>
    </row>
    <row r="16" spans="5:43" ht="15" x14ac:dyDescent="0.2">
      <c r="F16" s="233"/>
      <c r="G16" s="233"/>
      <c r="H16" s="233"/>
      <c r="I16" s="233"/>
      <c r="J16" s="4"/>
      <c r="K16" s="4"/>
      <c r="L16" s="235"/>
      <c r="M16" s="243"/>
      <c r="Q16" s="701"/>
      <c r="R16" s="286"/>
      <c r="S16" s="286">
        <v>50</v>
      </c>
      <c r="T16" s="286">
        <v>79.5</v>
      </c>
      <c r="U16" s="662"/>
      <c r="V16" s="12"/>
      <c r="X16" s="680"/>
      <c r="Y16" s="681">
        <v>130</v>
      </c>
      <c r="Z16" s="681"/>
      <c r="AA16" s="682"/>
      <c r="AB16" s="714"/>
      <c r="AC16" s="683">
        <v>130</v>
      </c>
      <c r="AD16" s="684">
        <v>79.5</v>
      </c>
      <c r="AE16" s="682">
        <v>78</v>
      </c>
      <c r="AF16" s="682">
        <v>78.2</v>
      </c>
      <c r="AG16" s="715"/>
      <c r="AH16" s="703"/>
      <c r="AI16" s="703"/>
      <c r="AJ16" s="703"/>
      <c r="AK16" s="703"/>
      <c r="AL16" s="703"/>
      <c r="AM16" s="703"/>
      <c r="AN16" s="703"/>
      <c r="AO16" s="703"/>
      <c r="AP16" s="703"/>
      <c r="AQ16" s="704"/>
    </row>
    <row r="17" spans="5:43" x14ac:dyDescent="0.15">
      <c r="F17" s="233"/>
      <c r="G17" s="233"/>
      <c r="H17" s="233"/>
      <c r="I17" s="233"/>
      <c r="J17" s="4"/>
      <c r="K17" s="4"/>
      <c r="L17" s="235"/>
      <c r="M17" s="243"/>
      <c r="Q17" s="701"/>
      <c r="R17" s="286"/>
      <c r="S17" s="286">
        <v>100</v>
      </c>
      <c r="T17" s="286">
        <v>79.5</v>
      </c>
      <c r="U17" s="662"/>
      <c r="V17" s="12"/>
      <c r="X17" s="703"/>
      <c r="Y17" s="703"/>
      <c r="Z17" s="703"/>
      <c r="AA17" s="703"/>
      <c r="AC17" s="731">
        <f>AC16</f>
        <v>130</v>
      </c>
      <c r="AD17" s="731">
        <f t="shared" ref="AD17:AF17" si="2">AD16</f>
        <v>79.5</v>
      </c>
      <c r="AE17" s="731">
        <f t="shared" si="2"/>
        <v>78</v>
      </c>
      <c r="AF17" s="731">
        <f t="shared" si="2"/>
        <v>78.2</v>
      </c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4"/>
    </row>
    <row r="18" spans="5:43" x14ac:dyDescent="0.15">
      <c r="F18" s="233"/>
      <c r="G18" s="233"/>
      <c r="H18" s="233"/>
      <c r="I18" s="233"/>
      <c r="J18" s="4"/>
      <c r="K18" s="4"/>
      <c r="L18" s="235"/>
      <c r="M18" s="243"/>
      <c r="Q18" s="701"/>
      <c r="R18" s="286"/>
      <c r="S18" s="286">
        <v>150</v>
      </c>
      <c r="T18" s="286">
        <v>79.5</v>
      </c>
      <c r="U18" s="662"/>
      <c r="V18" s="12"/>
      <c r="AQ18" s="364"/>
    </row>
    <row r="19" spans="5:43" x14ac:dyDescent="0.15">
      <c r="F19" s="233"/>
      <c r="G19" s="233"/>
      <c r="H19" s="233"/>
      <c r="I19" s="233"/>
      <c r="J19" s="4"/>
      <c r="K19" s="4"/>
      <c r="L19" s="235"/>
      <c r="M19" s="243"/>
      <c r="Q19" s="701"/>
      <c r="R19" s="286"/>
      <c r="S19" s="286">
        <v>200</v>
      </c>
      <c r="T19" s="286">
        <v>79.3</v>
      </c>
      <c r="U19" s="662"/>
      <c r="V19" s="12"/>
      <c r="X19" s="703"/>
      <c r="Y19" s="703"/>
      <c r="Z19" s="703"/>
      <c r="AA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3"/>
      <c r="AP19" s="703"/>
      <c r="AQ19" s="704"/>
    </row>
    <row r="20" spans="5:43" x14ac:dyDescent="0.15">
      <c r="E20" s="2" t="s">
        <v>1260</v>
      </c>
      <c r="F20" s="233">
        <f>F3</f>
        <v>2</v>
      </c>
      <c r="G20" s="241" t="str" cm="1">
        <f t="array" ref="G20">INDEX(I4:I9,F20)</f>
        <v>Airfi model 100</v>
      </c>
      <c r="H20" s="233"/>
      <c r="I20" s="233"/>
      <c r="J20" s="4"/>
      <c r="K20" s="4"/>
      <c r="L20" s="235"/>
      <c r="M20" s="243"/>
      <c r="Q20" s="701"/>
      <c r="R20" s="286"/>
      <c r="S20" s="286">
        <v>250</v>
      </c>
      <c r="T20" s="286">
        <v>78.2</v>
      </c>
      <c r="U20" s="662"/>
      <c r="V20" s="12"/>
      <c r="X20" s="703"/>
      <c r="Y20" s="703"/>
      <c r="Z20" s="703"/>
      <c r="AA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3"/>
      <c r="AP20" s="703"/>
      <c r="AQ20" s="704"/>
    </row>
    <row r="21" spans="5:43" x14ac:dyDescent="0.15">
      <c r="G21" s="233"/>
      <c r="H21" s="233"/>
      <c r="I21" s="233"/>
      <c r="J21" s="4"/>
      <c r="K21" s="4"/>
      <c r="L21" s="235"/>
      <c r="M21" s="243"/>
      <c r="Q21" s="701"/>
      <c r="R21" s="286"/>
      <c r="S21" s="286">
        <v>300</v>
      </c>
      <c r="T21" s="286">
        <v>77.5</v>
      </c>
      <c r="U21" s="662"/>
      <c r="V21" s="12"/>
      <c r="X21" s="703"/>
      <c r="Y21" s="703"/>
      <c r="Z21" s="703"/>
      <c r="AA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4"/>
    </row>
    <row r="22" spans="5:43" ht="15" x14ac:dyDescent="0.2">
      <c r="F22" s="233"/>
      <c r="G22" s="233"/>
      <c r="H22" s="233"/>
      <c r="I22" s="233"/>
      <c r="J22" s="4"/>
      <c r="K22" s="4"/>
      <c r="L22" s="235"/>
      <c r="M22" s="243"/>
      <c r="Q22" s="701"/>
      <c r="R22" s="286"/>
      <c r="S22" s="286">
        <v>350</v>
      </c>
      <c r="T22" s="286">
        <v>77.3</v>
      </c>
      <c r="U22" s="662"/>
      <c r="V22" s="12"/>
      <c r="X22" s="1501" t="s">
        <v>116</v>
      </c>
      <c r="Y22" s="1501"/>
      <c r="Z22" s="1501"/>
      <c r="AA22" s="1502"/>
      <c r="AB22" s="709"/>
      <c r="AC22" s="703"/>
      <c r="AD22" s="703"/>
      <c r="AE22" s="703"/>
      <c r="AF22" s="703"/>
      <c r="AG22" s="710"/>
      <c r="AH22" s="703"/>
      <c r="AI22" s="703"/>
      <c r="AJ22" s="703"/>
      <c r="AK22" s="703"/>
      <c r="AL22" s="703"/>
      <c r="AM22" s="703"/>
      <c r="AN22" s="703"/>
      <c r="AO22" s="703"/>
      <c r="AP22" s="703"/>
      <c r="AQ22" s="704"/>
    </row>
    <row r="23" spans="5:43" ht="48" x14ac:dyDescent="0.2">
      <c r="E23" s="560" t="s">
        <v>1258</v>
      </c>
      <c r="F23" s="560" t="s">
        <v>1261</v>
      </c>
      <c r="G23" s="560" t="s">
        <v>1257</v>
      </c>
      <c r="H23" s="630" t="s">
        <v>1259</v>
      </c>
      <c r="I23" s="233"/>
      <c r="J23" s="4"/>
      <c r="K23" s="4"/>
      <c r="L23" s="235"/>
      <c r="M23" s="243"/>
      <c r="Q23" s="701"/>
      <c r="R23" s="286"/>
      <c r="S23" s="286"/>
      <c r="T23" s="286"/>
      <c r="U23" s="662"/>
      <c r="V23" s="12"/>
      <c r="X23" s="676" t="s">
        <v>1216</v>
      </c>
      <c r="Y23" s="677" t="s">
        <v>1217</v>
      </c>
      <c r="Z23" s="678" t="s">
        <v>1228</v>
      </c>
      <c r="AA23" s="679"/>
      <c r="AB23" s="712"/>
      <c r="AC23" s="679" t="s">
        <v>1219</v>
      </c>
      <c r="AD23" s="679" t="s">
        <v>1229</v>
      </c>
      <c r="AE23" s="679" t="s">
        <v>1230</v>
      </c>
      <c r="AF23" s="679" t="s">
        <v>1231</v>
      </c>
      <c r="AG23" s="71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4"/>
    </row>
    <row r="24" spans="5:43" ht="15" x14ac:dyDescent="0.2">
      <c r="E24" s="344">
        <f>IF($F$20=1,AC11,IF($F$20=2,AC24,IF($F$20=3,AC48,IF(OR($F$20=4,$F$20=5),AC60,AC36))))</f>
        <v>18</v>
      </c>
      <c r="F24" s="344">
        <f t="shared" ref="F24:H30" si="3">IF($F$20=1,AD11,IF($F$20=2,AD24,IF($F$20=3,AD48,IF(OR($F$20=4,$F$20=5),AD60,AD36))))</f>
        <v>82.5</v>
      </c>
      <c r="G24" s="344">
        <f t="shared" si="3"/>
        <v>82.5</v>
      </c>
      <c r="H24" s="344">
        <f>IF($F$20=1,AF11,IF($F$20=2,AF24,IF($F$20=3,AF48,IF(OR($F$20=4,$F$20=5),AF60,AF36))))</f>
        <v>84</v>
      </c>
      <c r="I24" s="233"/>
      <c r="J24" s="4"/>
      <c r="K24" s="4"/>
      <c r="L24" s="235"/>
      <c r="M24" s="243"/>
      <c r="Q24" s="701"/>
      <c r="R24" s="286"/>
      <c r="S24" s="286"/>
      <c r="T24" s="286"/>
      <c r="U24" s="662"/>
      <c r="V24" s="12"/>
      <c r="X24" s="680"/>
      <c r="Y24" s="681">
        <v>25</v>
      </c>
      <c r="Z24" s="681"/>
      <c r="AA24" s="682"/>
      <c r="AB24" s="714"/>
      <c r="AC24" s="683">
        <v>18</v>
      </c>
      <c r="AD24" s="684">
        <v>82.5</v>
      </c>
      <c r="AE24" s="682">
        <v>82.5</v>
      </c>
      <c r="AF24" s="682">
        <v>84</v>
      </c>
      <c r="AG24" s="715"/>
      <c r="AH24" s="703"/>
      <c r="AI24" s="703"/>
      <c r="AJ24" s="703"/>
      <c r="AK24" s="703"/>
      <c r="AL24" s="703"/>
      <c r="AM24" s="703"/>
      <c r="AN24" s="703"/>
      <c r="AO24" s="703"/>
      <c r="AP24" s="703"/>
      <c r="AQ24" s="704"/>
    </row>
    <row r="25" spans="5:43" ht="15" x14ac:dyDescent="0.2">
      <c r="E25" s="344">
        <f t="shared" ref="E25:E30" si="4">IF($F$20=1,AC12,IF($F$20=2,AC25,IF($F$20=3,AC49,IF(OR($F$20=4,$F$20=5),AC61,AC37))))</f>
        <v>29</v>
      </c>
      <c r="F25" s="344">
        <f t="shared" si="3"/>
        <v>82.5</v>
      </c>
      <c r="G25" s="344">
        <f t="shared" si="3"/>
        <v>82.5</v>
      </c>
      <c r="H25" s="344">
        <f t="shared" si="3"/>
        <v>83.7</v>
      </c>
      <c r="I25" s="233"/>
      <c r="J25" s="4"/>
      <c r="K25" s="4"/>
      <c r="L25" s="235"/>
      <c r="M25" s="243"/>
      <c r="Q25" s="701"/>
      <c r="R25" s="286"/>
      <c r="S25" s="286"/>
      <c r="T25" s="286"/>
      <c r="U25" s="662"/>
      <c r="V25" s="12"/>
      <c r="X25" s="680">
        <v>3.6</v>
      </c>
      <c r="Y25" s="681">
        <v>34</v>
      </c>
      <c r="Z25" s="681">
        <v>82.7</v>
      </c>
      <c r="AA25" s="682"/>
      <c r="AB25" s="714"/>
      <c r="AC25" s="683">
        <v>29</v>
      </c>
      <c r="AD25" s="684">
        <v>82.5</v>
      </c>
      <c r="AE25" s="682">
        <v>82.5</v>
      </c>
      <c r="AF25" s="682">
        <v>83.7</v>
      </c>
      <c r="AG25" s="715"/>
      <c r="AH25" s="703"/>
      <c r="AI25" s="703"/>
      <c r="AJ25" s="703"/>
      <c r="AK25" s="703"/>
      <c r="AL25" s="703"/>
      <c r="AM25" s="703"/>
      <c r="AN25" s="703"/>
      <c r="AO25" s="703"/>
      <c r="AP25" s="703"/>
      <c r="AQ25" s="704"/>
    </row>
    <row r="26" spans="5:43" ht="15" x14ac:dyDescent="0.2">
      <c r="E26" s="344">
        <f t="shared" si="4"/>
        <v>36</v>
      </c>
      <c r="F26" s="344">
        <f t="shared" si="3"/>
        <v>82.5</v>
      </c>
      <c r="G26" s="344">
        <f t="shared" si="3"/>
        <v>82.5</v>
      </c>
      <c r="H26" s="344">
        <f t="shared" si="3"/>
        <v>83.5</v>
      </c>
      <c r="I26" s="233"/>
      <c r="J26" s="4"/>
      <c r="K26" s="4"/>
      <c r="L26" s="235"/>
      <c r="M26" s="243"/>
      <c r="Q26" s="701"/>
      <c r="R26" s="286"/>
      <c r="S26" s="286"/>
      <c r="T26" s="286"/>
      <c r="U26" s="662"/>
      <c r="V26" s="12"/>
      <c r="X26" s="680">
        <v>4.2</v>
      </c>
      <c r="Y26" s="681">
        <v>43</v>
      </c>
      <c r="Z26" s="681">
        <v>82.3</v>
      </c>
      <c r="AA26" s="682"/>
      <c r="AB26" s="714"/>
      <c r="AC26" s="683">
        <v>36</v>
      </c>
      <c r="AD26" s="684">
        <v>82.5</v>
      </c>
      <c r="AE26" s="682">
        <v>82.5</v>
      </c>
      <c r="AF26" s="682">
        <v>83.5</v>
      </c>
      <c r="AG26" s="715"/>
      <c r="AH26" s="703"/>
      <c r="AI26" s="703"/>
      <c r="AJ26" s="703"/>
      <c r="AK26" s="703"/>
      <c r="AL26" s="703"/>
      <c r="AM26" s="703"/>
      <c r="AN26" s="703"/>
      <c r="AO26" s="703"/>
      <c r="AP26" s="703"/>
      <c r="AQ26" s="704"/>
    </row>
    <row r="27" spans="5:43" ht="15" x14ac:dyDescent="0.2">
      <c r="E27" s="344">
        <f t="shared" si="4"/>
        <v>60</v>
      </c>
      <c r="F27" s="344">
        <f t="shared" si="3"/>
        <v>82.5</v>
      </c>
      <c r="G27" s="344">
        <f t="shared" si="3"/>
        <v>82.4</v>
      </c>
      <c r="H27" s="344">
        <f t="shared" si="3"/>
        <v>83.2</v>
      </c>
      <c r="I27" s="233"/>
      <c r="J27" s="4"/>
      <c r="K27" s="4"/>
      <c r="L27" s="235"/>
      <c r="M27" s="243"/>
      <c r="Q27" s="701"/>
      <c r="R27" s="286"/>
      <c r="S27" s="286"/>
      <c r="T27" s="286"/>
      <c r="U27" s="662"/>
      <c r="V27" s="12"/>
      <c r="X27" s="680">
        <v>6.1</v>
      </c>
      <c r="Y27" s="681">
        <v>71</v>
      </c>
      <c r="Z27" s="681">
        <v>83.2</v>
      </c>
      <c r="AA27" s="682"/>
      <c r="AB27" s="714"/>
      <c r="AC27" s="683">
        <v>60</v>
      </c>
      <c r="AD27" s="684">
        <v>82.5</v>
      </c>
      <c r="AE27" s="682">
        <v>82.4</v>
      </c>
      <c r="AF27" s="682">
        <v>83.2</v>
      </c>
      <c r="AG27" s="715"/>
      <c r="AH27" s="703"/>
      <c r="AI27" s="703"/>
      <c r="AJ27" s="703"/>
      <c r="AK27" s="703"/>
      <c r="AL27" s="703"/>
      <c r="AM27" s="703"/>
      <c r="AN27" s="703"/>
      <c r="AO27" s="703"/>
      <c r="AP27" s="703"/>
      <c r="AQ27" s="704"/>
    </row>
    <row r="28" spans="5:43" ht="15" x14ac:dyDescent="0.2">
      <c r="E28" s="344">
        <f t="shared" si="4"/>
        <v>90</v>
      </c>
      <c r="F28" s="344">
        <f t="shared" si="3"/>
        <v>82.5</v>
      </c>
      <c r="G28" s="344">
        <f t="shared" si="3"/>
        <v>81.5</v>
      </c>
      <c r="H28" s="344">
        <f t="shared" si="3"/>
        <v>82</v>
      </c>
      <c r="I28" s="233"/>
      <c r="J28" s="4"/>
      <c r="K28" s="4"/>
      <c r="L28" s="235"/>
      <c r="M28" s="243"/>
      <c r="Q28" s="716"/>
      <c r="R28" s="685"/>
      <c r="S28" s="685"/>
      <c r="T28" s="685"/>
      <c r="U28" s="686"/>
      <c r="V28" s="12"/>
      <c r="X28" s="680">
        <v>9.6999999999999993</v>
      </c>
      <c r="Y28" s="681">
        <v>107</v>
      </c>
      <c r="Z28" s="681">
        <v>84.8</v>
      </c>
      <c r="AA28" s="682"/>
      <c r="AB28" s="714"/>
      <c r="AC28" s="683">
        <v>90</v>
      </c>
      <c r="AD28" s="684">
        <v>82.5</v>
      </c>
      <c r="AE28" s="682">
        <v>81.5</v>
      </c>
      <c r="AF28" s="682">
        <v>82</v>
      </c>
      <c r="AG28" s="715"/>
      <c r="AH28" s="703"/>
      <c r="AI28" s="703"/>
      <c r="AJ28" s="703"/>
      <c r="AK28" s="703"/>
      <c r="AL28" s="703"/>
      <c r="AM28" s="703"/>
      <c r="AN28" s="703"/>
      <c r="AO28" s="703"/>
      <c r="AP28" s="703"/>
      <c r="AQ28" s="704"/>
    </row>
    <row r="29" spans="5:43" ht="15" x14ac:dyDescent="0.2">
      <c r="E29" s="344">
        <f t="shared" si="4"/>
        <v>130</v>
      </c>
      <c r="F29" s="344">
        <f t="shared" si="3"/>
        <v>82.5</v>
      </c>
      <c r="G29" s="344">
        <f t="shared" si="3"/>
        <v>80</v>
      </c>
      <c r="H29" s="344">
        <f t="shared" si="3"/>
        <v>80.2</v>
      </c>
      <c r="I29" s="233"/>
      <c r="J29" s="4"/>
      <c r="K29" s="4"/>
      <c r="L29" s="235"/>
      <c r="M29" s="243"/>
      <c r="Q29" s="232"/>
      <c r="X29" s="681"/>
      <c r="Y29" s="681">
        <v>130</v>
      </c>
      <c r="Z29" s="681"/>
      <c r="AA29" s="682"/>
      <c r="AB29" s="714"/>
      <c r="AC29" s="683">
        <v>130</v>
      </c>
      <c r="AD29" s="684">
        <v>82.5</v>
      </c>
      <c r="AE29" s="682">
        <v>80</v>
      </c>
      <c r="AF29" s="682">
        <v>80.2</v>
      </c>
      <c r="AG29" s="715"/>
      <c r="AH29" s="703"/>
      <c r="AI29" s="703"/>
      <c r="AJ29" s="703"/>
      <c r="AK29" s="703"/>
      <c r="AL29" s="703"/>
      <c r="AM29" s="703"/>
      <c r="AN29" s="703"/>
      <c r="AO29" s="703"/>
      <c r="AP29" s="703"/>
      <c r="AQ29" s="704"/>
    </row>
    <row r="30" spans="5:43" x14ac:dyDescent="0.15">
      <c r="E30" s="344">
        <f t="shared" si="4"/>
        <v>130</v>
      </c>
      <c r="F30" s="344">
        <f t="shared" si="3"/>
        <v>82.5</v>
      </c>
      <c r="G30" s="344">
        <f t="shared" si="3"/>
        <v>80</v>
      </c>
      <c r="H30" s="344">
        <f t="shared" si="3"/>
        <v>80.2</v>
      </c>
      <c r="I30" s="233"/>
      <c r="J30" s="4"/>
      <c r="K30" s="4"/>
      <c r="L30" s="235"/>
      <c r="M30" s="243"/>
      <c r="Q30" s="232"/>
      <c r="X30" s="703"/>
      <c r="Y30" s="703"/>
      <c r="Z30" s="703"/>
      <c r="AA30" s="703"/>
      <c r="AC30" s="731">
        <f>AC29</f>
        <v>130</v>
      </c>
      <c r="AD30" s="731">
        <f t="shared" ref="AD30:AF30" si="5">AD29</f>
        <v>82.5</v>
      </c>
      <c r="AE30" s="731">
        <f t="shared" si="5"/>
        <v>80</v>
      </c>
      <c r="AF30" s="731">
        <f t="shared" si="5"/>
        <v>80.2</v>
      </c>
      <c r="AG30" s="703"/>
      <c r="AH30" s="703"/>
      <c r="AI30" s="703"/>
      <c r="AJ30" s="703"/>
      <c r="AK30" s="703"/>
      <c r="AL30" s="703"/>
      <c r="AM30" s="703"/>
      <c r="AN30" s="703"/>
      <c r="AO30" s="703"/>
      <c r="AP30" s="703"/>
      <c r="AQ30" s="704"/>
    </row>
    <row r="31" spans="5:43" x14ac:dyDescent="0.1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15">
      <c r="F32" s="4" t="s">
        <v>289</v>
      </c>
      <c r="G32" s="630" t="s">
        <v>1256</v>
      </c>
      <c r="H32" s="630" t="s">
        <v>1259</v>
      </c>
      <c r="I32" s="233"/>
      <c r="J32" s="4"/>
      <c r="K32" s="4"/>
      <c r="L32" s="235"/>
      <c r="M32" s="243"/>
      <c r="Q32" s="232"/>
      <c r="X32" s="703"/>
      <c r="Y32" s="703"/>
      <c r="Z32" s="703"/>
      <c r="AA32" s="703"/>
      <c r="AC32" s="703"/>
      <c r="AD32" s="703"/>
      <c r="AE32" s="703"/>
      <c r="AF32" s="703"/>
      <c r="AG32" s="703"/>
      <c r="AH32" s="703"/>
      <c r="AI32" s="703"/>
      <c r="AJ32" s="703"/>
      <c r="AK32" s="703"/>
      <c r="AL32" s="703"/>
      <c r="AM32" s="703"/>
      <c r="AN32" s="703"/>
      <c r="AO32" s="703"/>
      <c r="AP32" s="703"/>
      <c r="AQ32" s="704"/>
    </row>
    <row r="33" spans="5:43" x14ac:dyDescent="0.15">
      <c r="E33" s="95" t="s">
        <v>450</v>
      </c>
      <c r="F33" s="344">
        <f>E24</f>
        <v>18</v>
      </c>
      <c r="G33" s="630">
        <f>G24</f>
        <v>82.5</v>
      </c>
      <c r="H33" s="630">
        <f>H24</f>
        <v>84</v>
      </c>
      <c r="I33" s="233"/>
      <c r="J33" s="4"/>
      <c r="K33" s="4"/>
      <c r="L33" s="235"/>
      <c r="M33" s="243"/>
      <c r="Q33" s="232"/>
      <c r="X33" s="703"/>
      <c r="Y33" s="703"/>
      <c r="Z33" s="703"/>
      <c r="AA33" s="703"/>
      <c r="AC33" s="703"/>
      <c r="AD33" s="703"/>
      <c r="AE33" s="703"/>
      <c r="AF33" s="703"/>
      <c r="AG33" s="703"/>
      <c r="AH33" s="703"/>
      <c r="AI33" s="703"/>
      <c r="AJ33" s="703"/>
      <c r="AK33" s="703"/>
      <c r="AL33" s="703"/>
      <c r="AM33" s="703"/>
      <c r="AN33" s="703"/>
      <c r="AO33" s="703"/>
      <c r="AP33" s="703"/>
      <c r="AQ33" s="704"/>
    </row>
    <row r="34" spans="5:43" ht="15" x14ac:dyDescent="0.2">
      <c r="E34" s="95" t="s">
        <v>22</v>
      </c>
      <c r="F34" s="344">
        <f>MAX(E24:E30)</f>
        <v>130</v>
      </c>
      <c r="G34" s="630">
        <f>G30</f>
        <v>80</v>
      </c>
      <c r="H34" s="630">
        <f>H30</f>
        <v>80.2</v>
      </c>
      <c r="I34" s="233"/>
      <c r="J34" s="4"/>
      <c r="K34" s="4"/>
      <c r="L34" s="235"/>
      <c r="M34" s="243"/>
      <c r="Q34" s="232"/>
      <c r="X34" s="1501" t="s">
        <v>585</v>
      </c>
      <c r="Y34" s="1501"/>
      <c r="Z34" s="1501"/>
      <c r="AA34" s="1502"/>
      <c r="AB34" s="709"/>
      <c r="AC34" s="710"/>
      <c r="AD34" s="710"/>
      <c r="AE34" s="710"/>
      <c r="AF34" s="710"/>
      <c r="AG34" s="710"/>
      <c r="AH34" s="703"/>
      <c r="AI34" s="703"/>
      <c r="AJ34" s="703"/>
      <c r="AK34" s="703"/>
      <c r="AL34" s="703"/>
      <c r="AM34" s="703"/>
      <c r="AN34" s="703"/>
      <c r="AO34" s="703"/>
      <c r="AP34" s="703"/>
      <c r="AQ34" s="704"/>
    </row>
    <row r="35" spans="5:43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6" t="s">
        <v>1216</v>
      </c>
      <c r="Y35" s="677" t="s">
        <v>1217</v>
      </c>
      <c r="Z35" s="678" t="s">
        <v>1232</v>
      </c>
      <c r="AA35" s="679"/>
      <c r="AB35" s="712"/>
      <c r="AC35" s="679" t="s">
        <v>1219</v>
      </c>
      <c r="AD35" s="679" t="s">
        <v>1233</v>
      </c>
      <c r="AE35" s="679" t="s">
        <v>1234</v>
      </c>
      <c r="AF35" s="679" t="s">
        <v>1235</v>
      </c>
      <c r="AG35" s="71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4"/>
    </row>
    <row r="36" spans="5:43" ht="15" x14ac:dyDescent="0.2">
      <c r="E36" t="s">
        <v>1262</v>
      </c>
      <c r="F36" s="80">
        <f>F53</f>
        <v>45.1</v>
      </c>
      <c r="H36" s="233"/>
      <c r="I36" s="233"/>
      <c r="J36" s="4"/>
      <c r="K36" s="4"/>
      <c r="L36" s="235"/>
      <c r="M36" s="243"/>
      <c r="Q36" s="232"/>
      <c r="X36" s="680"/>
      <c r="Y36" s="681">
        <v>25</v>
      </c>
      <c r="Z36" s="681"/>
      <c r="AA36" s="682"/>
      <c r="AB36" s="714"/>
      <c r="AC36" s="683">
        <v>18</v>
      </c>
      <c r="AD36" s="684">
        <v>77.5</v>
      </c>
      <c r="AE36" s="682">
        <v>77.5</v>
      </c>
      <c r="AF36" s="682">
        <v>79.5</v>
      </c>
      <c r="AG36" s="715"/>
      <c r="AH36" s="703"/>
      <c r="AI36" s="703"/>
      <c r="AJ36" s="703"/>
      <c r="AK36" s="703"/>
      <c r="AL36" s="703"/>
      <c r="AM36" s="703"/>
      <c r="AN36" s="703"/>
      <c r="AO36" s="703"/>
      <c r="AP36" s="703"/>
      <c r="AQ36" s="704"/>
    </row>
    <row r="37" spans="5:43" ht="15" x14ac:dyDescent="0.2">
      <c r="E37" s="2" t="s">
        <v>1263</v>
      </c>
      <c r="F37" s="732">
        <f>IF(F36&lt;E24,E24,IF(F36&gt;F34,F34,F36))</f>
        <v>45.1</v>
      </c>
      <c r="I37" s="233"/>
      <c r="J37" s="4"/>
      <c r="K37" s="4"/>
      <c r="L37" s="235"/>
      <c r="M37" s="243"/>
      <c r="Q37" s="232"/>
      <c r="X37" s="687"/>
      <c r="Y37" s="681">
        <v>34</v>
      </c>
      <c r="Z37" s="681">
        <v>77.5</v>
      </c>
      <c r="AA37" s="682"/>
      <c r="AB37" s="714"/>
      <c r="AC37" s="683">
        <v>29</v>
      </c>
      <c r="AD37" s="684">
        <v>77.5</v>
      </c>
      <c r="AE37" s="682">
        <v>77.5</v>
      </c>
      <c r="AF37" s="682">
        <v>79</v>
      </c>
      <c r="AG37" s="715"/>
      <c r="AH37" s="703"/>
      <c r="AI37" s="703"/>
      <c r="AJ37" s="703"/>
      <c r="AK37" s="703"/>
      <c r="AL37" s="703"/>
      <c r="AM37" s="703"/>
      <c r="AN37" s="703"/>
      <c r="AO37" s="703"/>
      <c r="AP37" s="703"/>
      <c r="AQ37" s="704"/>
    </row>
    <row r="38" spans="5:43" ht="15" x14ac:dyDescent="0.2">
      <c r="E38" s="2" t="s">
        <v>1256</v>
      </c>
      <c r="F38" s="733">
        <f>IF(F36&lt;F33,G33,IF(F36&gt;F34,G34,_xlfn.FORECAST.LINEAR(F36,F43:F44,E43:E44)))</f>
        <v>82.462083333333339</v>
      </c>
      <c r="G38" s="734">
        <f>F38/100</f>
        <v>0.82462083333333336</v>
      </c>
      <c r="I38" s="233"/>
      <c r="J38" s="4"/>
      <c r="K38" s="4"/>
      <c r="L38" s="235"/>
      <c r="M38" s="243"/>
      <c r="Q38" s="232"/>
      <c r="X38" s="687"/>
      <c r="Y38" s="681">
        <v>43</v>
      </c>
      <c r="Z38" s="681">
        <v>77.5</v>
      </c>
      <c r="AA38" s="682"/>
      <c r="AB38" s="714"/>
      <c r="AC38" s="683">
        <v>36</v>
      </c>
      <c r="AD38" s="684">
        <v>77.5</v>
      </c>
      <c r="AE38" s="682">
        <v>77.5</v>
      </c>
      <c r="AF38" s="682">
        <v>78.5</v>
      </c>
      <c r="AG38" s="715"/>
      <c r="AH38" s="703"/>
      <c r="AI38" s="703"/>
      <c r="AJ38" s="703"/>
      <c r="AK38" s="703"/>
      <c r="AL38" s="703"/>
      <c r="AM38" s="703"/>
      <c r="AN38" s="703"/>
      <c r="AO38" s="703"/>
      <c r="AP38" s="703"/>
      <c r="AQ38" s="704"/>
    </row>
    <row r="39" spans="5:43" ht="15" x14ac:dyDescent="0.2">
      <c r="E39" s="2" t="s">
        <v>1259</v>
      </c>
      <c r="F39" s="733">
        <f>IF(F36&lt;F33,H33,IF(F36&gt;F34,H34,_xlfn.FORECAST.LINEAR(F36,G43:G44,E43:E44)))</f>
        <v>83.38624999999999</v>
      </c>
      <c r="G39" s="734">
        <f>F39/100</f>
        <v>0.83386249999999995</v>
      </c>
      <c r="H39" s="233"/>
      <c r="I39" s="233"/>
      <c r="J39" s="4"/>
      <c r="K39" s="4"/>
      <c r="L39" s="235"/>
      <c r="M39" s="243"/>
      <c r="Q39" s="232"/>
      <c r="X39" s="687"/>
      <c r="Y39" s="681">
        <v>71</v>
      </c>
      <c r="Z39" s="681">
        <v>77.5</v>
      </c>
      <c r="AA39" s="682"/>
      <c r="AB39" s="714"/>
      <c r="AC39" s="683">
        <v>60</v>
      </c>
      <c r="AD39" s="684">
        <v>77.5</v>
      </c>
      <c r="AE39" s="682">
        <v>77</v>
      </c>
      <c r="AF39" s="682">
        <v>77.5</v>
      </c>
      <c r="AG39" s="715"/>
      <c r="AH39" s="703"/>
      <c r="AI39" s="703"/>
      <c r="AJ39" s="703"/>
      <c r="AK39" s="703"/>
      <c r="AL39" s="703"/>
      <c r="AM39" s="703"/>
      <c r="AN39" s="703"/>
      <c r="AO39" s="703"/>
      <c r="AP39" s="703"/>
      <c r="AQ39" s="704"/>
    </row>
    <row r="40" spans="5:43" ht="15" x14ac:dyDescent="0.2">
      <c r="H40" s="233"/>
      <c r="I40" s="233"/>
      <c r="J40" s="4"/>
      <c r="K40" s="4"/>
      <c r="L40" s="235"/>
      <c r="M40" s="243"/>
      <c r="Q40" s="232"/>
      <c r="X40" s="688"/>
      <c r="Y40" s="681">
        <v>107</v>
      </c>
      <c r="Z40" s="681">
        <v>77.5</v>
      </c>
      <c r="AA40" s="682"/>
      <c r="AB40" s="714"/>
      <c r="AC40" s="683">
        <v>90</v>
      </c>
      <c r="AD40" s="684">
        <v>77.5</v>
      </c>
      <c r="AE40" s="682">
        <v>75.5</v>
      </c>
      <c r="AF40" s="682">
        <v>76</v>
      </c>
      <c r="AG40" s="715"/>
      <c r="AH40" s="703"/>
      <c r="AI40" s="703"/>
      <c r="AJ40" s="703"/>
      <c r="AK40" s="703"/>
      <c r="AL40" s="703"/>
      <c r="AM40" s="703"/>
      <c r="AN40" s="703"/>
      <c r="AO40" s="703"/>
      <c r="AP40" s="703"/>
      <c r="AQ40" s="704"/>
    </row>
    <row r="41" spans="5:43" ht="15" x14ac:dyDescent="0.2">
      <c r="H41" s="233"/>
      <c r="I41" s="233"/>
      <c r="J41" s="4"/>
      <c r="K41" s="4"/>
      <c r="L41" s="235"/>
      <c r="M41" s="243"/>
      <c r="Q41" s="232"/>
      <c r="X41" s="681"/>
      <c r="Y41" s="681">
        <v>140</v>
      </c>
      <c r="Z41" s="681"/>
      <c r="AA41" s="682"/>
      <c r="AB41" s="714"/>
      <c r="AC41" s="683">
        <v>140</v>
      </c>
      <c r="AD41" s="684">
        <v>77.5</v>
      </c>
      <c r="AE41" s="682">
        <v>73.5</v>
      </c>
      <c r="AF41" s="682">
        <v>74</v>
      </c>
      <c r="AG41" s="715"/>
      <c r="AH41" s="703"/>
      <c r="AI41" s="703"/>
      <c r="AJ41" s="703"/>
      <c r="AK41" s="703"/>
      <c r="AL41" s="703"/>
      <c r="AM41" s="703"/>
      <c r="AN41" s="703"/>
      <c r="AO41" s="703"/>
      <c r="AP41" s="703"/>
      <c r="AQ41" s="704"/>
    </row>
    <row r="42" spans="5:43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Q42" s="232"/>
      <c r="X42" s="703"/>
      <c r="Y42" s="703"/>
      <c r="Z42" s="717"/>
      <c r="AA42" s="703"/>
      <c r="AC42" s="731">
        <f>AC41</f>
        <v>140</v>
      </c>
      <c r="AD42" s="731">
        <f t="shared" ref="AD42" si="6">AD41</f>
        <v>77.5</v>
      </c>
      <c r="AE42" s="731">
        <f t="shared" ref="AE42" si="7">AE41</f>
        <v>73.5</v>
      </c>
      <c r="AF42" s="731">
        <f t="shared" ref="AF42" si="8">AF41</f>
        <v>74</v>
      </c>
      <c r="AG42" s="703"/>
      <c r="AH42" s="703"/>
      <c r="AI42" s="703"/>
      <c r="AJ42" s="703"/>
      <c r="AK42" s="703"/>
      <c r="AL42" s="703"/>
      <c r="AM42" s="703"/>
      <c r="AN42" s="703"/>
      <c r="AO42" s="703"/>
      <c r="AP42" s="703"/>
      <c r="AQ42" s="704"/>
    </row>
    <row r="43" spans="5:43" x14ac:dyDescent="0.15">
      <c r="E43" s="74">
        <f>INDEX(E24:E30,MATCH($F$37,$E$24:$E$30,1))</f>
        <v>36</v>
      </c>
      <c r="F43" s="344">
        <f>INDEX(G24:G30,MATCH($F$37,$E$24:$E$30))</f>
        <v>82.5</v>
      </c>
      <c r="G43" s="344">
        <f>INDEX(H24:H30,MATCH($F$37,$E$24:$E$30))</f>
        <v>83.5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15">
      <c r="E44" s="74" cm="1">
        <f t="array" ref="E44">INDEX(E24:E30,MATCH($F$37,$E$24:$E$30,1)+1)</f>
        <v>60</v>
      </c>
      <c r="F44" s="344" cm="1">
        <f t="array" ref="F44">INDEX(G24:G30,MATCH($F$37,$E$24:$E$30)+1)</f>
        <v>82.4</v>
      </c>
      <c r="G44" s="344" cm="1">
        <f t="array" ref="G44">INDEX(H24:H30,MATCH($F$37,$E$24:$E$30)+1)</f>
        <v>83.2</v>
      </c>
      <c r="H44" s="233"/>
      <c r="I44" s="233"/>
      <c r="J44" s="4"/>
      <c r="K44" s="4"/>
      <c r="L44" s="235"/>
      <c r="M44" s="243"/>
      <c r="Q44" s="232"/>
      <c r="X44" s="703"/>
      <c r="Y44" s="703"/>
      <c r="Z44" s="703"/>
      <c r="AA44" s="703"/>
      <c r="AC44" s="703"/>
      <c r="AD44" s="703"/>
      <c r="AE44" s="703"/>
      <c r="AF44" s="703"/>
      <c r="AG44" s="703"/>
      <c r="AH44" s="703"/>
      <c r="AI44" s="703"/>
      <c r="AJ44" s="703"/>
      <c r="AK44" s="703"/>
      <c r="AL44" s="703"/>
      <c r="AM44" s="703"/>
      <c r="AN44" s="703"/>
      <c r="AO44" s="703"/>
      <c r="AP44" s="703"/>
      <c r="AQ44" s="704"/>
    </row>
    <row r="45" spans="5:43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3"/>
      <c r="Y45" s="703"/>
      <c r="Z45" s="703"/>
      <c r="AA45" s="703"/>
      <c r="AC45" s="703"/>
      <c r="AD45" s="703"/>
      <c r="AE45" s="703"/>
      <c r="AF45" s="703"/>
      <c r="AG45" s="703"/>
      <c r="AH45" s="703"/>
      <c r="AI45" s="703"/>
      <c r="AJ45" s="703"/>
      <c r="AK45" s="703"/>
      <c r="AL45" s="703"/>
      <c r="AM45" s="703"/>
      <c r="AN45" s="703"/>
      <c r="AO45" s="703"/>
      <c r="AP45" s="703"/>
      <c r="AQ45" s="704"/>
    </row>
    <row r="46" spans="5:43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1501" t="s">
        <v>129</v>
      </c>
      <c r="Y46" s="1501"/>
      <c r="Z46" s="1501"/>
      <c r="AA46" s="1502"/>
      <c r="AB46" s="709"/>
      <c r="AC46" s="710"/>
      <c r="AD46" s="710"/>
      <c r="AE46" s="710"/>
      <c r="AF46" s="710"/>
      <c r="AG46" s="710"/>
      <c r="AH46" s="703"/>
      <c r="AI46" s="703"/>
      <c r="AJ46" s="703"/>
      <c r="AK46" s="703"/>
      <c r="AL46" s="703"/>
      <c r="AM46" s="703"/>
      <c r="AN46" s="703"/>
      <c r="AO46" s="703"/>
      <c r="AP46" s="703"/>
      <c r="AQ46" s="704"/>
    </row>
    <row r="47" spans="5:43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6" t="s">
        <v>1216</v>
      </c>
      <c r="Y47" s="677" t="s">
        <v>1217</v>
      </c>
      <c r="Z47" s="678" t="s">
        <v>1236</v>
      </c>
      <c r="AA47" s="679"/>
      <c r="AB47" s="712"/>
      <c r="AC47" s="679" t="s">
        <v>1219</v>
      </c>
      <c r="AD47" s="679" t="s">
        <v>1237</v>
      </c>
      <c r="AE47" s="679" t="s">
        <v>1238</v>
      </c>
      <c r="AF47" s="679" t="s">
        <v>1239</v>
      </c>
      <c r="AG47" s="713"/>
      <c r="AH47" s="703"/>
      <c r="AI47" s="703"/>
      <c r="AJ47" s="703"/>
      <c r="AK47" s="703"/>
      <c r="AL47" s="703"/>
      <c r="AM47" s="703"/>
      <c r="AN47" s="703"/>
      <c r="AO47" s="703"/>
      <c r="AP47" s="703"/>
      <c r="AQ47" s="704"/>
    </row>
    <row r="48" spans="5:43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80"/>
      <c r="Y48" s="681">
        <v>25</v>
      </c>
      <c r="Z48" s="681"/>
      <c r="AA48" s="682"/>
      <c r="AB48" s="714"/>
      <c r="AC48" s="683">
        <v>18</v>
      </c>
      <c r="AD48" s="684">
        <v>79.5</v>
      </c>
      <c r="AE48" s="682">
        <v>79.5</v>
      </c>
      <c r="AF48" s="682">
        <v>82</v>
      </c>
      <c r="AG48" s="715"/>
      <c r="AH48" s="703"/>
      <c r="AI48" s="703"/>
      <c r="AJ48" s="703"/>
      <c r="AK48" s="703"/>
      <c r="AL48" s="703"/>
      <c r="AM48" s="703"/>
      <c r="AN48" s="703"/>
      <c r="AO48" s="703"/>
      <c r="AP48" s="703"/>
      <c r="AQ48" s="704"/>
    </row>
    <row r="49" spans="5:43" ht="15" x14ac:dyDescent="0.2">
      <c r="E49" t="s">
        <v>988</v>
      </c>
      <c r="F49" s="233" t="b">
        <f>Kirjasto!V5</f>
        <v>1</v>
      </c>
      <c r="G49" s="233"/>
      <c r="H49" s="233"/>
      <c r="I49" s="233"/>
      <c r="J49" s="4"/>
      <c r="K49" s="4"/>
      <c r="L49" s="235"/>
      <c r="M49" s="243"/>
      <c r="Q49" s="232"/>
      <c r="X49" s="687" t="s">
        <v>1240</v>
      </c>
      <c r="Y49" s="681">
        <v>68</v>
      </c>
      <c r="Z49" s="681">
        <v>79.3</v>
      </c>
      <c r="AA49" s="682"/>
      <c r="AB49" s="714"/>
      <c r="AC49" s="683">
        <v>29</v>
      </c>
      <c r="AD49" s="684">
        <v>79.5</v>
      </c>
      <c r="AE49" s="682">
        <v>79.5</v>
      </c>
      <c r="AF49" s="682">
        <v>81.75</v>
      </c>
      <c r="AG49" s="715"/>
      <c r="AH49" s="703"/>
      <c r="AI49" s="703"/>
      <c r="AJ49" s="703"/>
      <c r="AK49" s="703"/>
      <c r="AL49" s="703"/>
      <c r="AM49" s="703"/>
      <c r="AN49" s="703"/>
      <c r="AO49" s="703"/>
      <c r="AP49" s="703"/>
      <c r="AQ49" s="704"/>
    </row>
    <row r="50" spans="5:43" ht="15" x14ac:dyDescent="0.2">
      <c r="E50" t="s">
        <v>1177</v>
      </c>
      <c r="F50" s="233" t="b">
        <f>Kirjasto!V6</f>
        <v>0</v>
      </c>
      <c r="G50" s="233"/>
      <c r="H50" s="233"/>
      <c r="I50" s="233"/>
      <c r="J50" s="4"/>
      <c r="K50" s="4"/>
      <c r="L50" s="235"/>
      <c r="M50" s="243"/>
      <c r="Q50" s="232"/>
      <c r="X50" s="687" t="s">
        <v>1241</v>
      </c>
      <c r="Y50" s="681">
        <v>91</v>
      </c>
      <c r="Z50" s="681">
        <v>79.5</v>
      </c>
      <c r="AA50" s="682"/>
      <c r="AB50" s="714"/>
      <c r="AC50" s="683">
        <v>36</v>
      </c>
      <c r="AD50" s="684">
        <v>79.5</v>
      </c>
      <c r="AE50" s="682">
        <v>79.5</v>
      </c>
      <c r="AF50" s="682">
        <v>81.5</v>
      </c>
      <c r="AG50" s="715"/>
      <c r="AH50" s="703"/>
      <c r="AI50" s="703"/>
      <c r="AJ50" s="703"/>
      <c r="AK50" s="703"/>
      <c r="AL50" s="703"/>
      <c r="AM50" s="703"/>
      <c r="AN50" s="703"/>
      <c r="AO50" s="703"/>
      <c r="AP50" s="703"/>
      <c r="AQ50" s="704"/>
    </row>
    <row r="51" spans="5:43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7" t="s">
        <v>1242</v>
      </c>
      <c r="Y51" s="681">
        <v>127</v>
      </c>
      <c r="Z51" s="689">
        <v>76.599999999999994</v>
      </c>
      <c r="AA51" s="682"/>
      <c r="AB51" s="714"/>
      <c r="AC51" s="683">
        <v>80</v>
      </c>
      <c r="AD51" s="684">
        <v>79.5</v>
      </c>
      <c r="AE51" s="682">
        <v>79.5</v>
      </c>
      <c r="AF51" s="682">
        <v>80.5</v>
      </c>
      <c r="AG51" s="715"/>
      <c r="AH51" s="703"/>
      <c r="AI51" s="703"/>
      <c r="AJ51" s="703"/>
      <c r="AK51" s="703"/>
      <c r="AL51" s="703"/>
      <c r="AM51" s="703"/>
      <c r="AN51" s="703"/>
      <c r="AO51" s="703"/>
      <c r="AP51" s="703"/>
      <c r="AQ51" s="704"/>
    </row>
    <row r="52" spans="5:43" ht="15" x14ac:dyDescent="0.2">
      <c r="E52" t="s">
        <v>1956</v>
      </c>
      <c r="F52" s="80">
        <f>'R-series'!E37</f>
        <v>45.1</v>
      </c>
      <c r="G52" t="str">
        <f>'R-series'!F37</f>
        <v>dm³/s</v>
      </c>
      <c r="H52" s="233"/>
      <c r="I52" s="233"/>
      <c r="J52" s="4"/>
      <c r="K52" s="4"/>
      <c r="L52" s="235"/>
      <c r="M52" s="243"/>
      <c r="Q52" s="232"/>
      <c r="X52" s="688" t="s">
        <v>1243</v>
      </c>
      <c r="Y52" s="681">
        <v>167</v>
      </c>
      <c r="Z52" s="681">
        <v>79.900000000000006</v>
      </c>
      <c r="AA52" s="682"/>
      <c r="AB52" s="714"/>
      <c r="AC52" s="683">
        <v>120</v>
      </c>
      <c r="AD52" s="684">
        <v>79.5</v>
      </c>
      <c r="AE52" s="682">
        <v>79.5</v>
      </c>
      <c r="AF52" s="682">
        <v>80</v>
      </c>
      <c r="AG52" s="715"/>
      <c r="AH52" s="703"/>
      <c r="AI52" s="703"/>
      <c r="AJ52" s="703"/>
      <c r="AK52" s="703"/>
      <c r="AL52" s="703"/>
      <c r="AM52" s="703"/>
      <c r="AN52" s="703"/>
      <c r="AO52" s="703"/>
      <c r="AP52" s="703"/>
      <c r="AQ52" s="704"/>
    </row>
    <row r="53" spans="5:43" ht="15" x14ac:dyDescent="0.2">
      <c r="E53" t="s">
        <v>1957</v>
      </c>
      <c r="F53" s="4">
        <f>IF(F49,'R-series'!E37,'R-series'!E38)</f>
        <v>45.1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81"/>
      <c r="Y53" s="681">
        <v>200</v>
      </c>
      <c r="Z53" s="681"/>
      <c r="AA53" s="682"/>
      <c r="AB53" s="714"/>
      <c r="AC53" s="683">
        <v>180</v>
      </c>
      <c r="AD53" s="684">
        <v>79.5</v>
      </c>
      <c r="AE53" s="682">
        <v>79</v>
      </c>
      <c r="AF53" s="682">
        <v>79.5</v>
      </c>
      <c r="AG53" s="715"/>
      <c r="AH53" s="703"/>
      <c r="AI53" s="703"/>
      <c r="AJ53" s="703"/>
      <c r="AK53" s="703"/>
      <c r="AL53" s="703"/>
      <c r="AM53" s="703"/>
      <c r="AN53" s="703"/>
      <c r="AO53" s="703"/>
      <c r="AP53" s="703"/>
      <c r="AQ53" s="704"/>
    </row>
    <row r="54" spans="5:43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3"/>
      <c r="Y54" s="703"/>
      <c r="Z54" s="717" t="s">
        <v>1244</v>
      </c>
      <c r="AA54" s="703"/>
      <c r="AC54" s="731">
        <f>AC53</f>
        <v>180</v>
      </c>
      <c r="AD54" s="731">
        <f t="shared" ref="AD54" si="9">AD53</f>
        <v>79.5</v>
      </c>
      <c r="AE54" s="731">
        <f t="shared" ref="AE54" si="10">AE53</f>
        <v>79</v>
      </c>
      <c r="AF54" s="731">
        <f t="shared" ref="AF54" si="11">AF53</f>
        <v>79.5</v>
      </c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4"/>
    </row>
    <row r="55" spans="5:43" x14ac:dyDescent="0.1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3"/>
      <c r="Y56" s="703"/>
      <c r="Z56" s="703"/>
      <c r="AA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4"/>
    </row>
    <row r="57" spans="5:43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8"/>
      <c r="Y57" s="703"/>
      <c r="Z57" s="719"/>
      <c r="AA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4"/>
    </row>
    <row r="58" spans="5:43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1501" t="s">
        <v>1245</v>
      </c>
      <c r="Y58" s="1501"/>
      <c r="Z58" s="1501"/>
      <c r="AA58" s="1502"/>
      <c r="AB58" s="709"/>
      <c r="AC58" s="703"/>
      <c r="AD58" s="703"/>
      <c r="AE58" s="703"/>
      <c r="AF58" s="703"/>
      <c r="AG58" s="710"/>
      <c r="AH58" s="703"/>
      <c r="AI58" s="703"/>
      <c r="AJ58" s="703"/>
      <c r="AK58" s="703"/>
      <c r="AL58" s="703"/>
      <c r="AM58" s="703"/>
      <c r="AN58" s="703"/>
      <c r="AO58" s="703"/>
      <c r="AP58" s="703"/>
      <c r="AQ58" s="704"/>
    </row>
    <row r="59" spans="5:43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8"/>
      <c r="Y59" s="677" t="s">
        <v>1219</v>
      </c>
      <c r="Z59" s="678"/>
      <c r="AA59" s="690"/>
      <c r="AB59" s="720"/>
      <c r="AC59" s="679" t="s">
        <v>1219</v>
      </c>
      <c r="AD59" s="679" t="s">
        <v>1246</v>
      </c>
      <c r="AE59" s="679" t="s">
        <v>1247</v>
      </c>
      <c r="AF59" s="679" t="s">
        <v>1248</v>
      </c>
      <c r="AG59" s="707"/>
      <c r="AH59" s="703"/>
      <c r="AI59" s="703"/>
      <c r="AJ59" s="703"/>
      <c r="AK59" s="703"/>
      <c r="AL59" s="703"/>
      <c r="AM59" s="703"/>
      <c r="AN59" s="703"/>
      <c r="AO59" s="703"/>
      <c r="AP59" s="703"/>
      <c r="AQ59" s="704"/>
    </row>
    <row r="60" spans="5:43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81"/>
      <c r="Y60" s="691">
        <v>50</v>
      </c>
      <c r="Z60" s="692">
        <v>79.5</v>
      </c>
      <c r="AA60" s="692"/>
      <c r="AB60" s="32"/>
      <c r="AC60" s="693">
        <v>50</v>
      </c>
      <c r="AD60" s="684">
        <v>79.5</v>
      </c>
      <c r="AE60" s="682">
        <v>79.5</v>
      </c>
      <c r="AF60" s="682">
        <v>81</v>
      </c>
      <c r="AG60" s="721"/>
      <c r="AH60" s="703"/>
      <c r="AI60" s="703"/>
      <c r="AJ60" s="703"/>
      <c r="AK60" s="703"/>
      <c r="AL60" s="703"/>
      <c r="AM60" s="703"/>
      <c r="AN60" s="703"/>
      <c r="AO60" s="703"/>
      <c r="AP60" s="703"/>
      <c r="AQ60" s="704"/>
    </row>
    <row r="61" spans="5:43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4"/>
      <c r="Y61" s="691">
        <v>100</v>
      </c>
      <c r="Z61" s="692">
        <v>79.5</v>
      </c>
      <c r="AA61" s="692"/>
      <c r="AB61" s="32"/>
      <c r="AC61" s="693">
        <v>100</v>
      </c>
      <c r="AD61" s="684">
        <v>79.5</v>
      </c>
      <c r="AE61" s="682">
        <v>79.5</v>
      </c>
      <c r="AF61" s="682">
        <v>80.5</v>
      </c>
      <c r="AG61" s="721"/>
      <c r="AH61" s="703"/>
      <c r="AI61" s="703"/>
      <c r="AJ61" s="703"/>
      <c r="AK61" s="703"/>
      <c r="AL61" s="703"/>
      <c r="AM61" s="703"/>
      <c r="AN61" s="703"/>
      <c r="AO61" s="703"/>
      <c r="AP61" s="703"/>
      <c r="AQ61" s="704"/>
    </row>
    <row r="62" spans="5:43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4"/>
      <c r="Y62" s="691">
        <v>150</v>
      </c>
      <c r="Z62" s="692">
        <v>79.5</v>
      </c>
      <c r="AA62" s="692"/>
      <c r="AB62" s="32"/>
      <c r="AC62" s="693">
        <v>150</v>
      </c>
      <c r="AD62" s="684">
        <v>79.5</v>
      </c>
      <c r="AE62" s="682">
        <v>79.5</v>
      </c>
      <c r="AF62" s="682">
        <v>80</v>
      </c>
      <c r="AG62" s="721"/>
      <c r="AH62" s="703"/>
      <c r="AI62" s="703"/>
      <c r="AJ62" s="703"/>
      <c r="AK62" s="703"/>
      <c r="AL62" s="703"/>
      <c r="AM62" s="703"/>
      <c r="AN62" s="703"/>
      <c r="AO62" s="703"/>
      <c r="AP62" s="703"/>
      <c r="AQ62" s="704"/>
    </row>
    <row r="63" spans="5:43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4"/>
      <c r="Y63" s="691">
        <v>200</v>
      </c>
      <c r="Z63" s="692">
        <v>79.3</v>
      </c>
      <c r="AA63" s="692"/>
      <c r="AB63" s="32"/>
      <c r="AC63" s="693">
        <v>200</v>
      </c>
      <c r="AD63" s="684">
        <v>79.3</v>
      </c>
      <c r="AE63" s="682">
        <v>79</v>
      </c>
      <c r="AF63" s="682">
        <v>79.5</v>
      </c>
      <c r="AG63" s="721"/>
      <c r="AH63" s="703"/>
      <c r="AI63" s="703"/>
      <c r="AJ63" s="703"/>
      <c r="AK63" s="703"/>
      <c r="AL63" s="703"/>
      <c r="AM63" s="703"/>
      <c r="AN63" s="703"/>
      <c r="AO63" s="703"/>
      <c r="AP63" s="703"/>
      <c r="AQ63" s="704"/>
    </row>
    <row r="64" spans="5:43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5"/>
      <c r="Y64" s="691">
        <v>250</v>
      </c>
      <c r="Z64" s="692">
        <v>78.2</v>
      </c>
      <c r="AA64" s="692"/>
      <c r="AB64" s="32"/>
      <c r="AC64" s="693">
        <v>250</v>
      </c>
      <c r="AD64" s="684">
        <v>78.2</v>
      </c>
      <c r="AE64" s="682">
        <v>78.2</v>
      </c>
      <c r="AF64" s="682">
        <v>78.7</v>
      </c>
      <c r="AG64" s="721"/>
      <c r="AH64" s="703"/>
      <c r="AI64" s="703"/>
      <c r="AJ64" s="703"/>
      <c r="AK64" s="703"/>
      <c r="AL64" s="703"/>
      <c r="AM64" s="703"/>
      <c r="AN64" s="703"/>
      <c r="AO64" s="703"/>
      <c r="AP64" s="703"/>
      <c r="AQ64" s="704"/>
    </row>
    <row r="65" spans="6:43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81"/>
      <c r="Y65" s="691">
        <v>300</v>
      </c>
      <c r="Z65" s="692">
        <v>77.5</v>
      </c>
      <c r="AA65" s="692"/>
      <c r="AB65" s="32"/>
      <c r="AC65" s="693">
        <v>300</v>
      </c>
      <c r="AD65" s="684">
        <v>77.5</v>
      </c>
      <c r="AE65" s="682">
        <v>77.5</v>
      </c>
      <c r="AF65" s="682">
        <v>78</v>
      </c>
      <c r="AG65" s="721"/>
      <c r="AH65" s="703"/>
      <c r="AI65" s="703"/>
      <c r="AJ65" s="703"/>
      <c r="AK65" s="703"/>
      <c r="AL65" s="703"/>
      <c r="AM65" s="703"/>
      <c r="AN65" s="703"/>
      <c r="AO65" s="703"/>
      <c r="AP65" s="703"/>
      <c r="AQ65" s="704"/>
    </row>
    <row r="66" spans="6:43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2"/>
      <c r="Y66" s="722">
        <v>350</v>
      </c>
      <c r="Z66" s="723">
        <v>77.3</v>
      </c>
      <c r="AA66" s="723"/>
      <c r="AB66" s="724"/>
      <c r="AC66" s="725">
        <v>350</v>
      </c>
      <c r="AD66" s="726">
        <v>77.3</v>
      </c>
      <c r="AE66" s="727">
        <v>76.8</v>
      </c>
      <c r="AF66" s="727">
        <v>77</v>
      </c>
      <c r="AG66" s="728"/>
      <c r="AH66" s="729"/>
      <c r="AI66" s="729"/>
      <c r="AJ66" s="729"/>
      <c r="AK66" s="729"/>
      <c r="AL66" s="729"/>
      <c r="AM66" s="729"/>
      <c r="AN66" s="729"/>
      <c r="AO66" s="729"/>
      <c r="AP66" s="729"/>
      <c r="AQ66" s="730"/>
    </row>
    <row r="67" spans="6:43" x14ac:dyDescent="0.15">
      <c r="F67" s="233"/>
      <c r="G67" s="233"/>
      <c r="H67" s="233"/>
      <c r="I67" s="233"/>
      <c r="J67" s="4"/>
      <c r="K67" s="4"/>
      <c r="L67" s="235"/>
      <c r="M67" s="243"/>
    </row>
    <row r="68" spans="6:43" x14ac:dyDescent="0.15">
      <c r="F68" s="233"/>
      <c r="G68" s="233"/>
      <c r="H68" s="233"/>
      <c r="I68" s="233"/>
      <c r="J68" s="4"/>
      <c r="K68" s="4"/>
      <c r="L68" s="235"/>
      <c r="M68" s="243"/>
    </row>
    <row r="69" spans="6:43" x14ac:dyDescent="0.15">
      <c r="F69" s="233"/>
      <c r="G69" s="233"/>
      <c r="H69" s="233"/>
      <c r="I69" s="233"/>
      <c r="J69" s="4"/>
      <c r="K69" s="4"/>
      <c r="L69" s="235"/>
      <c r="M69" s="243"/>
    </row>
    <row r="70" spans="6:43" x14ac:dyDescent="0.15">
      <c r="F70" s="233"/>
      <c r="G70" s="233"/>
      <c r="H70" s="233"/>
      <c r="I70" s="233"/>
      <c r="J70" s="4"/>
      <c r="K70" s="4"/>
      <c r="L70" s="235"/>
      <c r="M70" s="243"/>
    </row>
    <row r="71" spans="6:43" x14ac:dyDescent="0.15">
      <c r="F71" s="233"/>
      <c r="G71" s="233"/>
      <c r="H71" s="233"/>
      <c r="I71" s="233"/>
      <c r="J71" s="4"/>
      <c r="K71" s="4"/>
      <c r="L71" s="235"/>
      <c r="M71" s="243"/>
    </row>
    <row r="72" spans="6:43" x14ac:dyDescent="0.15">
      <c r="F72" s="233"/>
      <c r="G72" s="233"/>
      <c r="H72" s="233"/>
      <c r="I72" s="233"/>
      <c r="J72" s="4"/>
      <c r="K72" s="4"/>
      <c r="L72" s="235"/>
      <c r="M72" s="243"/>
    </row>
    <row r="73" spans="6:43" x14ac:dyDescent="0.15">
      <c r="F73" s="233"/>
      <c r="G73" s="233"/>
      <c r="H73" s="233"/>
      <c r="I73" s="233"/>
      <c r="J73" s="4"/>
      <c r="K73" s="4"/>
      <c r="L73" s="235"/>
      <c r="M73" s="243"/>
    </row>
    <row r="74" spans="6:43" x14ac:dyDescent="0.15">
      <c r="F74" s="233"/>
      <c r="G74" s="233"/>
      <c r="H74" s="233"/>
      <c r="I74" s="233"/>
      <c r="J74" s="4"/>
      <c r="K74" s="4"/>
      <c r="L74" s="235"/>
      <c r="M74" s="243"/>
    </row>
    <row r="75" spans="6:43" x14ac:dyDescent="0.15">
      <c r="F75" s="233"/>
      <c r="G75" s="233"/>
      <c r="H75" s="233"/>
      <c r="I75" s="233"/>
      <c r="J75" s="4"/>
      <c r="K75" s="4"/>
      <c r="L75" s="235"/>
      <c r="M75" s="243"/>
    </row>
    <row r="76" spans="6:43" x14ac:dyDescent="0.15">
      <c r="F76" s="233"/>
      <c r="G76" s="233"/>
      <c r="H76" s="233"/>
      <c r="I76" s="233"/>
      <c r="J76" s="4"/>
      <c r="K76" s="4"/>
      <c r="L76" s="235"/>
      <c r="M76" s="243"/>
    </row>
    <row r="77" spans="6:43" x14ac:dyDescent="0.15">
      <c r="F77" s="233"/>
      <c r="G77" s="233"/>
      <c r="H77" s="233"/>
      <c r="I77" s="233"/>
      <c r="J77" s="4"/>
      <c r="K77" s="4"/>
      <c r="L77" s="235"/>
      <c r="M77" s="243"/>
    </row>
    <row r="78" spans="6:43" x14ac:dyDescent="0.15">
      <c r="F78" s="233"/>
      <c r="G78" s="233"/>
      <c r="H78" s="233"/>
      <c r="I78" s="233"/>
      <c r="J78" s="4"/>
      <c r="K78" s="4"/>
      <c r="L78" s="235"/>
      <c r="M78" s="243"/>
    </row>
    <row r="79" spans="6:43" x14ac:dyDescent="0.15">
      <c r="F79" s="233"/>
      <c r="G79" s="233"/>
      <c r="H79" s="233"/>
      <c r="I79" s="233"/>
      <c r="J79" s="4"/>
      <c r="K79" s="4"/>
      <c r="L79" s="235"/>
      <c r="M79" s="243"/>
    </row>
    <row r="80" spans="6:43" x14ac:dyDescent="0.15">
      <c r="F80" s="233"/>
      <c r="G80" s="233"/>
      <c r="H80" s="233"/>
      <c r="I80" s="233"/>
      <c r="J80" s="4"/>
      <c r="K80" s="4"/>
      <c r="L80" s="235"/>
      <c r="M80" s="243"/>
    </row>
    <row r="81" spans="5:22" x14ac:dyDescent="0.15">
      <c r="F81" s="233"/>
      <c r="G81" s="233"/>
      <c r="H81" s="233"/>
      <c r="I81" s="233"/>
      <c r="J81" s="4"/>
      <c r="K81" s="4"/>
      <c r="L81" s="235"/>
      <c r="M81" s="243"/>
    </row>
    <row r="82" spans="5:22" x14ac:dyDescent="0.15">
      <c r="F82" s="233"/>
      <c r="G82" s="233"/>
      <c r="H82" s="233"/>
      <c r="I82" s="233"/>
      <c r="J82" s="4"/>
      <c r="K82" s="4"/>
      <c r="L82" s="235"/>
      <c r="M82" s="243"/>
    </row>
    <row r="83" spans="5:22" x14ac:dyDescent="0.15">
      <c r="F83" s="233"/>
      <c r="G83" s="233"/>
      <c r="H83" s="233"/>
      <c r="I83" s="233"/>
      <c r="J83" s="4"/>
      <c r="K83" s="4"/>
      <c r="L83" s="235"/>
      <c r="M83" s="243"/>
    </row>
    <row r="84" spans="5:22" x14ac:dyDescent="0.15">
      <c r="F84" s="233"/>
      <c r="G84" s="233"/>
      <c r="H84" s="233"/>
      <c r="I84" s="233"/>
      <c r="J84" s="4"/>
      <c r="K84" s="4"/>
      <c r="L84" s="235"/>
      <c r="M84" s="243"/>
    </row>
    <row r="85" spans="5:22" x14ac:dyDescent="0.15">
      <c r="F85" s="233"/>
      <c r="G85" s="233"/>
      <c r="H85" s="233"/>
      <c r="I85" s="233"/>
      <c r="J85" s="4"/>
      <c r="K85" s="4"/>
      <c r="L85" s="235"/>
      <c r="M85" s="243"/>
    </row>
    <row r="86" spans="5:22" x14ac:dyDescent="0.15">
      <c r="F86" s="233"/>
      <c r="G86" s="233"/>
      <c r="H86" s="233"/>
      <c r="I86" s="233"/>
      <c r="J86" s="4"/>
      <c r="K86" s="4"/>
      <c r="L86" s="235"/>
      <c r="M86" s="243"/>
    </row>
    <row r="87" spans="5:22" x14ac:dyDescent="0.15">
      <c r="F87" s="233"/>
      <c r="G87" s="233"/>
      <c r="H87" s="233"/>
      <c r="I87" s="233"/>
      <c r="J87" s="4"/>
      <c r="K87" s="4"/>
      <c r="L87" s="235"/>
      <c r="M87" s="243"/>
    </row>
    <row r="88" spans="5:22" x14ac:dyDescent="0.15">
      <c r="F88" s="233"/>
      <c r="G88" s="233"/>
      <c r="H88" s="233"/>
      <c r="I88" s="233"/>
      <c r="J88" s="4"/>
      <c r="K88" s="4"/>
      <c r="L88" s="235"/>
      <c r="M88" s="243"/>
    </row>
    <row r="89" spans="5:22" x14ac:dyDescent="0.15">
      <c r="F89" s="233"/>
      <c r="G89" s="233"/>
      <c r="H89" s="233"/>
      <c r="I89" s="233"/>
      <c r="J89" s="4"/>
      <c r="K89" s="4"/>
      <c r="L89" s="235"/>
      <c r="M89" s="243"/>
    </row>
    <row r="90" spans="5:22" x14ac:dyDescent="0.15">
      <c r="F90" s="233"/>
      <c r="G90" s="233"/>
      <c r="H90" s="233"/>
      <c r="I90" s="233"/>
      <c r="J90" s="4"/>
      <c r="K90" s="4"/>
      <c r="L90" s="235"/>
      <c r="M90" s="243"/>
    </row>
    <row r="91" spans="5:22" x14ac:dyDescent="0.15">
      <c r="F91" s="233"/>
      <c r="G91" s="233"/>
      <c r="H91" s="233"/>
      <c r="I91" s="233"/>
      <c r="J91" s="4"/>
      <c r="K91" s="4"/>
      <c r="L91" s="235"/>
      <c r="M91" s="243"/>
    </row>
    <row r="92" spans="5:22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3"/>
    </row>
    <row r="93" spans="5:22" x14ac:dyDescent="0.15">
      <c r="F93" s="233"/>
      <c r="G93" s="233"/>
      <c r="H93" s="233"/>
      <c r="I93" s="233"/>
      <c r="J93" s="4"/>
      <c r="K93" s="4"/>
      <c r="L93" s="235"/>
      <c r="M93" s="243"/>
    </row>
    <row r="94" spans="5:22" x14ac:dyDescent="0.1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22" x14ac:dyDescent="0.15">
      <c r="E95" s="240"/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22" ht="14" thickBot="1" x14ac:dyDescent="0.2">
      <c r="E96" s="240" t="s">
        <v>281</v>
      </c>
      <c r="F96" s="233"/>
      <c r="G96" s="233"/>
      <c r="H96" s="233"/>
      <c r="I96" s="233"/>
    </row>
    <row r="97" spans="5:37" ht="14" thickBot="1" x14ac:dyDescent="0.2">
      <c r="E97" s="241" t="s">
        <v>285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15">
      <c r="E98" s="233"/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2" x14ac:dyDescent="0.2">
      <c r="E99" s="233"/>
      <c r="F99" s="233"/>
      <c r="G99" s="233"/>
      <c r="H99" s="233"/>
      <c r="I99" s="233"/>
      <c r="V99" s="232"/>
      <c r="W99" s="1499" t="s">
        <v>468</v>
      </c>
      <c r="X99" s="1500"/>
      <c r="Y99" s="1500"/>
      <c r="Z99" s="332" t="s">
        <v>469</v>
      </c>
      <c r="AA99" s="333"/>
      <c r="AB99" s="334" t="s">
        <v>469</v>
      </c>
      <c r="AC99" s="334"/>
    </row>
    <row r="100" spans="5:37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U100" t="s">
        <v>470</v>
      </c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U101">
        <f>V101*1000</f>
        <v>50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ht="14" x14ac:dyDescent="0.2">
      <c r="E102" s="233"/>
      <c r="F102" s="233"/>
      <c r="G102" s="233"/>
      <c r="H102" s="233"/>
      <c r="I102" s="233"/>
      <c r="U102">
        <f t="shared" ref="U102:U108" si="12">V102*1000</f>
        <v>75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ht="14" x14ac:dyDescent="0.2">
      <c r="E103" s="233" t="s">
        <v>289</v>
      </c>
      <c r="F103" s="233" t="s">
        <v>279</v>
      </c>
      <c r="G103" s="233"/>
      <c r="H103" s="233"/>
      <c r="I103" s="233"/>
      <c r="U103">
        <f t="shared" si="12"/>
        <v>100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3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ht="14" x14ac:dyDescent="0.2">
      <c r="E104" s="233">
        <v>100</v>
      </c>
      <c r="F104" s="242">
        <v>0.78100000000000003</v>
      </c>
      <c r="G104" s="242"/>
      <c r="H104" s="243"/>
      <c r="I104" s="233"/>
      <c r="U104">
        <f t="shared" si="12"/>
        <v>150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3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">
      <c r="E105" s="233">
        <v>90</v>
      </c>
      <c r="F105" s="242">
        <v>0.78400000000000003</v>
      </c>
      <c r="G105" s="242"/>
      <c r="H105" s="243"/>
      <c r="I105" s="233"/>
      <c r="U105">
        <f t="shared" si="12"/>
        <v>200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">
      <c r="E106" s="233">
        <v>80</v>
      </c>
      <c r="F106" s="242">
        <v>0.78700000000000003</v>
      </c>
      <c r="G106" s="242"/>
      <c r="H106" s="243"/>
      <c r="I106" s="233"/>
      <c r="U106">
        <f t="shared" si="12"/>
        <v>250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">
      <c r="E107" s="233">
        <v>70</v>
      </c>
      <c r="F107" s="242">
        <v>0.79100000000000004</v>
      </c>
      <c r="G107" s="242"/>
      <c r="H107" s="243"/>
      <c r="I107" s="233"/>
      <c r="U107">
        <f t="shared" si="12"/>
        <v>300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6" thickBot="1" x14ac:dyDescent="0.25">
      <c r="E108" s="233">
        <v>60</v>
      </c>
      <c r="F108" s="242">
        <v>0.79500000000000004</v>
      </c>
      <c r="G108" s="242"/>
      <c r="H108" s="243"/>
      <c r="I108" s="233"/>
      <c r="U108">
        <f t="shared" si="12"/>
        <v>350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15">
      <c r="E109" s="233">
        <v>50</v>
      </c>
      <c r="F109" s="242">
        <v>0.80200000000000005</v>
      </c>
      <c r="G109" s="242"/>
      <c r="H109" s="243"/>
      <c r="I109" s="233"/>
    </row>
    <row r="110" spans="5:37" ht="14" thickBot="1" x14ac:dyDescent="0.2">
      <c r="E110" s="233">
        <v>40</v>
      </c>
      <c r="F110" s="242">
        <v>0.81299999999999994</v>
      </c>
      <c r="G110" s="242"/>
      <c r="H110" s="243"/>
      <c r="I110" s="233"/>
      <c r="AG110" s="2" t="s">
        <v>1253</v>
      </c>
    </row>
    <row r="111" spans="5:37" x14ac:dyDescent="0.15">
      <c r="E111" s="233">
        <v>30</v>
      </c>
      <c r="F111" s="242">
        <v>0.83399999999999996</v>
      </c>
      <c r="G111" s="242"/>
      <c r="H111" s="243"/>
      <c r="I111" s="233"/>
      <c r="AG111" s="228"/>
      <c r="AH111" s="230"/>
      <c r="AI111" s="230"/>
      <c r="AJ111" s="230"/>
      <c r="AK111" s="231"/>
    </row>
    <row r="112" spans="5:37" x14ac:dyDescent="0.15">
      <c r="E112" s="233">
        <v>22</v>
      </c>
      <c r="F112" s="242">
        <v>0.86399999999999999</v>
      </c>
      <c r="G112" s="242"/>
      <c r="H112" s="243"/>
      <c r="I112" s="233"/>
      <c r="AG112" s="232"/>
      <c r="AK112" s="364"/>
    </row>
    <row r="113" spans="5:37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15"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15">
      <c r="E115" s="233" t="s">
        <v>290</v>
      </c>
      <c r="F115" s="235"/>
      <c r="G115" s="233"/>
      <c r="H115" s="233"/>
      <c r="I115" s="233"/>
      <c r="AC115" s="317"/>
      <c r="AD115" s="317"/>
      <c r="AE115" s="317"/>
      <c r="AG115" s="232"/>
      <c r="AK115" s="364"/>
    </row>
    <row r="116" spans="5:37" x14ac:dyDescent="0.15">
      <c r="E116" t="s">
        <v>291</v>
      </c>
      <c r="F116" s="235"/>
      <c r="G116" s="233"/>
      <c r="H116" s="233"/>
      <c r="I116" s="233"/>
      <c r="AC116" s="420">
        <f t="array" ref="AC116:AD116">LINEST(LN(W101:W108),LN(U101:U108))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ht="14" thickBot="1" x14ac:dyDescent="0.2">
      <c r="E117" t="s">
        <v>292</v>
      </c>
      <c r="F117" s="235"/>
      <c r="G117" s="233"/>
      <c r="H117" s="233"/>
      <c r="I117" s="233"/>
      <c r="AG117" s="232"/>
      <c r="AK117" s="364"/>
    </row>
    <row r="118" spans="5:37" ht="14" thickBot="1" x14ac:dyDescent="0.2">
      <c r="E118" s="233" t="s">
        <v>293</v>
      </c>
      <c r="F118" s="244"/>
      <c r="AC118" t="s">
        <v>480</v>
      </c>
      <c r="AG118" s="232"/>
      <c r="AH118" t="s">
        <v>480</v>
      </c>
      <c r="AK118" s="364"/>
    </row>
    <row r="119" spans="5:37" x14ac:dyDescent="0.15">
      <c r="F119" s="245"/>
      <c r="AC119">
        <f>'R-series'!E33</f>
        <v>45.1</v>
      </c>
      <c r="AD119" t="s">
        <v>470</v>
      </c>
      <c r="AG119" s="232"/>
      <c r="AH119">
        <f>AC119</f>
        <v>45.1</v>
      </c>
      <c r="AI119" t="s">
        <v>470</v>
      </c>
      <c r="AK119" s="364"/>
    </row>
    <row r="120" spans="5:37" x14ac:dyDescent="0.15">
      <c r="F120" s="245"/>
      <c r="AG120" s="232"/>
      <c r="AK120" s="364"/>
    </row>
    <row r="121" spans="5:37" ht="14" thickBot="1" x14ac:dyDescent="0.2">
      <c r="E121" s="240" t="s">
        <v>282</v>
      </c>
      <c r="F121" s="233"/>
      <c r="G121" s="233"/>
      <c r="AC121" s="317">
        <f>AE116*AC119^AC116</f>
        <v>83.810238544375039</v>
      </c>
      <c r="AD121" s="317" t="s">
        <v>481</v>
      </c>
      <c r="AG121" s="232"/>
      <c r="AH121" s="3">
        <f>AH116*AH119^2+AI116*AH119+AJ116</f>
        <v>84.993939024847521</v>
      </c>
      <c r="AI121" t="s">
        <v>481</v>
      </c>
      <c r="AK121" s="364"/>
    </row>
    <row r="122" spans="5:37" ht="14" thickBot="1" x14ac:dyDescent="0.2">
      <c r="E122" s="233"/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3.5" customHeight="1" thickBot="1" x14ac:dyDescent="0.2">
      <c r="E123" s="241" t="s">
        <v>294</v>
      </c>
      <c r="F123" s="233"/>
      <c r="G123" s="233"/>
      <c r="AG123" s="236"/>
      <c r="AH123" s="238"/>
      <c r="AI123" s="238"/>
      <c r="AJ123" s="238"/>
      <c r="AK123" s="239"/>
    </row>
    <row r="124" spans="5:37" x14ac:dyDescent="0.15">
      <c r="E124" s="233"/>
      <c r="F124" s="233"/>
      <c r="G124" s="233"/>
    </row>
    <row r="125" spans="5:37" x14ac:dyDescent="0.15">
      <c r="E125" s="233"/>
      <c r="F125" s="233"/>
      <c r="G125" s="233"/>
    </row>
    <row r="126" spans="5:37" x14ac:dyDescent="0.15">
      <c r="E126" s="233" t="s">
        <v>286</v>
      </c>
      <c r="F126" s="233">
        <v>7</v>
      </c>
      <c r="G126" s="233" t="s">
        <v>287</v>
      </c>
    </row>
    <row r="127" spans="5:37" ht="14" thickBot="1" x14ac:dyDescent="0.2">
      <c r="E127" s="233" t="s">
        <v>288</v>
      </c>
      <c r="F127" s="233">
        <v>20</v>
      </c>
      <c r="G127" s="233" t="s">
        <v>287</v>
      </c>
      <c r="V127" s="2" t="s">
        <v>549</v>
      </c>
    </row>
    <row r="128" spans="5:37" x14ac:dyDescent="0.15">
      <c r="E128" s="233"/>
      <c r="F128" s="233"/>
      <c r="G128" s="233"/>
      <c r="V128" s="1488" t="s">
        <v>539</v>
      </c>
      <c r="W128" s="1489"/>
      <c r="X128" s="1490"/>
      <c r="Y128" s="1491" t="s">
        <v>540</v>
      </c>
      <c r="Z128" s="1492"/>
      <c r="AA128" s="1492"/>
      <c r="AB128" s="1492"/>
      <c r="AC128" s="1493"/>
      <c r="AD128" s="1494" t="s">
        <v>541</v>
      </c>
      <c r="AE128" s="1489"/>
      <c r="AF128" s="1495"/>
    </row>
    <row r="129" spans="5:33" ht="71" thickBot="1" x14ac:dyDescent="0.2">
      <c r="E129" s="233" t="s">
        <v>289</v>
      </c>
      <c r="F129" s="233" t="s">
        <v>279</v>
      </c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15">
      <c r="E130" s="233">
        <v>120</v>
      </c>
      <c r="F130" s="242">
        <v>0.79100000000000004</v>
      </c>
      <c r="G130" s="242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15">
      <c r="E131" s="233">
        <v>100</v>
      </c>
      <c r="F131" s="242">
        <v>0.79700000000000004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15">
      <c r="E132" s="233">
        <v>90</v>
      </c>
      <c r="F132" s="242">
        <v>0.80100000000000005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4">AF132*100</f>
        <v>79.5</v>
      </c>
    </row>
    <row r="133" spans="5:33" x14ac:dyDescent="0.15">
      <c r="E133" s="233">
        <v>70</v>
      </c>
      <c r="F133" s="242">
        <v>0.81299999999999994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4"/>
        <v>79.273759267300321</v>
      </c>
    </row>
    <row r="134" spans="5:33" x14ac:dyDescent="0.15">
      <c r="E134" s="233">
        <v>60</v>
      </c>
      <c r="F134" s="242">
        <v>0.82099999999999995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4"/>
        <v>78.235849475724109</v>
      </c>
    </row>
    <row r="135" spans="5:33" x14ac:dyDescent="0.15">
      <c r="E135" s="233">
        <v>50</v>
      </c>
      <c r="F135" s="242">
        <v>0.83099999999999996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4"/>
        <v>77.532048776957595</v>
      </c>
    </row>
    <row r="136" spans="5:33" ht="14" thickBot="1" x14ac:dyDescent="0.2">
      <c r="E136" s="233">
        <v>40</v>
      </c>
      <c r="F136" s="242">
        <v>0.84299999999999997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4"/>
        <v>77.262234042553175</v>
      </c>
    </row>
    <row r="137" spans="5:33" x14ac:dyDescent="0.15">
      <c r="E137" s="233">
        <v>30</v>
      </c>
      <c r="F137" s="242">
        <v>0.85899999999999999</v>
      </c>
      <c r="G137" s="242"/>
    </row>
    <row r="138" spans="5:33" x14ac:dyDescent="0.15">
      <c r="E138" s="233">
        <v>25</v>
      </c>
      <c r="F138" s="242">
        <v>0.87</v>
      </c>
      <c r="G138" s="242"/>
    </row>
    <row r="139" spans="5:33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33" x14ac:dyDescent="0.15">
      <c r="E141" s="233" t="s">
        <v>290</v>
      </c>
      <c r="F141" s="235">
        <f>F115</f>
        <v>0</v>
      </c>
      <c r="G141" s="233"/>
    </row>
    <row r="142" spans="5:33" x14ac:dyDescent="0.15">
      <c r="E142" t="s">
        <v>291</v>
      </c>
      <c r="F142" s="235">
        <f>F116</f>
        <v>0</v>
      </c>
      <c r="G142" s="233"/>
    </row>
    <row r="143" spans="5:33" ht="14" thickBot="1" x14ac:dyDescent="0.2">
      <c r="E143" t="s">
        <v>292</v>
      </c>
      <c r="F143" s="235">
        <f>F117</f>
        <v>0</v>
      </c>
      <c r="G143" s="233"/>
    </row>
    <row r="144" spans="5:33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9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topLeftCell="A10" zoomScaleNormal="100" workbookViewId="0">
      <selection activeCell="D4" sqref="D4:I4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1.1951219512195159</v>
      </c>
      <c r="O3" s="186"/>
      <c r="P3" s="187">
        <f>$C$8</f>
        <v>1.0112107623318385</v>
      </c>
      <c r="Q3" s="188">
        <f ca="1">MIN(R3/P3,(H3-F3)/(M3-F3))</f>
        <v>0.57861961598339395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4962.4166666666661</v>
      </c>
      <c r="V4" s="191">
        <f>SUM(V6:V50)</f>
        <v>4039.136011437874</v>
      </c>
      <c r="W4" s="191">
        <f>SUM(W6:W50)</f>
        <v>4084.4178052880743</v>
      </c>
    </row>
    <row r="5" spans="1:37" ht="17" x14ac:dyDescent="0.15">
      <c r="B5" s="10" t="s">
        <v>228</v>
      </c>
      <c r="C5" s="248">
        <f>'R-series'!T26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'R-series'!T10</f>
        <v>45.1</v>
      </c>
      <c r="D6" s="24" t="s">
        <v>13</v>
      </c>
      <c r="F6" s="194">
        <v>-32</v>
      </c>
      <c r="G6" s="561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-22.94852124674842</v>
      </c>
      <c r="M6" s="182">
        <f t="shared" ref="M6:M50" si="5">$C$5</f>
        <v>21</v>
      </c>
      <c r="N6" s="196">
        <f>MIN(F6+R6/P6*(M6-F6),H6)</f>
        <v>-4.8048780487804841</v>
      </c>
      <c r="O6" s="197">
        <f t="shared" ref="O6:O28" si="6">F6+S6/P6*(M6-F6)</f>
        <v>10.979454635514131</v>
      </c>
      <c r="P6" s="32">
        <f t="shared" ref="P6:P50" si="7">$C$8</f>
        <v>1.0112107623318385</v>
      </c>
      <c r="Q6" s="198">
        <f t="shared" ref="Q6:Q20" si="8">MIN(R6/P6,(H6-F6)/(M6-F6))</f>
        <v>0.51311550851357579</v>
      </c>
      <c r="R6" s="199">
        <f t="shared" ref="R6:R20" si="9">(M6-J6)/(M6-F6)</f>
        <v>0.51886792452830188</v>
      </c>
      <c r="S6" s="198">
        <f t="shared" ref="S6:S50" si="10">$C$10</f>
        <v>0.82002428465254551</v>
      </c>
      <c r="T6" s="200">
        <f>S6*$C$8</f>
        <v>0.8292173820141211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6400.5785044800004</v>
      </c>
      <c r="AH6" t="s">
        <v>237</v>
      </c>
    </row>
    <row r="7" spans="1:37" x14ac:dyDescent="0.15">
      <c r="B7" s="12" t="s">
        <v>255</v>
      </c>
      <c r="C7" s="249">
        <f>'R-series'!T11</f>
        <v>44.6</v>
      </c>
      <c r="D7" s="24" t="s">
        <v>13</v>
      </c>
      <c r="F7" s="194">
        <v>-31</v>
      </c>
      <c r="G7" s="561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-22.119303864734299</v>
      </c>
      <c r="M7" s="182">
        <f t="shared" si="5"/>
        <v>21</v>
      </c>
      <c r="N7" s="196">
        <f t="shared" ref="N7:N50" si="13">MIN(F7+R7/P7*(M7-F7),H7)</f>
        <v>-3.8048780487804876</v>
      </c>
      <c r="O7" s="197">
        <f t="shared" si="6"/>
        <v>11.168521529183671</v>
      </c>
      <c r="P7" s="32">
        <f t="shared" si="7"/>
        <v>1.0112107623318385</v>
      </c>
      <c r="Q7" s="198">
        <f t="shared" si="8"/>
        <v>0.52298311444652912</v>
      </c>
      <c r="R7" s="199">
        <f t="shared" si="9"/>
        <v>0.52884615384615385</v>
      </c>
      <c r="S7" s="198">
        <f t="shared" si="10"/>
        <v>0.82002428465254551</v>
      </c>
      <c r="T7" s="200">
        <f t="shared" ref="T7:T50" si="14">S7*$C$8</f>
        <v>0.8292173820141211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5270.4279464316451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'R-series'!T13</f>
        <v>1.0112107623318385</v>
      </c>
      <c r="D8" s="24"/>
      <c r="F8" s="194">
        <v>-30</v>
      </c>
      <c r="G8" s="561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-21.290086482720177</v>
      </c>
      <c r="M8" s="182">
        <f t="shared" si="5"/>
        <v>21</v>
      </c>
      <c r="N8" s="196">
        <f t="shared" si="13"/>
        <v>-2.8048780487804876</v>
      </c>
      <c r="O8" s="197">
        <f t="shared" si="6"/>
        <v>11.357588422853219</v>
      </c>
      <c r="P8" s="32">
        <f t="shared" si="7"/>
        <v>1.0112107623318385</v>
      </c>
      <c r="Q8" s="198">
        <f t="shared" si="8"/>
        <v>0.53323768531802962</v>
      </c>
      <c r="R8" s="199">
        <f t="shared" si="9"/>
        <v>0.53921568627450978</v>
      </c>
      <c r="S8" s="198">
        <f t="shared" si="10"/>
        <v>0.82002428465254551</v>
      </c>
      <c r="T8" s="200">
        <f t="shared" si="14"/>
        <v>0.8292173820141211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407.83171241229263</v>
      </c>
      <c r="AH8" t="s">
        <v>237</v>
      </c>
      <c r="AJ8">
        <f>'R-series'!D45</f>
        <v>46.556131553914682</v>
      </c>
      <c r="AK8" t="s">
        <v>49</v>
      </c>
    </row>
    <row r="9" spans="1:37" x14ac:dyDescent="0.15">
      <c r="B9" s="12" t="s">
        <v>257</v>
      </c>
      <c r="C9" s="250">
        <f>'R-series'!T22</f>
        <v>0.82462083333333336</v>
      </c>
      <c r="D9" s="24"/>
      <c r="F9" s="194">
        <v>-29</v>
      </c>
      <c r="G9" s="561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-20.460869100706056</v>
      </c>
      <c r="M9" s="182">
        <f t="shared" si="5"/>
        <v>21</v>
      </c>
      <c r="N9" s="196">
        <f t="shared" si="13"/>
        <v>-1.8048780487804876</v>
      </c>
      <c r="O9" s="197">
        <f t="shared" si="6"/>
        <v>11.546655316522759</v>
      </c>
      <c r="P9" s="32">
        <f t="shared" si="7"/>
        <v>1.0112107623318385</v>
      </c>
      <c r="Q9" s="198">
        <f t="shared" si="8"/>
        <v>0.54390243902439028</v>
      </c>
      <c r="R9" s="199">
        <f t="shared" si="9"/>
        <v>0.55000000000000004</v>
      </c>
      <c r="S9" s="198">
        <f t="shared" si="10"/>
        <v>0.82002428465254551</v>
      </c>
      <c r="T9" s="200">
        <f t="shared" si="14"/>
        <v>0.8292173820141211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'R-series'!T23</f>
        <v>0.82002428465254551</v>
      </c>
      <c r="D10" s="24"/>
      <c r="F10" s="194">
        <v>-28</v>
      </c>
      <c r="G10" s="561">
        <f>Säädata!Z16</f>
        <v>0</v>
      </c>
      <c r="H10" s="194">
        <f t="shared" si="0"/>
        <v>21</v>
      </c>
      <c r="I10" s="195">
        <f t="shared" si="1"/>
        <v>-6.5</v>
      </c>
      <c r="J10" s="196">
        <f t="shared" si="2"/>
        <v>-6.5</v>
      </c>
      <c r="K10" s="196">
        <f t="shared" si="3"/>
        <v>-6.5000000000000036</v>
      </c>
      <c r="L10" s="196">
        <f t="shared" si="4"/>
        <v>-19.631651718691934</v>
      </c>
      <c r="M10" s="182">
        <f t="shared" si="5"/>
        <v>21</v>
      </c>
      <c r="N10" s="196">
        <f t="shared" si="13"/>
        <v>-0.80487804878048408</v>
      </c>
      <c r="O10" s="197">
        <f t="shared" si="6"/>
        <v>11.735722210192307</v>
      </c>
      <c r="P10" s="32">
        <f t="shared" si="7"/>
        <v>1.0112107623318385</v>
      </c>
      <c r="Q10" s="198">
        <f t="shared" si="8"/>
        <v>0.55500248880039826</v>
      </c>
      <c r="R10" s="199">
        <f t="shared" si="9"/>
        <v>0.56122448979591832</v>
      </c>
      <c r="S10" s="198">
        <f t="shared" si="10"/>
        <v>0.82002428465254551</v>
      </c>
      <c r="T10" s="200">
        <f t="shared" si="14"/>
        <v>0.8292173820141211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'R-series'!T27</f>
        <v>-6.5</v>
      </c>
      <c r="D11" s="24" t="s">
        <v>230</v>
      </c>
      <c r="F11" s="194">
        <v>-27</v>
      </c>
      <c r="G11" s="561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-18.802434336677813</v>
      </c>
      <c r="M11" s="182">
        <f t="shared" si="5"/>
        <v>21</v>
      </c>
      <c r="N11" s="196">
        <f t="shared" si="13"/>
        <v>0.19512195121951237</v>
      </c>
      <c r="O11" s="197">
        <f t="shared" si="6"/>
        <v>11.924789103861855</v>
      </c>
      <c r="P11" s="32">
        <f t="shared" si="7"/>
        <v>1.0112107623318385</v>
      </c>
      <c r="Q11" s="198">
        <f t="shared" si="8"/>
        <v>0.56656504065040647</v>
      </c>
      <c r="R11" s="199">
        <f t="shared" si="9"/>
        <v>0.57291666666666663</v>
      </c>
      <c r="S11" s="198">
        <f t="shared" si="10"/>
        <v>0.82002428465254551</v>
      </c>
      <c r="T11" s="200">
        <f t="shared" si="14"/>
        <v>0.8292173820141211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f>'R-series'!T37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-17.973216954663691</v>
      </c>
      <c r="M12" s="182">
        <f t="shared" si="5"/>
        <v>21</v>
      </c>
      <c r="N12" s="196">
        <f t="shared" si="13"/>
        <v>1.1951219512195159</v>
      </c>
      <c r="O12" s="197">
        <f t="shared" si="6"/>
        <v>12.113855997531395</v>
      </c>
      <c r="P12" s="32">
        <f t="shared" si="7"/>
        <v>1.0112107623318385</v>
      </c>
      <c r="Q12" s="198">
        <f t="shared" si="8"/>
        <v>0.57861961598339395</v>
      </c>
      <c r="R12" s="199">
        <f t="shared" si="9"/>
        <v>0.58510638297872342</v>
      </c>
      <c r="S12" s="198">
        <f t="shared" si="10"/>
        <v>0.82002428465254551</v>
      </c>
      <c r="T12" s="200">
        <f t="shared" si="14"/>
        <v>0.8292173820141211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17.220509977703458</v>
      </c>
    </row>
    <row r="13" spans="1:37" x14ac:dyDescent="0.1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-17.14399957264957</v>
      </c>
      <c r="M13" s="182">
        <f t="shared" si="5"/>
        <v>21</v>
      </c>
      <c r="N13" s="196">
        <f t="shared" si="13"/>
        <v>2.1951219512195159</v>
      </c>
      <c r="O13" s="197">
        <f t="shared" si="6"/>
        <v>12.302922891200943</v>
      </c>
      <c r="P13" s="32">
        <f t="shared" si="7"/>
        <v>1.0112107623318385</v>
      </c>
      <c r="Q13" s="198">
        <f t="shared" si="8"/>
        <v>0.59119830328738077</v>
      </c>
      <c r="R13" s="199">
        <f t="shared" si="9"/>
        <v>0.59782608695652173</v>
      </c>
      <c r="S13" s="198">
        <f t="shared" si="10"/>
        <v>0.82002428465254551</v>
      </c>
      <c r="T13" s="200">
        <f t="shared" si="14"/>
        <v>0.8292173820141211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Säädata!Z20</f>
        <v>1.1415525114155251E-4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-16.314782190635448</v>
      </c>
      <c r="M14" s="182">
        <f t="shared" si="5"/>
        <v>21</v>
      </c>
      <c r="N14" s="196">
        <f t="shared" si="13"/>
        <v>3.1951219512195159</v>
      </c>
      <c r="O14" s="197">
        <f t="shared" si="6"/>
        <v>12.491989784870484</v>
      </c>
      <c r="P14" s="32">
        <f t="shared" si="7"/>
        <v>1.0112107623318385</v>
      </c>
      <c r="Q14" s="198">
        <f t="shared" si="8"/>
        <v>0.60433604336043367</v>
      </c>
      <c r="R14" s="199">
        <f t="shared" si="9"/>
        <v>0.61111111111111116</v>
      </c>
      <c r="S14" s="198">
        <f t="shared" si="10"/>
        <v>0.82002428465254551</v>
      </c>
      <c r="T14" s="200">
        <f t="shared" si="14"/>
        <v>0.8292173820141211</v>
      </c>
      <c r="U14" s="108">
        <f t="shared" si="15"/>
        <v>1.875</v>
      </c>
      <c r="V14" s="108">
        <f t="shared" si="16"/>
        <v>1.1331300813008132</v>
      </c>
      <c r="W14" s="203">
        <f t="shared" si="17"/>
        <v>1.1458333333333333</v>
      </c>
      <c r="Y14" s="5">
        <f t="shared" si="11"/>
        <v>2.4228503999999993</v>
      </c>
      <c r="Z14" s="5">
        <f t="shared" si="12"/>
        <v>1.4806308000000001</v>
      </c>
      <c r="AB14" t="s">
        <v>1272</v>
      </c>
      <c r="AG14" s="110">
        <f>1.2*C6*(AG11-AG12)</f>
        <v>-931.97399999331105</v>
      </c>
      <c r="AH14" t="s">
        <v>49</v>
      </c>
    </row>
    <row r="15" spans="1:37" x14ac:dyDescent="0.15">
      <c r="B15" s="12" t="s">
        <v>262</v>
      </c>
      <c r="C15" s="206">
        <f>'R-series'!T16</f>
        <v>0</v>
      </c>
      <c r="D15" s="24" t="s">
        <v>13</v>
      </c>
      <c r="F15" s="194">
        <v>-23</v>
      </c>
      <c r="G15" s="561">
        <f>Säädata!Z21</f>
        <v>3.4246575342465754E-4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-15.485564808621326</v>
      </c>
      <c r="M15" s="182">
        <f t="shared" si="5"/>
        <v>21</v>
      </c>
      <c r="N15" s="196">
        <f t="shared" si="13"/>
        <v>4.1951219512195159</v>
      </c>
      <c r="O15" s="197">
        <f t="shared" si="6"/>
        <v>12.681056678540031</v>
      </c>
      <c r="P15" s="32">
        <f t="shared" si="7"/>
        <v>1.0112107623318385</v>
      </c>
      <c r="Q15" s="198">
        <f t="shared" si="8"/>
        <v>0.61807095343680718</v>
      </c>
      <c r="R15" s="199">
        <f t="shared" si="9"/>
        <v>0.625</v>
      </c>
      <c r="S15" s="198">
        <f t="shared" si="10"/>
        <v>0.82002428465254551</v>
      </c>
      <c r="T15" s="200">
        <f t="shared" si="14"/>
        <v>0.8292173820141211</v>
      </c>
      <c r="U15" s="108">
        <f t="shared" si="15"/>
        <v>3.6666666666666674</v>
      </c>
      <c r="V15" s="108">
        <f t="shared" si="16"/>
        <v>2.2662601626016268</v>
      </c>
      <c r="W15" s="203">
        <f t="shared" si="17"/>
        <v>2.291666666666667</v>
      </c>
      <c r="Y15" s="5">
        <f t="shared" si="11"/>
        <v>4.7380185599999995</v>
      </c>
      <c r="Z15" s="5">
        <f t="shared" si="12"/>
        <v>2.9612616000000003</v>
      </c>
      <c r="AF15" t="s">
        <v>1276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'R-series'!T17</f>
        <v>0</v>
      </c>
      <c r="D16" s="24" t="s">
        <v>264</v>
      </c>
      <c r="F16" s="194">
        <v>-22</v>
      </c>
      <c r="G16" s="561">
        <f>Säädata!Z22</f>
        <v>5.7077625570776253E-4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-14.656347426607205</v>
      </c>
      <c r="M16" s="182">
        <f t="shared" si="5"/>
        <v>21</v>
      </c>
      <c r="N16" s="196">
        <f t="shared" si="13"/>
        <v>5.1951219512195124</v>
      </c>
      <c r="O16" s="197">
        <f t="shared" si="6"/>
        <v>12.870123572209572</v>
      </c>
      <c r="P16" s="32">
        <f t="shared" si="7"/>
        <v>1.0112107623318385</v>
      </c>
      <c r="Q16" s="198">
        <f t="shared" si="8"/>
        <v>0.63244469653998869</v>
      </c>
      <c r="R16" s="199">
        <f t="shared" si="9"/>
        <v>0.63953488372093026</v>
      </c>
      <c r="S16" s="198">
        <f t="shared" si="10"/>
        <v>0.82002428465254551</v>
      </c>
      <c r="T16" s="200">
        <f t="shared" si="14"/>
        <v>0.8292173820141211</v>
      </c>
      <c r="U16" s="108">
        <f t="shared" si="15"/>
        <v>3.5833333333333326</v>
      </c>
      <c r="V16" s="108">
        <f t="shared" si="16"/>
        <v>2.2662601626016254</v>
      </c>
      <c r="W16" s="203">
        <f t="shared" si="17"/>
        <v>2.2916666666666661</v>
      </c>
      <c r="Y16" s="5">
        <f t="shared" si="11"/>
        <v>4.6303363199999996</v>
      </c>
      <c r="Z16" s="5">
        <f t="shared" si="12"/>
        <v>2.9612615999999998</v>
      </c>
    </row>
    <row r="17" spans="1:26" x14ac:dyDescent="0.15">
      <c r="B17" s="12" t="s">
        <v>265</v>
      </c>
      <c r="C17" s="4">
        <f>(24*C7+C16*C15)/24</f>
        <v>44.6</v>
      </c>
      <c r="D17" s="24" t="s">
        <v>13</v>
      </c>
      <c r="F17" s="194">
        <v>-21</v>
      </c>
      <c r="G17" s="561">
        <f>Säädata!Z23</f>
        <v>1.1415525114155251E-3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-13.827130044593083</v>
      </c>
      <c r="M17" s="182">
        <f t="shared" si="5"/>
        <v>21</v>
      </c>
      <c r="N17" s="196">
        <f t="shared" si="13"/>
        <v>6.1951219512195124</v>
      </c>
      <c r="O17" s="197">
        <f t="shared" si="6"/>
        <v>13.059190465879119</v>
      </c>
      <c r="P17" s="32">
        <f t="shared" si="7"/>
        <v>1.0112107623318385</v>
      </c>
      <c r="Q17" s="198">
        <f t="shared" si="8"/>
        <v>0.64750290360046459</v>
      </c>
      <c r="R17" s="199">
        <f t="shared" si="9"/>
        <v>0.65476190476190477</v>
      </c>
      <c r="S17" s="198">
        <f t="shared" si="10"/>
        <v>0.82002428465254551</v>
      </c>
      <c r="T17" s="200">
        <f t="shared" si="14"/>
        <v>0.8292173820141211</v>
      </c>
      <c r="U17" s="108">
        <f t="shared" si="15"/>
        <v>8.75</v>
      </c>
      <c r="V17" s="108">
        <f t="shared" si="16"/>
        <v>5.6656504065040645</v>
      </c>
      <c r="W17" s="203">
        <f t="shared" si="17"/>
        <v>5.7291666666666661</v>
      </c>
      <c r="Y17" s="5">
        <f t="shared" si="11"/>
        <v>11.306635199999997</v>
      </c>
      <c r="Z17" s="5">
        <f t="shared" si="12"/>
        <v>7.4031540000000007</v>
      </c>
    </row>
    <row r="18" spans="1:26" ht="17" x14ac:dyDescent="0.25">
      <c r="B18" s="14" t="s">
        <v>266</v>
      </c>
      <c r="C18" s="207">
        <f>'R-series'!T19</f>
        <v>1.0112107623318385</v>
      </c>
      <c r="D18" s="26"/>
      <c r="F18" s="194">
        <v>-20</v>
      </c>
      <c r="G18" s="561">
        <f>Säädata!Z24</f>
        <v>2.8538812785388126E-3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-12.997912662578962</v>
      </c>
      <c r="M18" s="182">
        <f t="shared" si="5"/>
        <v>21</v>
      </c>
      <c r="N18" s="196">
        <f t="shared" si="13"/>
        <v>7.1951219512195159</v>
      </c>
      <c r="O18" s="197">
        <f t="shared" si="6"/>
        <v>13.248257359548667</v>
      </c>
      <c r="P18" s="32">
        <f t="shared" si="7"/>
        <v>1.0112107623318385</v>
      </c>
      <c r="Q18" s="198">
        <f t="shared" si="8"/>
        <v>0.6632956573468175</v>
      </c>
      <c r="R18" s="199">
        <f t="shared" si="9"/>
        <v>0.67073170731707321</v>
      </c>
      <c r="S18" s="198">
        <f t="shared" si="10"/>
        <v>0.82002428465254551</v>
      </c>
      <c r="T18" s="200">
        <f>S18*$C$8</f>
        <v>0.8292173820141211</v>
      </c>
      <c r="U18" s="108">
        <f t="shared" si="15"/>
        <v>25.625</v>
      </c>
      <c r="V18" s="108">
        <f>(G18-G17)*(N18-F18)*365</f>
        <v>16.996951219512198</v>
      </c>
      <c r="W18" s="203">
        <f>(G18-G17)*(M18-I18)*365</f>
        <v>17.187499999999996</v>
      </c>
      <c r="Y18" s="5">
        <f>$C$7/1000*1.2*1006*(M18-F18)*8760*(G18-G17)/1000</f>
        <v>33.112288800000002</v>
      </c>
      <c r="Z18" s="5">
        <f t="shared" si="12"/>
        <v>22.209462000000002</v>
      </c>
    </row>
    <row r="19" spans="1:26" x14ac:dyDescent="0.1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Säädata!Z25</f>
        <v>5.3652968036529683E-3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-12.168695280564847</v>
      </c>
      <c r="M19" s="182">
        <f t="shared" si="5"/>
        <v>21</v>
      </c>
      <c r="N19" s="196">
        <f t="shared" si="13"/>
        <v>8.1951219512195124</v>
      </c>
      <c r="O19" s="197">
        <f t="shared" si="6"/>
        <v>13.437324253218208</v>
      </c>
      <c r="P19" s="32">
        <f t="shared" si="7"/>
        <v>1.0112107623318385</v>
      </c>
      <c r="Q19" s="198">
        <f t="shared" si="8"/>
        <v>0.67987804878048785</v>
      </c>
      <c r="R19" s="199">
        <f t="shared" si="9"/>
        <v>0.6875</v>
      </c>
      <c r="S19" s="198">
        <f t="shared" si="10"/>
        <v>0.82002428465254551</v>
      </c>
      <c r="T19" s="200">
        <f t="shared" si="14"/>
        <v>0.8292173820141211</v>
      </c>
      <c r="U19" s="108">
        <f t="shared" si="15"/>
        <v>36.666666666666671</v>
      </c>
      <c r="V19" s="108">
        <f t="shared" si="16"/>
        <v>24.92886178861789</v>
      </c>
      <c r="W19" s="203">
        <f t="shared" si="17"/>
        <v>25.208333333333339</v>
      </c>
      <c r="Y19" s="5">
        <f t="shared" si="11"/>
        <v>47.380185600000004</v>
      </c>
      <c r="Z19" s="5">
        <f t="shared" si="12"/>
        <v>32.57387760000001</v>
      </c>
    </row>
    <row r="20" spans="1:26" x14ac:dyDescent="0.15">
      <c r="B20" s="14" t="s">
        <v>268</v>
      </c>
      <c r="C20" s="209">
        <f ca="1">N3</f>
        <v>1.1951219512195159</v>
      </c>
      <c r="D20" s="26" t="s">
        <v>230</v>
      </c>
      <c r="F20" s="194">
        <v>-18</v>
      </c>
      <c r="G20" s="561">
        <f>Säädata!Z26</f>
        <v>7.0776255707762558E-3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-11.339477898550726</v>
      </c>
      <c r="M20" s="182">
        <f t="shared" si="5"/>
        <v>21</v>
      </c>
      <c r="N20" s="196">
        <f t="shared" si="13"/>
        <v>9.1951219512195159</v>
      </c>
      <c r="O20" s="197">
        <f t="shared" si="6"/>
        <v>13.626391146887755</v>
      </c>
      <c r="P20" s="32">
        <f t="shared" si="7"/>
        <v>1.0112107623318385</v>
      </c>
      <c r="Q20" s="198">
        <f t="shared" si="8"/>
        <v>0.69731081926203886</v>
      </c>
      <c r="R20" s="199">
        <f t="shared" si="9"/>
        <v>0.70512820512820518</v>
      </c>
      <c r="S20" s="198">
        <f t="shared" si="10"/>
        <v>0.82002428465254551</v>
      </c>
      <c r="T20" s="200">
        <f t="shared" si="14"/>
        <v>0.8292173820141211</v>
      </c>
      <c r="U20" s="108">
        <f t="shared" si="15"/>
        <v>24.374999999999996</v>
      </c>
      <c r="V20" s="108">
        <f t="shared" si="16"/>
        <v>16.996951219512198</v>
      </c>
      <c r="W20" s="203">
        <f t="shared" si="17"/>
        <v>17.187499999999996</v>
      </c>
      <c r="Y20" s="5">
        <f t="shared" si="11"/>
        <v>31.497055199999998</v>
      </c>
      <c r="Z20" s="5">
        <f t="shared" si="12"/>
        <v>22.209462000000002</v>
      </c>
    </row>
    <row r="21" spans="1:26" x14ac:dyDescent="0.15">
      <c r="F21" s="194">
        <v>-17</v>
      </c>
      <c r="G21" s="561">
        <f>Säädata!Z27</f>
        <v>9.2465753424657536E-3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-10.510260516536601</v>
      </c>
      <c r="M21" s="182">
        <f t="shared" si="5"/>
        <v>21</v>
      </c>
      <c r="N21" s="196">
        <f t="shared" si="13"/>
        <v>10.195121951219516</v>
      </c>
      <c r="O21" s="197">
        <f t="shared" si="6"/>
        <v>13.815458040557299</v>
      </c>
      <c r="P21" s="32">
        <f t="shared" si="7"/>
        <v>1.0112107623318385</v>
      </c>
      <c r="Q21" s="198">
        <f>MIN(R21/P21,(H21-F21)/(M21-F21))</f>
        <v>0.71566110397946092</v>
      </c>
      <c r="R21" s="199">
        <f>(M21-J21)/(M21-F21)</f>
        <v>0.72368421052631582</v>
      </c>
      <c r="S21" s="198">
        <f t="shared" si="10"/>
        <v>0.82002428465254551</v>
      </c>
      <c r="T21" s="200">
        <f t="shared" si="14"/>
        <v>0.8292173820141211</v>
      </c>
      <c r="U21" s="108">
        <f>(G21-G20)*(M21-F21)*365</f>
        <v>30.083333333333336</v>
      </c>
      <c r="V21" s="108">
        <f t="shared" si="16"/>
        <v>21.529471544715449</v>
      </c>
      <c r="W21" s="203">
        <f t="shared" si="17"/>
        <v>21.770833333333332</v>
      </c>
      <c r="Y21" s="5">
        <f t="shared" si="11"/>
        <v>38.873288640000006</v>
      </c>
      <c r="Z21" s="5">
        <f t="shared" si="12"/>
        <v>28.131985200000003</v>
      </c>
    </row>
    <row r="22" spans="1:26" x14ac:dyDescent="0.15">
      <c r="F22" s="194">
        <v>-16</v>
      </c>
      <c r="G22" s="561">
        <f>Säädata!Z28</f>
        <v>1.1872146118721462E-2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-9.6810431345224792</v>
      </c>
      <c r="M22" s="182">
        <f t="shared" si="5"/>
        <v>21</v>
      </c>
      <c r="N22" s="196">
        <f t="shared" si="13"/>
        <v>11.195121951219516</v>
      </c>
      <c r="O22" s="197">
        <f t="shared" si="6"/>
        <v>14.004524934226843</v>
      </c>
      <c r="P22" s="4">
        <f t="shared" si="7"/>
        <v>1.0112107623318385</v>
      </c>
      <c r="Q22" s="198">
        <f t="shared" ref="Q22:Q50" si="22">MIN(R22/P22,(H22-F22)/(M22-F22))</f>
        <v>0.73500329597890579</v>
      </c>
      <c r="R22" s="199">
        <f t="shared" ref="R22:R49" si="23">(M22-J22)/(M22-F22)</f>
        <v>0.7432432432432432</v>
      </c>
      <c r="S22" s="198">
        <f t="shared" si="10"/>
        <v>0.82002428465254551</v>
      </c>
      <c r="T22" s="200">
        <f t="shared" si="14"/>
        <v>0.8292173820141211</v>
      </c>
      <c r="U22" s="108">
        <f t="shared" ref="U22:U50" si="24">(G22-G21)*(M22-F22)*365</f>
        <v>35.458333333333336</v>
      </c>
      <c r="V22" s="108">
        <f>(G22-G21)*(N22-F22)*365</f>
        <v>26.061991869918703</v>
      </c>
      <c r="W22" s="203">
        <f>(G22-G21)*(M22-I22)*365</f>
        <v>26.354166666666668</v>
      </c>
      <c r="Y22" s="5">
        <f t="shared" si="11"/>
        <v>45.818793120000002</v>
      </c>
      <c r="Z22" s="5">
        <f t="shared" si="12"/>
        <v>34.054508400000003</v>
      </c>
    </row>
    <row r="23" spans="1:26" ht="14" thickBot="1" x14ac:dyDescent="0.2">
      <c r="F23" s="194">
        <v>-15</v>
      </c>
      <c r="G23" s="561">
        <f>Säädata!Z29</f>
        <v>1.632420091324201E-2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-8.8518257525083612</v>
      </c>
      <c r="M23" s="182">
        <f t="shared" si="5"/>
        <v>21</v>
      </c>
      <c r="N23" s="196">
        <f t="shared" si="13"/>
        <v>12.195121951219512</v>
      </c>
      <c r="O23" s="197">
        <f t="shared" si="6"/>
        <v>14.193591827896388</v>
      </c>
      <c r="P23" s="4">
        <f t="shared" si="7"/>
        <v>1.0112107623318385</v>
      </c>
      <c r="Q23" s="198">
        <f t="shared" si="22"/>
        <v>0.75542005420054203</v>
      </c>
      <c r="R23" s="199">
        <f t="shared" si="23"/>
        <v>0.76388888888888884</v>
      </c>
      <c r="S23" s="198">
        <f t="shared" si="10"/>
        <v>0.82002428465254551</v>
      </c>
      <c r="T23" s="200">
        <f t="shared" si="14"/>
        <v>0.8292173820141211</v>
      </c>
      <c r="U23" s="108">
        <f t="shared" si="24"/>
        <v>58.500000000000014</v>
      </c>
      <c r="V23" s="108">
        <f t="shared" si="16"/>
        <v>44.192073170731717</v>
      </c>
      <c r="W23" s="203">
        <f t="shared" si="17"/>
        <v>44.687500000000007</v>
      </c>
      <c r="Y23" s="5">
        <f t="shared" si="11"/>
        <v>75.592932480000016</v>
      </c>
      <c r="Z23" s="5">
        <f t="shared" si="12"/>
        <v>57.74460120000002</v>
      </c>
    </row>
    <row r="24" spans="1:26" ht="14" thickBot="1" x14ac:dyDescent="0.2">
      <c r="B24" s="210" t="s">
        <v>269</v>
      </c>
      <c r="C24" s="211"/>
      <c r="D24" s="212">
        <f>MIN(V4*C18/U4,1)</f>
        <v>0.8230703061924951</v>
      </c>
      <c r="F24" s="194">
        <v>-14</v>
      </c>
      <c r="G24" s="561">
        <f>Säädata!Z30</f>
        <v>2.1917808219178082E-2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-8.0226083704942397</v>
      </c>
      <c r="M24" s="182">
        <f t="shared" si="5"/>
        <v>21</v>
      </c>
      <c r="N24" s="196">
        <f t="shared" si="13"/>
        <v>13.195121951219512</v>
      </c>
      <c r="O24" s="197">
        <f t="shared" si="6"/>
        <v>14.382658721565932</v>
      </c>
      <c r="P24" s="4">
        <f t="shared" si="7"/>
        <v>1.0112107623318385</v>
      </c>
      <c r="Q24" s="198">
        <f t="shared" si="22"/>
        <v>0.77700348432055755</v>
      </c>
      <c r="R24" s="199">
        <f t="shared" si="23"/>
        <v>0.7857142857142857</v>
      </c>
      <c r="S24" s="198">
        <f t="shared" si="10"/>
        <v>0.82002428465254551</v>
      </c>
      <c r="T24" s="200">
        <f t="shared" si="14"/>
        <v>0.8292173820141211</v>
      </c>
      <c r="U24" s="108">
        <f>(G24-G23)*(M24-F24)*365</f>
        <v>71.458333333333329</v>
      </c>
      <c r="V24" s="108">
        <f t="shared" si="16"/>
        <v>55.523373983739823</v>
      </c>
      <c r="W24" s="203">
        <f t="shared" si="17"/>
        <v>56.145833333333321</v>
      </c>
      <c r="Y24" s="5">
        <f t="shared" si="11"/>
        <v>92.337520799999979</v>
      </c>
      <c r="Z24" s="5">
        <f t="shared" si="12"/>
        <v>72.550909199999992</v>
      </c>
    </row>
    <row r="25" spans="1:26" x14ac:dyDescent="0.15">
      <c r="F25" s="194">
        <v>-13</v>
      </c>
      <c r="G25" s="561">
        <f>Säädata!Z31</f>
        <v>2.8652968036529679E-2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-7.1933909884801182</v>
      </c>
      <c r="M25" s="182">
        <f t="shared" si="5"/>
        <v>21</v>
      </c>
      <c r="N25" s="196">
        <f t="shared" si="13"/>
        <v>14.195121951219516</v>
      </c>
      <c r="O25" s="197">
        <f t="shared" si="6"/>
        <v>14.571725615235479</v>
      </c>
      <c r="P25" s="4">
        <f t="shared" si="7"/>
        <v>1.0112107623318385</v>
      </c>
      <c r="Q25" s="198">
        <f t="shared" si="22"/>
        <v>0.79985652797704454</v>
      </c>
      <c r="R25" s="199">
        <f t="shared" si="23"/>
        <v>0.80882352941176472</v>
      </c>
      <c r="S25" s="198">
        <f t="shared" si="10"/>
        <v>0.82002428465254551</v>
      </c>
      <c r="T25" s="200">
        <f t="shared" si="14"/>
        <v>0.8292173820141211</v>
      </c>
      <c r="U25" s="108">
        <f t="shared" si="24"/>
        <v>83.583333333333314</v>
      </c>
      <c r="V25" s="108">
        <f t="shared" si="16"/>
        <v>66.854674796747972</v>
      </c>
      <c r="W25" s="203">
        <f t="shared" si="17"/>
        <v>67.604166666666657</v>
      </c>
      <c r="Y25" s="5">
        <f t="shared" si="11"/>
        <v>108.00528671999999</v>
      </c>
      <c r="Z25" s="5">
        <f t="shared" si="12"/>
        <v>87.357217199999994</v>
      </c>
    </row>
    <row r="26" spans="1:26" x14ac:dyDescent="0.15">
      <c r="F26" s="194">
        <v>-12</v>
      </c>
      <c r="G26" s="561">
        <f>Säädata!Z32</f>
        <v>3.4589041095890408E-2</v>
      </c>
      <c r="H26" s="194">
        <f t="shared" si="18"/>
        <v>21</v>
      </c>
      <c r="I26" s="195">
        <f t="shared" si="21"/>
        <v>-6.3641736064659966</v>
      </c>
      <c r="J26" s="196">
        <f t="shared" si="2"/>
        <v>-6.3641736064659966</v>
      </c>
      <c r="K26" s="196">
        <f t="shared" si="19"/>
        <v>-6.3641736064659966</v>
      </c>
      <c r="L26" s="196">
        <f t="shared" si="20"/>
        <v>-6.3641736064659966</v>
      </c>
      <c r="M26" s="182">
        <f t="shared" si="5"/>
        <v>21</v>
      </c>
      <c r="N26" s="196">
        <f t="shared" si="13"/>
        <v>15.060801393534003</v>
      </c>
      <c r="O26" s="197">
        <f t="shared" si="6"/>
        <v>14.760792508905023</v>
      </c>
      <c r="P26" s="4">
        <f t="shared" si="7"/>
        <v>1.0112107623318385</v>
      </c>
      <c r="Q26" s="198">
        <f t="shared" si="22"/>
        <v>0.82002428465254551</v>
      </c>
      <c r="R26" s="199">
        <f t="shared" si="23"/>
        <v>0.8292173820141211</v>
      </c>
      <c r="S26" s="198">
        <f t="shared" si="10"/>
        <v>0.82002428465254551</v>
      </c>
      <c r="T26" s="200">
        <f t="shared" si="14"/>
        <v>0.8292173820141211</v>
      </c>
      <c r="U26" s="108">
        <f t="shared" si="24"/>
        <v>71.499999999999972</v>
      </c>
      <c r="V26" s="108">
        <f t="shared" si="16"/>
        <v>58.631736352656986</v>
      </c>
      <c r="W26" s="203">
        <f t="shared" si="17"/>
        <v>59.289042814009633</v>
      </c>
      <c r="Y26" s="5">
        <f t="shared" si="11"/>
        <v>92.391361919999966</v>
      </c>
      <c r="Z26" s="5">
        <f t="shared" si="12"/>
        <v>76.612523252021532</v>
      </c>
    </row>
    <row r="27" spans="1:26" x14ac:dyDescent="0.15">
      <c r="F27" s="194">
        <v>-11</v>
      </c>
      <c r="G27" s="561">
        <f>Säädata!Z33</f>
        <v>4.0639269406392696E-2</v>
      </c>
      <c r="H27" s="194">
        <f t="shared" si="18"/>
        <v>21</v>
      </c>
      <c r="I27" s="195">
        <f t="shared" si="21"/>
        <v>-5.5349562244518751</v>
      </c>
      <c r="J27" s="196">
        <f t="shared" si="2"/>
        <v>-5.5349562244518751</v>
      </c>
      <c r="K27" s="196">
        <f t="shared" si="19"/>
        <v>-5.5349562244518751</v>
      </c>
      <c r="L27" s="196">
        <f t="shared" si="20"/>
        <v>-5.5349562244518751</v>
      </c>
      <c r="M27" s="182">
        <f t="shared" si="5"/>
        <v>21</v>
      </c>
      <c r="N27" s="196">
        <f t="shared" si="13"/>
        <v>15.240777108881456</v>
      </c>
      <c r="O27" s="197">
        <f t="shared" si="6"/>
        <v>14.949859402574567</v>
      </c>
      <c r="P27" s="4">
        <f t="shared" si="7"/>
        <v>1.0112107623318385</v>
      </c>
      <c r="Q27" s="198">
        <f t="shared" si="22"/>
        <v>0.82002428465254551</v>
      </c>
      <c r="R27" s="199">
        <f t="shared" si="23"/>
        <v>0.8292173820141211</v>
      </c>
      <c r="S27" s="198">
        <f t="shared" si="10"/>
        <v>0.82002428465254551</v>
      </c>
      <c r="T27" s="200">
        <f t="shared" si="14"/>
        <v>0.8292173820141211</v>
      </c>
      <c r="U27" s="108">
        <f t="shared" si="24"/>
        <v>70.666666666666728</v>
      </c>
      <c r="V27" s="108">
        <f t="shared" si="16"/>
        <v>57.948382782113271</v>
      </c>
      <c r="W27" s="203">
        <f t="shared" si="17"/>
        <v>58.598028328997941</v>
      </c>
      <c r="Y27" s="5">
        <f t="shared" si="11"/>
        <v>91.314539520000082</v>
      </c>
      <c r="Z27" s="5">
        <f t="shared" si="12"/>
        <v>75.719603400599468</v>
      </c>
    </row>
    <row r="28" spans="1:26" x14ac:dyDescent="0.15">
      <c r="F28" s="194">
        <v>-10</v>
      </c>
      <c r="G28" s="561">
        <f>Säädata!Z34</f>
        <v>4.6575342465753428E-2</v>
      </c>
      <c r="H28" s="194">
        <f t="shared" si="18"/>
        <v>21</v>
      </c>
      <c r="I28" s="195">
        <f t="shared" si="21"/>
        <v>-4.7057388424377535</v>
      </c>
      <c r="J28" s="196">
        <f t="shared" si="2"/>
        <v>-4.7057388424377535</v>
      </c>
      <c r="K28" s="196">
        <f t="shared" si="19"/>
        <v>-4.7057388424377535</v>
      </c>
      <c r="L28" s="196">
        <f t="shared" si="20"/>
        <v>-4.7057388424377535</v>
      </c>
      <c r="M28" s="182">
        <f t="shared" si="5"/>
        <v>21</v>
      </c>
      <c r="N28" s="196">
        <f t="shared" si="13"/>
        <v>15.420752824228909</v>
      </c>
      <c r="O28" s="197">
        <f t="shared" si="6"/>
        <v>15.138926296244112</v>
      </c>
      <c r="P28" s="4">
        <f t="shared" si="7"/>
        <v>1.0112107623318385</v>
      </c>
      <c r="Q28" s="198">
        <f t="shared" si="22"/>
        <v>0.82002428465254551</v>
      </c>
      <c r="R28" s="199">
        <f t="shared" si="23"/>
        <v>0.8292173820141211</v>
      </c>
      <c r="S28" s="198">
        <f t="shared" si="10"/>
        <v>0.82002428465254551</v>
      </c>
      <c r="T28" s="200">
        <f t="shared" si="14"/>
        <v>0.8292173820141211</v>
      </c>
      <c r="U28" s="108">
        <f t="shared" si="24"/>
        <v>67.166666666666686</v>
      </c>
      <c r="V28" s="108">
        <f t="shared" si="16"/>
        <v>55.078297785829314</v>
      </c>
      <c r="W28" s="203">
        <f t="shared" si="17"/>
        <v>55.695767491948473</v>
      </c>
      <c r="Y28" s="5">
        <f t="shared" si="11"/>
        <v>86.791885440000001</v>
      </c>
      <c r="Z28" s="5">
        <f t="shared" si="12"/>
        <v>71.969340024626334</v>
      </c>
    </row>
    <row r="29" spans="1:26" x14ac:dyDescent="0.15">
      <c r="F29" s="194">
        <v>-9</v>
      </c>
      <c r="G29" s="561">
        <f>Säädata!Z35</f>
        <v>5.4680365296803653E-2</v>
      </c>
      <c r="H29" s="194">
        <f t="shared" si="18"/>
        <v>21</v>
      </c>
      <c r="I29" s="195">
        <f t="shared" si="21"/>
        <v>-3.876521460423632</v>
      </c>
      <c r="J29" s="196">
        <f t="shared" si="2"/>
        <v>-3.876521460423632</v>
      </c>
      <c r="K29" s="196">
        <f t="shared" si="19"/>
        <v>-3.876521460423632</v>
      </c>
      <c r="L29" s="196">
        <f t="shared" si="20"/>
        <v>-3.876521460423632</v>
      </c>
      <c r="M29" s="182">
        <f t="shared" si="5"/>
        <v>21</v>
      </c>
      <c r="N29" s="196">
        <f>MIN(F29+R29/P29*(M29-F29),H29)</f>
        <v>15.600728539576366</v>
      </c>
      <c r="O29" s="197">
        <f>F29+S29/P29*(M29-F29)</f>
        <v>15.327993189913656</v>
      </c>
      <c r="P29" s="4">
        <f t="shared" si="7"/>
        <v>1.0112107623318385</v>
      </c>
      <c r="Q29" s="198">
        <f t="shared" si="22"/>
        <v>0.82002428465254551</v>
      </c>
      <c r="R29" s="199">
        <f t="shared" si="23"/>
        <v>0.8292173820141211</v>
      </c>
      <c r="S29" s="198">
        <f t="shared" si="10"/>
        <v>0.82002428465254551</v>
      </c>
      <c r="T29" s="200">
        <f t="shared" si="14"/>
        <v>0.8292173820141211</v>
      </c>
      <c r="U29" s="108">
        <f t="shared" si="24"/>
        <v>88.749999999999972</v>
      </c>
      <c r="V29" s="108">
        <f t="shared" si="16"/>
        <v>72.777155262913396</v>
      </c>
      <c r="W29" s="203">
        <f t="shared" si="17"/>
        <v>73.593042653753216</v>
      </c>
      <c r="Y29" s="5">
        <f t="shared" si="11"/>
        <v>114.68158559999993</v>
      </c>
      <c r="Z29" s="5">
        <f t="shared" si="12"/>
        <v>95.095964176460299</v>
      </c>
    </row>
    <row r="30" spans="1:26" x14ac:dyDescent="0.15">
      <c r="F30" s="194">
        <v>-8</v>
      </c>
      <c r="G30" s="561">
        <f>Säädata!Z36</f>
        <v>6.3356164383561647E-2</v>
      </c>
      <c r="H30" s="194">
        <f t="shared" si="18"/>
        <v>21</v>
      </c>
      <c r="I30" s="195">
        <f t="shared" si="21"/>
        <v>-3.0473040784095105</v>
      </c>
      <c r="J30" s="196">
        <f t="shared" si="2"/>
        <v>-3.0473040784095105</v>
      </c>
      <c r="K30" s="196">
        <f t="shared" si="19"/>
        <v>-3.0473040784095105</v>
      </c>
      <c r="L30" s="196">
        <f t="shared" si="20"/>
        <v>-3.0473040784095105</v>
      </c>
      <c r="M30" s="182">
        <f t="shared" si="5"/>
        <v>21</v>
      </c>
      <c r="N30" s="196">
        <f t="shared" si="13"/>
        <v>15.780704254923819</v>
      </c>
      <c r="O30" s="197">
        <f t="shared" ref="O30:O50" si="25">F30+S30/P30*(M30-F30)</f>
        <v>15.517060083583203</v>
      </c>
      <c r="P30" s="4">
        <f t="shared" si="7"/>
        <v>1.0112107623318385</v>
      </c>
      <c r="Q30" s="198">
        <f t="shared" si="22"/>
        <v>0.82002428465254551</v>
      </c>
      <c r="R30" s="199">
        <f t="shared" si="23"/>
        <v>0.8292173820141211</v>
      </c>
      <c r="S30" s="198">
        <f t="shared" si="10"/>
        <v>0.82002428465254551</v>
      </c>
      <c r="T30" s="200">
        <f t="shared" si="14"/>
        <v>0.8292173820141211</v>
      </c>
      <c r="U30" s="108">
        <f t="shared" si="24"/>
        <v>91.833333333333371</v>
      </c>
      <c r="V30" s="108">
        <f t="shared" si="16"/>
        <v>75.30556347392546</v>
      </c>
      <c r="W30" s="203">
        <f t="shared" si="17"/>
        <v>76.149796248296809</v>
      </c>
      <c r="Y30" s="5">
        <f t="shared" si="11"/>
        <v>118.66582848000006</v>
      </c>
      <c r="Z30" s="5">
        <f t="shared" si="12"/>
        <v>98.39976762672238</v>
      </c>
    </row>
    <row r="31" spans="1:26" x14ac:dyDescent="0.15">
      <c r="B31" s="23" t="s">
        <v>1291</v>
      </c>
      <c r="C31" s="22"/>
      <c r="D31" s="21"/>
      <c r="F31" s="194">
        <v>-7</v>
      </c>
      <c r="G31" s="561">
        <f>Säädata!Z37</f>
        <v>7.4999999999999997E-2</v>
      </c>
      <c r="H31" s="194">
        <f t="shared" si="18"/>
        <v>21</v>
      </c>
      <c r="I31" s="195">
        <f t="shared" si="21"/>
        <v>-2.2180866963953889</v>
      </c>
      <c r="J31" s="196">
        <f t="shared" si="2"/>
        <v>-2.2180866963953889</v>
      </c>
      <c r="K31" s="196">
        <f t="shared" si="19"/>
        <v>-2.2180866963953889</v>
      </c>
      <c r="L31" s="196">
        <f t="shared" si="20"/>
        <v>-2.2180866963953889</v>
      </c>
      <c r="M31" s="182">
        <f t="shared" si="5"/>
        <v>21</v>
      </c>
      <c r="N31" s="196">
        <f t="shared" si="13"/>
        <v>15.960679970271272</v>
      </c>
      <c r="O31" s="197">
        <f t="shared" si="25"/>
        <v>15.706126977252747</v>
      </c>
      <c r="P31" s="4">
        <f t="shared" si="7"/>
        <v>1.0112107623318385</v>
      </c>
      <c r="Q31" s="198">
        <f>MIN(R31/P31,(H31-F31)/(M31-F31))</f>
        <v>0.8200242846525454</v>
      </c>
      <c r="R31" s="199">
        <f t="shared" si="23"/>
        <v>0.82921738201412099</v>
      </c>
      <c r="S31" s="198">
        <f t="shared" si="10"/>
        <v>0.82002428465254551</v>
      </c>
      <c r="T31" s="200">
        <f t="shared" si="14"/>
        <v>0.8292173820141211</v>
      </c>
      <c r="U31" s="108">
        <f t="shared" si="24"/>
        <v>118.99999999999994</v>
      </c>
      <c r="V31" s="108">
        <f t="shared" si="16"/>
        <v>97.582889873652846</v>
      </c>
      <c r="W31" s="203">
        <f t="shared" si="17"/>
        <v>98.67686845968035</v>
      </c>
      <c r="Y31" s="5">
        <f t="shared" si="11"/>
        <v>153.7702387199999</v>
      </c>
      <c r="Z31" s="5">
        <f t="shared" si="12"/>
        <v>127.50895478308476</v>
      </c>
    </row>
    <row r="32" spans="1:26" x14ac:dyDescent="0.15">
      <c r="B32" s="12" t="str" cm="1">
        <f t="array" ref="B32">INDEX(Kirjasto!D4:K200,148,Kirjasto!B4)</f>
        <v>Ei rajoitusta</v>
      </c>
      <c r="D32" s="24"/>
      <c r="F32" s="194">
        <v>-6</v>
      </c>
      <c r="G32" s="561">
        <f>Säädata!Z38</f>
        <v>8.8470319634703198E-2</v>
      </c>
      <c r="H32" s="194">
        <f t="shared" si="18"/>
        <v>21</v>
      </c>
      <c r="I32" s="195">
        <f t="shared" si="21"/>
        <v>-1.3888693143812709</v>
      </c>
      <c r="J32" s="196">
        <f t="shared" si="2"/>
        <v>-1.3888693143812709</v>
      </c>
      <c r="K32" s="196">
        <f t="shared" si="19"/>
        <v>-1.3888693143812709</v>
      </c>
      <c r="L32" s="196">
        <f t="shared" si="20"/>
        <v>-1.3888693143812709</v>
      </c>
      <c r="M32" s="182">
        <f t="shared" si="5"/>
        <v>21</v>
      </c>
      <c r="N32" s="196">
        <f t="shared" si="13"/>
        <v>16.140655685618729</v>
      </c>
      <c r="O32" s="197">
        <f t="shared" si="25"/>
        <v>15.895193870922292</v>
      </c>
      <c r="P32" s="4">
        <f t="shared" si="7"/>
        <v>1.0112107623318385</v>
      </c>
      <c r="Q32" s="198">
        <f t="shared" si="22"/>
        <v>0.82002428465254551</v>
      </c>
      <c r="R32" s="199">
        <f t="shared" si="23"/>
        <v>0.8292173820141211</v>
      </c>
      <c r="S32" s="198">
        <f t="shared" si="10"/>
        <v>0.82002428465254551</v>
      </c>
      <c r="T32" s="200">
        <f t="shared" si="14"/>
        <v>0.8292173820141211</v>
      </c>
      <c r="U32" s="108">
        <f t="shared" si="24"/>
        <v>132.75000000000006</v>
      </c>
      <c r="V32" s="108">
        <f t="shared" si="16"/>
        <v>108.85822378762546</v>
      </c>
      <c r="W32" s="203">
        <f t="shared" si="17"/>
        <v>110.07860746237462</v>
      </c>
      <c r="Y32" s="5">
        <f t="shared" si="11"/>
        <v>171.53780832000004</v>
      </c>
      <c r="Z32" s="5">
        <f t="shared" si="12"/>
        <v>142.24213233155058</v>
      </c>
    </row>
    <row r="33" spans="2:26" x14ac:dyDescent="0.15">
      <c r="B33" s="12" t="str" cm="1">
        <f t="array" ref="B33">INDEX(Kirjasto!D4:K200,147,Kirjasto!B4)</f>
        <v>Rajoitettu</v>
      </c>
      <c r="D33" s="24"/>
      <c r="F33" s="194">
        <v>-5</v>
      </c>
      <c r="G33" s="561">
        <f>Säädata!Z39</f>
        <v>0.10547945205479452</v>
      </c>
      <c r="H33" s="194">
        <f t="shared" si="18"/>
        <v>21</v>
      </c>
      <c r="I33" s="195">
        <f t="shared" si="21"/>
        <v>-0.55965193236714939</v>
      </c>
      <c r="J33" s="196">
        <f t="shared" si="2"/>
        <v>-0.55965193236714939</v>
      </c>
      <c r="K33" s="196">
        <f t="shared" si="19"/>
        <v>-0.55965193236714939</v>
      </c>
      <c r="L33" s="196">
        <f t="shared" si="20"/>
        <v>-0.55965193236714939</v>
      </c>
      <c r="M33" s="182">
        <f t="shared" si="5"/>
        <v>21</v>
      </c>
      <c r="N33" s="196">
        <f t="shared" si="13"/>
        <v>16.320631400966182</v>
      </c>
      <c r="O33" s="197">
        <f t="shared" si="25"/>
        <v>16.084260764591836</v>
      </c>
      <c r="P33" s="4">
        <f t="shared" si="7"/>
        <v>1.0112107623318385</v>
      </c>
      <c r="Q33" s="198">
        <f t="shared" si="22"/>
        <v>0.82002428465254551</v>
      </c>
      <c r="R33" s="199">
        <f t="shared" si="23"/>
        <v>0.8292173820141211</v>
      </c>
      <c r="S33" s="198">
        <f t="shared" si="10"/>
        <v>0.82002428465254551</v>
      </c>
      <c r="T33" s="200">
        <f t="shared" si="14"/>
        <v>0.8292173820141211</v>
      </c>
      <c r="U33" s="108">
        <f t="shared" si="24"/>
        <v>161.41666666666663</v>
      </c>
      <c r="V33" s="108">
        <f t="shared" si="16"/>
        <v>132.36558661433168</v>
      </c>
      <c r="W33" s="203">
        <f t="shared" si="17"/>
        <v>133.84950574677936</v>
      </c>
      <c r="Y33" s="5">
        <f t="shared" si="11"/>
        <v>208.58049887999991</v>
      </c>
      <c r="Z33" s="5">
        <f t="shared" si="12"/>
        <v>172.95857522047291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61">
        <f>Säädata!Z40</f>
        <v>0.12888127853881279</v>
      </c>
      <c r="H34" s="194">
        <f t="shared" si="18"/>
        <v>21</v>
      </c>
      <c r="I34" s="195">
        <f t="shared" si="21"/>
        <v>0.26956544964697216</v>
      </c>
      <c r="J34" s="196">
        <f t="shared" si="2"/>
        <v>0.26956544964697216</v>
      </c>
      <c r="K34" s="196">
        <f t="shared" si="19"/>
        <v>0.26956544964697216</v>
      </c>
      <c r="L34" s="196">
        <f t="shared" si="20"/>
        <v>0.26956544964697216</v>
      </c>
      <c r="M34" s="182">
        <f t="shared" si="5"/>
        <v>21</v>
      </c>
      <c r="N34" s="196">
        <f t="shared" si="13"/>
        <v>16.500607116313638</v>
      </c>
      <c r="O34" s="197">
        <f t="shared" si="25"/>
        <v>16.27332765826138</v>
      </c>
      <c r="P34" s="4">
        <f t="shared" si="7"/>
        <v>1.0112107623318385</v>
      </c>
      <c r="Q34" s="198">
        <f t="shared" si="22"/>
        <v>0.82002428465254551</v>
      </c>
      <c r="R34" s="199">
        <f t="shared" si="23"/>
        <v>0.8292173820141211</v>
      </c>
      <c r="S34" s="198">
        <f t="shared" si="10"/>
        <v>0.82002428465254551</v>
      </c>
      <c r="T34" s="200">
        <f t="shared" si="14"/>
        <v>0.8292173820141211</v>
      </c>
      <c r="U34" s="108">
        <f t="shared" si="24"/>
        <v>213.54166666666671</v>
      </c>
      <c r="V34" s="108">
        <f t="shared" si="16"/>
        <v>175.10935245184572</v>
      </c>
      <c r="W34" s="203">
        <f t="shared" si="17"/>
        <v>177.0724617842655</v>
      </c>
      <c r="Y34" s="5">
        <f t="shared" si="11"/>
        <v>275.93574000000007</v>
      </c>
      <c r="Z34" s="5">
        <f t="shared" si="12"/>
        <v>228.81071192692923</v>
      </c>
    </row>
    <row r="35" spans="2:26" x14ac:dyDescent="0.15">
      <c r="B35" s="12"/>
      <c r="C35" s="630" t="str" cm="1">
        <f t="array" ref="C35">INDEX(B32:B33,C34)</f>
        <v>Ei rajoitusta</v>
      </c>
      <c r="D35" s="24"/>
      <c r="F35" s="194">
        <v>-3</v>
      </c>
      <c r="G35" s="561">
        <f>Säädata!Z41</f>
        <v>0.15570776255707763</v>
      </c>
      <c r="H35" s="194">
        <f t="shared" si="18"/>
        <v>21</v>
      </c>
      <c r="I35" s="195">
        <f t="shared" si="21"/>
        <v>1.0987828316610937</v>
      </c>
      <c r="J35" s="196">
        <f t="shared" si="2"/>
        <v>1.0987828316610937</v>
      </c>
      <c r="K35" s="196">
        <f t="shared" si="19"/>
        <v>1.0987828316610937</v>
      </c>
      <c r="L35" s="196">
        <f t="shared" si="20"/>
        <v>1.0987828316610937</v>
      </c>
      <c r="M35" s="182">
        <f t="shared" si="5"/>
        <v>21</v>
      </c>
      <c r="N35" s="196">
        <f t="shared" si="13"/>
        <v>16.680582831661091</v>
      </c>
      <c r="O35" s="197">
        <f t="shared" si="25"/>
        <v>16.462394551930927</v>
      </c>
      <c r="P35" s="4">
        <f t="shared" si="7"/>
        <v>1.0112107623318385</v>
      </c>
      <c r="Q35" s="198">
        <f>MIN(R35/P35,(H35-F35)/(M35-F35))</f>
        <v>0.82002428465254551</v>
      </c>
      <c r="R35" s="199">
        <f t="shared" si="23"/>
        <v>0.8292173820141211</v>
      </c>
      <c r="S35" s="198">
        <f t="shared" si="10"/>
        <v>0.82002428465254551</v>
      </c>
      <c r="T35" s="200">
        <f t="shared" si="14"/>
        <v>0.8292173820141211</v>
      </c>
      <c r="U35" s="108">
        <f t="shared" si="24"/>
        <v>235.00000000000006</v>
      </c>
      <c r="V35" s="108">
        <f t="shared" si="16"/>
        <v>192.70570689334824</v>
      </c>
      <c r="W35" s="203">
        <f t="shared" si="17"/>
        <v>194.86608477331851</v>
      </c>
      <c r="Y35" s="5">
        <f t="shared" si="11"/>
        <v>303.66391680000004</v>
      </c>
      <c r="Z35" s="5">
        <f t="shared" si="12"/>
        <v>251.80339810104994</v>
      </c>
    </row>
    <row r="36" spans="2:26" x14ac:dyDescent="0.15">
      <c r="B36" s="12"/>
      <c r="D36" s="24"/>
      <c r="F36" s="194">
        <v>-2</v>
      </c>
      <c r="G36" s="561">
        <f>Säädata!Z42</f>
        <v>0.18424657534246575</v>
      </c>
      <c r="H36" s="194">
        <f t="shared" si="18"/>
        <v>21</v>
      </c>
      <c r="I36" s="195">
        <f t="shared" si="21"/>
        <v>1.9280002136752152</v>
      </c>
      <c r="J36" s="196">
        <f t="shared" si="2"/>
        <v>1.9280002136752152</v>
      </c>
      <c r="K36" s="196">
        <f t="shared" si="19"/>
        <v>1.9280002136752152</v>
      </c>
      <c r="L36" s="196">
        <f t="shared" si="20"/>
        <v>1.9280002136752152</v>
      </c>
      <c r="M36" s="182">
        <f t="shared" si="5"/>
        <v>21</v>
      </c>
      <c r="N36" s="196">
        <f t="shared" si="13"/>
        <v>16.860558547008548</v>
      </c>
      <c r="O36" s="197">
        <f t="shared" si="25"/>
        <v>16.651461445600471</v>
      </c>
      <c r="P36" s="4">
        <f t="shared" si="7"/>
        <v>1.0112107623318385</v>
      </c>
      <c r="Q36" s="198">
        <f t="shared" si="22"/>
        <v>0.82002428465254551</v>
      </c>
      <c r="R36" s="199">
        <f t="shared" si="23"/>
        <v>0.8292173820141211</v>
      </c>
      <c r="S36" s="198">
        <f t="shared" si="10"/>
        <v>0.82002428465254551</v>
      </c>
      <c r="T36" s="200">
        <f t="shared" si="14"/>
        <v>0.8292173820141211</v>
      </c>
      <c r="U36" s="108">
        <f t="shared" si="24"/>
        <v>239.58333333333323</v>
      </c>
      <c r="V36" s="108">
        <f t="shared" si="16"/>
        <v>196.46415153133896</v>
      </c>
      <c r="W36" s="203">
        <f t="shared" si="17"/>
        <v>198.66666444088307</v>
      </c>
      <c r="Y36" s="5">
        <f t="shared" si="11"/>
        <v>309.58643999999981</v>
      </c>
      <c r="Z36" s="5">
        <f t="shared" si="12"/>
        <v>256.7144572838717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61">
        <f>Säädata!Z43</f>
        <v>0.20924657534246574</v>
      </c>
      <c r="H37" s="194">
        <f t="shared" si="18"/>
        <v>21</v>
      </c>
      <c r="I37" s="195">
        <f t="shared" si="21"/>
        <v>2.7572175956893368</v>
      </c>
      <c r="J37" s="196">
        <f t="shared" si="2"/>
        <v>2.7572175956893368</v>
      </c>
      <c r="K37" s="196">
        <f t="shared" si="19"/>
        <v>2.7572175956893368</v>
      </c>
      <c r="L37" s="196">
        <f t="shared" si="20"/>
        <v>2.7572175956893368</v>
      </c>
      <c r="M37" s="182">
        <f t="shared" si="5"/>
        <v>21</v>
      </c>
      <c r="N37" s="196">
        <f t="shared" si="13"/>
        <v>17.040534262356001</v>
      </c>
      <c r="O37" s="197">
        <f t="shared" si="25"/>
        <v>16.840528339270016</v>
      </c>
      <c r="P37" s="4">
        <f t="shared" si="7"/>
        <v>1.0112107623318385</v>
      </c>
      <c r="Q37" s="198">
        <f t="shared" si="22"/>
        <v>0.82002428465254551</v>
      </c>
      <c r="R37" s="199">
        <f t="shared" si="23"/>
        <v>0.8292173820141211</v>
      </c>
      <c r="S37" s="198">
        <f t="shared" si="10"/>
        <v>0.82002428465254551</v>
      </c>
      <c r="T37" s="200">
        <f t="shared" si="14"/>
        <v>0.8292173820141211</v>
      </c>
      <c r="U37" s="108">
        <f t="shared" si="24"/>
        <v>200.74999999999994</v>
      </c>
      <c r="V37" s="108">
        <f t="shared" si="16"/>
        <v>164.61987514399846</v>
      </c>
      <c r="W37" s="203">
        <f t="shared" si="17"/>
        <v>166.46538943933479</v>
      </c>
      <c r="Y37" s="5">
        <f t="shared" si="11"/>
        <v>259.40651615999991</v>
      </c>
      <c r="Z37" s="5">
        <f t="shared" si="12"/>
        <v>215.10439220759895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61">
        <f>Säädata!Z44</f>
        <v>0.24920091324200913</v>
      </c>
      <c r="H38" s="194">
        <f t="shared" si="18"/>
        <v>21</v>
      </c>
      <c r="I38" s="195">
        <f t="shared" si="21"/>
        <v>3.5864349777034583</v>
      </c>
      <c r="J38" s="196">
        <f t="shared" si="2"/>
        <v>3.5864349777034583</v>
      </c>
      <c r="K38" s="196">
        <f t="shared" si="19"/>
        <v>3.5864349777034583</v>
      </c>
      <c r="L38" s="196">
        <f t="shared" si="20"/>
        <v>3.5864349777034583</v>
      </c>
      <c r="M38" s="182">
        <f t="shared" si="5"/>
        <v>21</v>
      </c>
      <c r="N38" s="196">
        <f t="shared" si="13"/>
        <v>17.220509977703454</v>
      </c>
      <c r="O38" s="197">
        <f t="shared" si="25"/>
        <v>17.02959523293956</v>
      </c>
      <c r="P38" s="4">
        <f t="shared" si="7"/>
        <v>1.0112107623318385</v>
      </c>
      <c r="Q38" s="198">
        <f t="shared" si="22"/>
        <v>0.8200242846525454</v>
      </c>
      <c r="R38" s="199">
        <f t="shared" si="23"/>
        <v>0.82921738201412099</v>
      </c>
      <c r="S38" s="198">
        <f t="shared" si="10"/>
        <v>0.82002428465254551</v>
      </c>
      <c r="T38" s="200">
        <f t="shared" si="14"/>
        <v>0.8292173820141211</v>
      </c>
      <c r="U38" s="108">
        <f t="shared" si="24"/>
        <v>306.25000000000011</v>
      </c>
      <c r="V38" s="108">
        <f t="shared" si="16"/>
        <v>251.13243717484212</v>
      </c>
      <c r="W38" s="203">
        <f t="shared" si="17"/>
        <v>253.94782324182464</v>
      </c>
      <c r="Y38" s="5">
        <f t="shared" si="11"/>
        <v>395.73223200000007</v>
      </c>
      <c r="Z38" s="5">
        <f t="shared" si="12"/>
        <v>328.14804539764486</v>
      </c>
    </row>
    <row r="39" spans="2:26" x14ac:dyDescent="0.15">
      <c r="B39" s="12"/>
      <c r="D39" s="24"/>
      <c r="F39" s="194">
        <v>1</v>
      </c>
      <c r="G39" s="561">
        <f>Säädata!Z45</f>
        <v>0.30993150684931509</v>
      </c>
      <c r="H39" s="194">
        <f t="shared" si="18"/>
        <v>21</v>
      </c>
      <c r="I39" s="195">
        <f t="shared" si="21"/>
        <v>4.4156523597175763</v>
      </c>
      <c r="J39" s="196">
        <f t="shared" si="2"/>
        <v>4.4156523597175763</v>
      </c>
      <c r="K39" s="196">
        <f t="shared" si="19"/>
        <v>4.4156523597175763</v>
      </c>
      <c r="L39" s="196">
        <f t="shared" si="20"/>
        <v>4.4156523597175763</v>
      </c>
      <c r="M39" s="182">
        <f t="shared" si="5"/>
        <v>21</v>
      </c>
      <c r="N39" s="196">
        <f t="shared" si="13"/>
        <v>17.400485693050911</v>
      </c>
      <c r="O39" s="197">
        <f t="shared" si="25"/>
        <v>17.218662126609104</v>
      </c>
      <c r="P39" s="4">
        <f t="shared" si="7"/>
        <v>1.0112107623318385</v>
      </c>
      <c r="Q39" s="198">
        <f t="shared" si="22"/>
        <v>0.82002428465254562</v>
      </c>
      <c r="R39" s="199">
        <f t="shared" si="23"/>
        <v>0.82921738201412121</v>
      </c>
      <c r="S39" s="198">
        <f t="shared" si="10"/>
        <v>0.82002428465254551</v>
      </c>
      <c r="T39" s="200">
        <f t="shared" si="14"/>
        <v>0.8292173820141211</v>
      </c>
      <c r="U39" s="108">
        <f t="shared" si="24"/>
        <v>443.33333333333343</v>
      </c>
      <c r="V39" s="108">
        <f t="shared" si="16"/>
        <v>363.54409952929529</v>
      </c>
      <c r="W39" s="203">
        <f t="shared" si="17"/>
        <v>367.61970602626047</v>
      </c>
      <c r="Y39" s="5">
        <f t="shared" si="11"/>
        <v>572.86951680000016</v>
      </c>
      <c r="Z39" s="5">
        <f t="shared" si="12"/>
        <v>475.0333609565908</v>
      </c>
    </row>
    <row r="40" spans="2:26" x14ac:dyDescent="0.15">
      <c r="B40" s="12" t="s">
        <v>228</v>
      </c>
      <c r="C40" s="5">
        <f>'R-series'!T26</f>
        <v>21</v>
      </c>
      <c r="D40" s="24"/>
      <c r="F40" s="194">
        <v>2</v>
      </c>
      <c r="G40" s="561">
        <f>Säädata!Z46</f>
        <v>0.36917808219178083</v>
      </c>
      <c r="H40" s="194">
        <f t="shared" si="18"/>
        <v>21</v>
      </c>
      <c r="I40" s="195">
        <f t="shared" si="21"/>
        <v>5.2448697417316996</v>
      </c>
      <c r="J40" s="196">
        <f t="shared" si="2"/>
        <v>5.2448697417316996</v>
      </c>
      <c r="K40" s="196">
        <f t="shared" si="19"/>
        <v>5.2448697417316996</v>
      </c>
      <c r="L40" s="196">
        <f t="shared" si="20"/>
        <v>5.2448697417316996</v>
      </c>
      <c r="M40" s="182">
        <f t="shared" si="5"/>
        <v>21</v>
      </c>
      <c r="N40" s="196">
        <f t="shared" si="13"/>
        <v>17.580461408398364</v>
      </c>
      <c r="O40" s="197">
        <f t="shared" si="25"/>
        <v>17.407729020278651</v>
      </c>
      <c r="P40" s="4">
        <f t="shared" si="7"/>
        <v>1.0112107623318385</v>
      </c>
      <c r="Q40" s="198">
        <f>MIN(R40/P40,(H40-F40)/(M40-F40))</f>
        <v>0.82002428465254551</v>
      </c>
      <c r="R40" s="199">
        <f t="shared" si="23"/>
        <v>0.8292173820141211</v>
      </c>
      <c r="S40" s="198">
        <f t="shared" si="10"/>
        <v>0.82002428465254551</v>
      </c>
      <c r="T40" s="200">
        <f t="shared" si="14"/>
        <v>0.8292173820141211</v>
      </c>
      <c r="U40" s="108">
        <f t="shared" si="24"/>
        <v>410.87499999999994</v>
      </c>
      <c r="V40" s="108">
        <f t="shared" si="16"/>
        <v>336.92747795661461</v>
      </c>
      <c r="W40" s="203">
        <f t="shared" si="17"/>
        <v>340.70469183505196</v>
      </c>
      <c r="Y40" s="5">
        <f t="shared" si="11"/>
        <v>530.92728432000001</v>
      </c>
      <c r="Z40" s="5">
        <f t="shared" si="12"/>
        <v>440.25413274369726</v>
      </c>
    </row>
    <row r="41" spans="2:26" x14ac:dyDescent="0.15">
      <c r="B41" s="12" t="s">
        <v>1290</v>
      </c>
      <c r="C41" s="5">
        <f>'R-series'!T29</f>
        <v>20</v>
      </c>
      <c r="D41" s="24"/>
      <c r="F41" s="194">
        <v>3</v>
      </c>
      <c r="G41" s="561">
        <f>Säädata!Z47</f>
        <v>0.41598173515981735</v>
      </c>
      <c r="H41" s="194">
        <f t="shared" si="18"/>
        <v>21</v>
      </c>
      <c r="I41" s="195">
        <f t="shared" si="21"/>
        <v>6.0740871237458194</v>
      </c>
      <c r="J41" s="196">
        <f t="shared" si="2"/>
        <v>6.0740871237458194</v>
      </c>
      <c r="K41" s="196">
        <f t="shared" si="19"/>
        <v>6.0740871237458194</v>
      </c>
      <c r="L41" s="196">
        <f t="shared" si="20"/>
        <v>6.0740871237458194</v>
      </c>
      <c r="M41" s="182">
        <f t="shared" si="5"/>
        <v>21</v>
      </c>
      <c r="N41" s="196">
        <f t="shared" si="13"/>
        <v>17.760437123745817</v>
      </c>
      <c r="O41" s="197">
        <f t="shared" si="25"/>
        <v>17.596795913948192</v>
      </c>
      <c r="P41" s="4">
        <f t="shared" si="7"/>
        <v>1.0112107623318385</v>
      </c>
      <c r="Q41" s="198">
        <f t="shared" si="22"/>
        <v>0.82002428465254551</v>
      </c>
      <c r="R41" s="199">
        <f t="shared" si="23"/>
        <v>0.8292173820141211</v>
      </c>
      <c r="S41" s="198">
        <f t="shared" si="10"/>
        <v>0.82002428465254551</v>
      </c>
      <c r="T41" s="200">
        <f t="shared" si="14"/>
        <v>0.8292173820141211</v>
      </c>
      <c r="U41" s="108">
        <f t="shared" si="24"/>
        <v>307.49999999999989</v>
      </c>
      <c r="V41" s="108">
        <f t="shared" si="16"/>
        <v>252.15746753065761</v>
      </c>
      <c r="W41" s="203">
        <f t="shared" si="17"/>
        <v>254.98434496934217</v>
      </c>
      <c r="Y41" s="5">
        <f t="shared" si="11"/>
        <v>397.34746559999991</v>
      </c>
      <c r="Z41" s="5">
        <f t="shared" si="12"/>
        <v>329.48742517477797</v>
      </c>
    </row>
    <row r="42" spans="2:26" x14ac:dyDescent="0.15">
      <c r="B42" s="14" t="s">
        <v>1289</v>
      </c>
      <c r="C42" s="619">
        <f>IF(C37,C41,C40)</f>
        <v>21</v>
      </c>
      <c r="D42" s="26"/>
      <c r="F42" s="194">
        <v>4</v>
      </c>
      <c r="G42" s="561">
        <f>Säädata!Z48</f>
        <v>0.45079908675799085</v>
      </c>
      <c r="H42" s="194">
        <f t="shared" si="18"/>
        <v>21</v>
      </c>
      <c r="I42" s="195">
        <f t="shared" si="21"/>
        <v>6.9033045057599409</v>
      </c>
      <c r="J42" s="196">
        <f t="shared" si="2"/>
        <v>6.9033045057599409</v>
      </c>
      <c r="K42" s="196">
        <f t="shared" si="19"/>
        <v>6.9033045057599409</v>
      </c>
      <c r="L42" s="196">
        <f t="shared" si="20"/>
        <v>6.9033045057599409</v>
      </c>
      <c r="M42" s="182">
        <f t="shared" si="5"/>
        <v>21</v>
      </c>
      <c r="N42" s="196">
        <f t="shared" si="13"/>
        <v>17.940412839093273</v>
      </c>
      <c r="O42" s="197">
        <f t="shared" si="25"/>
        <v>17.78586280761774</v>
      </c>
      <c r="P42" s="4">
        <f t="shared" si="7"/>
        <v>1.0112107623318385</v>
      </c>
      <c r="Q42" s="198">
        <f t="shared" si="22"/>
        <v>0.82002428465254551</v>
      </c>
      <c r="R42" s="199">
        <f t="shared" si="23"/>
        <v>0.8292173820141211</v>
      </c>
      <c r="S42" s="198">
        <f t="shared" si="10"/>
        <v>0.82002428465254551</v>
      </c>
      <c r="T42" s="200">
        <f t="shared" si="14"/>
        <v>0.8292173820141211</v>
      </c>
      <c r="U42" s="108">
        <f t="shared" si="24"/>
        <v>216.04166666666663</v>
      </c>
      <c r="V42" s="108">
        <f t="shared" si="16"/>
        <v>177.15941316347698</v>
      </c>
      <c r="W42" s="203">
        <f t="shared" si="17"/>
        <v>179.14550523930072</v>
      </c>
      <c r="Y42" s="5">
        <f t="shared" si="11"/>
        <v>279.16620719999997</v>
      </c>
      <c r="Z42" s="5">
        <f t="shared" si="12"/>
        <v>231.48947148119566</v>
      </c>
    </row>
    <row r="43" spans="2:26" x14ac:dyDescent="0.15">
      <c r="B43" s="12"/>
      <c r="D43" s="24"/>
      <c r="F43" s="194">
        <v>5</v>
      </c>
      <c r="G43" s="561">
        <f>Säädata!Z49</f>
        <v>0.48413242009132418</v>
      </c>
      <c r="H43" s="194">
        <f t="shared" si="18"/>
        <v>21</v>
      </c>
      <c r="I43" s="195">
        <f t="shared" si="21"/>
        <v>7.7325218877740625</v>
      </c>
      <c r="J43" s="196">
        <f t="shared" si="2"/>
        <v>7.7325218877740625</v>
      </c>
      <c r="K43" s="196">
        <f t="shared" si="19"/>
        <v>7.7325218877740625</v>
      </c>
      <c r="L43" s="196">
        <f t="shared" si="20"/>
        <v>7.7325218877740625</v>
      </c>
      <c r="M43" s="182">
        <f t="shared" si="5"/>
        <v>21</v>
      </c>
      <c r="N43" s="196">
        <f t="shared" si="13"/>
        <v>18.12038855444073</v>
      </c>
      <c r="O43" s="197">
        <f t="shared" si="25"/>
        <v>17.974929701287284</v>
      </c>
      <c r="P43" s="4">
        <f t="shared" si="7"/>
        <v>1.0112107623318385</v>
      </c>
      <c r="Q43" s="198">
        <f t="shared" si="22"/>
        <v>0.82002428465254551</v>
      </c>
      <c r="R43" s="199">
        <f t="shared" si="23"/>
        <v>0.8292173820141211</v>
      </c>
      <c r="S43" s="198">
        <f t="shared" si="10"/>
        <v>0.82002428465254551</v>
      </c>
      <c r="T43" s="200">
        <f t="shared" si="14"/>
        <v>0.8292173820141211</v>
      </c>
      <c r="U43" s="108">
        <f t="shared" si="24"/>
        <v>194.66666666666663</v>
      </c>
      <c r="V43" s="108">
        <f t="shared" si="16"/>
        <v>159.63139407902887</v>
      </c>
      <c r="W43" s="203">
        <f t="shared" si="17"/>
        <v>161.42098369874887</v>
      </c>
      <c r="Y43" s="5">
        <f t="shared" si="11"/>
        <v>251.54571263999992</v>
      </c>
      <c r="Z43" s="5">
        <f t="shared" si="12"/>
        <v>208.58607729221717</v>
      </c>
    </row>
    <row r="44" spans="2:26" x14ac:dyDescent="0.15">
      <c r="B44" s="12" t="s">
        <v>1293</v>
      </c>
      <c r="D44" s="24"/>
      <c r="F44" s="194">
        <v>6</v>
      </c>
      <c r="G44" s="561">
        <f>Säädata!Z50</f>
        <v>0.51586757990867582</v>
      </c>
      <c r="H44" s="194">
        <f t="shared" si="18"/>
        <v>21</v>
      </c>
      <c r="I44" s="195">
        <f t="shared" si="21"/>
        <v>8.561739269788184</v>
      </c>
      <c r="J44" s="196">
        <f t="shared" si="2"/>
        <v>8.561739269788184</v>
      </c>
      <c r="K44" s="196">
        <f t="shared" si="19"/>
        <v>8.561739269788184</v>
      </c>
      <c r="L44" s="196">
        <f t="shared" si="20"/>
        <v>8.561739269788184</v>
      </c>
      <c r="M44" s="182">
        <f t="shared" si="5"/>
        <v>21</v>
      </c>
      <c r="N44" s="196">
        <f t="shared" si="13"/>
        <v>18.300364269788183</v>
      </c>
      <c r="O44" s="197">
        <f t="shared" si="25"/>
        <v>18.163996594956828</v>
      </c>
      <c r="P44" s="4">
        <f t="shared" si="7"/>
        <v>1.0112107623318385</v>
      </c>
      <c r="Q44" s="198">
        <f t="shared" si="22"/>
        <v>0.82002428465254551</v>
      </c>
      <c r="R44" s="199">
        <f t="shared" si="23"/>
        <v>0.8292173820141211</v>
      </c>
      <c r="S44" s="198">
        <f t="shared" si="10"/>
        <v>0.82002428465254551</v>
      </c>
      <c r="T44" s="200">
        <f t="shared" si="14"/>
        <v>0.8292173820141211</v>
      </c>
      <c r="U44" s="108">
        <f t="shared" si="24"/>
        <v>173.75000000000026</v>
      </c>
      <c r="V44" s="108">
        <f t="shared" si="16"/>
        <v>142.47921945837999</v>
      </c>
      <c r="W44" s="203">
        <f t="shared" si="17"/>
        <v>144.07652012495376</v>
      </c>
      <c r="Y44" s="5">
        <f t="shared" si="11"/>
        <v>224.51747040000029</v>
      </c>
      <c r="Z44" s="5">
        <f t="shared" si="12"/>
        <v>186.1737890215212</v>
      </c>
    </row>
    <row r="45" spans="2:26" x14ac:dyDescent="0.15">
      <c r="B45" s="12" t="b">
        <f>IF(AND(Kirjasto!B4=1,C34=1),TRUE,FALSE)</f>
        <v>1</v>
      </c>
      <c r="D45" s="24"/>
      <c r="F45" s="194">
        <v>7</v>
      </c>
      <c r="G45" s="561">
        <f>Säädata!Z51</f>
        <v>0.55331050228310508</v>
      </c>
      <c r="H45" s="194">
        <f t="shared" si="18"/>
        <v>21</v>
      </c>
      <c r="I45" s="195">
        <f t="shared" si="21"/>
        <v>9.3909566518023055</v>
      </c>
      <c r="J45" s="196">
        <f t="shared" si="2"/>
        <v>9.3909566518023055</v>
      </c>
      <c r="K45" s="196">
        <f t="shared" si="19"/>
        <v>9.3909566518023055</v>
      </c>
      <c r="L45" s="196">
        <f t="shared" si="20"/>
        <v>9.3909566518023055</v>
      </c>
      <c r="M45" s="182">
        <f t="shared" si="5"/>
        <v>21</v>
      </c>
      <c r="N45" s="196">
        <f t="shared" si="13"/>
        <v>18.480339985135636</v>
      </c>
      <c r="O45" s="197">
        <f t="shared" si="25"/>
        <v>18.353063488626375</v>
      </c>
      <c r="P45" s="4">
        <f t="shared" si="7"/>
        <v>1.0112107623318385</v>
      </c>
      <c r="Q45" s="198">
        <f t="shared" si="22"/>
        <v>0.8200242846525454</v>
      </c>
      <c r="R45" s="199">
        <f t="shared" si="23"/>
        <v>0.82921738201412099</v>
      </c>
      <c r="S45" s="198">
        <f t="shared" si="10"/>
        <v>0.82002428465254551</v>
      </c>
      <c r="T45" s="200">
        <f t="shared" si="14"/>
        <v>0.8292173820141211</v>
      </c>
      <c r="U45" s="108">
        <f t="shared" si="24"/>
        <v>191.33333333333348</v>
      </c>
      <c r="V45" s="108">
        <f t="shared" si="16"/>
        <v>156.89797979685383</v>
      </c>
      <c r="W45" s="203">
        <f t="shared" si="17"/>
        <v>158.65692575870196</v>
      </c>
      <c r="Y45" s="5">
        <f t="shared" si="11"/>
        <v>247.23842304000019</v>
      </c>
      <c r="Z45" s="5">
        <f t="shared" si="12"/>
        <v>205.01439788652874</v>
      </c>
    </row>
    <row r="46" spans="2:26" x14ac:dyDescent="0.15">
      <c r="B46" s="1514" t="s">
        <v>1294</v>
      </c>
      <c r="C46" s="1515"/>
      <c r="D46" s="1516"/>
      <c r="F46" s="194">
        <v>8</v>
      </c>
      <c r="G46" s="561">
        <f>Säädata!Z52</f>
        <v>0.58984018264840188</v>
      </c>
      <c r="H46" s="194">
        <f t="shared" si="18"/>
        <v>21</v>
      </c>
      <c r="I46" s="195">
        <f t="shared" si="21"/>
        <v>10.220174033816425</v>
      </c>
      <c r="J46" s="196">
        <f t="shared" si="2"/>
        <v>10.220174033816425</v>
      </c>
      <c r="K46" s="196">
        <f t="shared" si="19"/>
        <v>10.220174033816425</v>
      </c>
      <c r="L46" s="196">
        <f t="shared" si="20"/>
        <v>10.220174033816425</v>
      </c>
      <c r="M46" s="182">
        <f t="shared" si="5"/>
        <v>21</v>
      </c>
      <c r="N46" s="196">
        <f t="shared" si="13"/>
        <v>18.660315700483089</v>
      </c>
      <c r="O46" s="197">
        <f t="shared" si="25"/>
        <v>18.542130382295916</v>
      </c>
      <c r="P46" s="4">
        <f t="shared" si="7"/>
        <v>1.0112107623318385</v>
      </c>
      <c r="Q46" s="198">
        <f t="shared" si="22"/>
        <v>0.82002428465254551</v>
      </c>
      <c r="R46" s="199">
        <f t="shared" si="23"/>
        <v>0.8292173820141211</v>
      </c>
      <c r="S46" s="198">
        <f t="shared" si="10"/>
        <v>0.82002428465254551</v>
      </c>
      <c r="T46" s="200">
        <f t="shared" si="14"/>
        <v>0.8292173820141211</v>
      </c>
      <c r="U46" s="108">
        <f t="shared" si="24"/>
        <v>173.33333333333331</v>
      </c>
      <c r="V46" s="108">
        <f t="shared" si="16"/>
        <v>142.13754267310784</v>
      </c>
      <c r="W46" s="203">
        <f t="shared" si="17"/>
        <v>143.73101288244766</v>
      </c>
      <c r="Y46" s="5">
        <f t="shared" si="11"/>
        <v>223.97905919999997</v>
      </c>
      <c r="Z46" s="5">
        <f t="shared" si="12"/>
        <v>185.72732909580989</v>
      </c>
    </row>
    <row r="47" spans="2:26" x14ac:dyDescent="0.15">
      <c r="B47" s="1517"/>
      <c r="C47" s="1400"/>
      <c r="D47" s="1518"/>
      <c r="F47" s="194">
        <v>9</v>
      </c>
      <c r="G47" s="561">
        <f>Säädata!Z53</f>
        <v>0.61746575342465748</v>
      </c>
      <c r="H47" s="194">
        <f t="shared" si="18"/>
        <v>21</v>
      </c>
      <c r="I47" s="195">
        <f t="shared" si="21"/>
        <v>11.049391415830547</v>
      </c>
      <c r="J47" s="196">
        <f t="shared" si="2"/>
        <v>11.049391415830547</v>
      </c>
      <c r="K47" s="196">
        <f t="shared" si="19"/>
        <v>11.049391415830547</v>
      </c>
      <c r="L47" s="196">
        <f t="shared" si="20"/>
        <v>11.049391415830547</v>
      </c>
      <c r="M47" s="182">
        <f t="shared" si="5"/>
        <v>21</v>
      </c>
      <c r="N47" s="196">
        <f t="shared" si="13"/>
        <v>18.840291415830546</v>
      </c>
      <c r="O47" s="197">
        <f t="shared" si="25"/>
        <v>18.731197275965464</v>
      </c>
      <c r="P47" s="4">
        <f t="shared" si="7"/>
        <v>1.0112107623318385</v>
      </c>
      <c r="Q47" s="198">
        <f t="shared" si="22"/>
        <v>0.82002428465254551</v>
      </c>
      <c r="R47" s="199">
        <f t="shared" si="23"/>
        <v>0.8292173820141211</v>
      </c>
      <c r="S47" s="198">
        <f t="shared" si="10"/>
        <v>0.82002428465254551</v>
      </c>
      <c r="T47" s="200">
        <f t="shared" si="14"/>
        <v>0.8292173820141211</v>
      </c>
      <c r="U47" s="108">
        <f t="shared" si="24"/>
        <v>120.99999999999955</v>
      </c>
      <c r="V47" s="108">
        <f t="shared" si="16"/>
        <v>99.222938442957627</v>
      </c>
      <c r="W47" s="203">
        <f t="shared" si="17"/>
        <v>100.33530322370828</v>
      </c>
      <c r="Y47" s="5">
        <f t="shared" si="11"/>
        <v>156.35461247999942</v>
      </c>
      <c r="Z47" s="5">
        <f t="shared" si="12"/>
        <v>129.65196242649753</v>
      </c>
    </row>
    <row r="48" spans="2:26" x14ac:dyDescent="0.15">
      <c r="B48" s="1517"/>
      <c r="C48" s="1400"/>
      <c r="D48" s="1518"/>
      <c r="F48" s="194">
        <v>10</v>
      </c>
      <c r="G48" s="561">
        <f>Säädata!Z54</f>
        <v>0.64394977168949774</v>
      </c>
      <c r="H48" s="194">
        <f t="shared" si="18"/>
        <v>21</v>
      </c>
      <c r="I48" s="195">
        <f t="shared" si="21"/>
        <v>11.878608797844668</v>
      </c>
      <c r="J48" s="196">
        <f t="shared" si="2"/>
        <v>11.878608797844668</v>
      </c>
      <c r="K48" s="196">
        <f t="shared" si="19"/>
        <v>11.878608797844668</v>
      </c>
      <c r="L48" s="196">
        <f t="shared" si="20"/>
        <v>11.878608797844668</v>
      </c>
      <c r="M48" s="182">
        <f t="shared" si="5"/>
        <v>21</v>
      </c>
      <c r="N48" s="196">
        <f t="shared" si="13"/>
        <v>19.020267131178002</v>
      </c>
      <c r="O48" s="197">
        <f t="shared" si="25"/>
        <v>18.920264169635008</v>
      </c>
      <c r="P48" s="4">
        <f t="shared" si="7"/>
        <v>1.0112107623318385</v>
      </c>
      <c r="Q48" s="198">
        <f t="shared" si="22"/>
        <v>0.82002428465254551</v>
      </c>
      <c r="R48" s="199">
        <f t="shared" si="23"/>
        <v>0.8292173820141211</v>
      </c>
      <c r="S48" s="198">
        <f t="shared" si="10"/>
        <v>0.82002428465254551</v>
      </c>
      <c r="T48" s="200">
        <f t="shared" si="14"/>
        <v>0.8292173820141211</v>
      </c>
      <c r="U48" s="108">
        <f t="shared" si="24"/>
        <v>106.33333333333364</v>
      </c>
      <c r="V48" s="108">
        <f t="shared" si="16"/>
        <v>87.195915601387597</v>
      </c>
      <c r="W48" s="203">
        <f t="shared" si="17"/>
        <v>88.173448287501785</v>
      </c>
      <c r="Y48" s="5">
        <f t="shared" si="11"/>
        <v>137.40253824000038</v>
      </c>
      <c r="Z48" s="5">
        <f t="shared" si="12"/>
        <v>113.93657304146831</v>
      </c>
    </row>
    <row r="49" spans="2:26" x14ac:dyDescent="0.15">
      <c r="B49" s="1517"/>
      <c r="C49" s="1400"/>
      <c r="D49" s="1518"/>
      <c r="F49" s="194">
        <v>11</v>
      </c>
      <c r="G49" s="561">
        <f>Säädata!Z55</f>
        <v>0.67625570776255706</v>
      </c>
      <c r="H49" s="194">
        <f t="shared" si="18"/>
        <v>21</v>
      </c>
      <c r="I49" s="195">
        <f t="shared" si="21"/>
        <v>12.707826179858788</v>
      </c>
      <c r="J49" s="196">
        <f t="shared" si="2"/>
        <v>12.707826179858788</v>
      </c>
      <c r="K49" s="196">
        <f t="shared" si="19"/>
        <v>12.707826179858788</v>
      </c>
      <c r="L49" s="196">
        <f t="shared" si="20"/>
        <v>12.707826179858788</v>
      </c>
      <c r="M49" s="182">
        <f t="shared" si="5"/>
        <v>21</v>
      </c>
      <c r="N49" s="196">
        <f t="shared" si="13"/>
        <v>19.200242846525455</v>
      </c>
      <c r="O49" s="197">
        <f t="shared" si="25"/>
        <v>19.109331063304552</v>
      </c>
      <c r="P49" s="4">
        <f t="shared" si="7"/>
        <v>1.0112107623318385</v>
      </c>
      <c r="Q49" s="198">
        <f t="shared" si="22"/>
        <v>0.82002428465254562</v>
      </c>
      <c r="R49" s="199">
        <f t="shared" si="23"/>
        <v>0.82921738201412121</v>
      </c>
      <c r="S49" s="198">
        <f t="shared" si="10"/>
        <v>0.82002428465254551</v>
      </c>
      <c r="T49" s="200">
        <f t="shared" si="14"/>
        <v>0.8292173820141211</v>
      </c>
      <c r="U49" s="108">
        <f t="shared" si="24"/>
        <v>117.9166666666665</v>
      </c>
      <c r="V49" s="108">
        <f t="shared" si="16"/>
        <v>96.694530231945848</v>
      </c>
      <c r="W49" s="203">
        <f t="shared" si="17"/>
        <v>97.778549629164985</v>
      </c>
      <c r="Y49" s="5">
        <f t="shared" si="11"/>
        <v>152.37036959999978</v>
      </c>
      <c r="Z49" s="5">
        <f t="shared" si="12"/>
        <v>126.34815897623588</v>
      </c>
    </row>
    <row r="50" spans="2:26" x14ac:dyDescent="0.15">
      <c r="B50" s="1517"/>
      <c r="C50" s="1400"/>
      <c r="D50" s="1518"/>
      <c r="F50" s="214">
        <v>12</v>
      </c>
      <c r="G50" s="561">
        <f>Säädata!Z56</f>
        <v>0.71415525114155254</v>
      </c>
      <c r="H50" s="214">
        <f t="shared" si="18"/>
        <v>21</v>
      </c>
      <c r="I50" s="215">
        <f t="shared" si="21"/>
        <v>13.53704356187291</v>
      </c>
      <c r="J50" s="216">
        <f t="shared" si="2"/>
        <v>13.53704356187291</v>
      </c>
      <c r="K50" s="216">
        <f t="shared" si="19"/>
        <v>13.53704356187291</v>
      </c>
      <c r="L50" s="216">
        <f t="shared" si="20"/>
        <v>13.53704356187291</v>
      </c>
      <c r="M50" s="217">
        <f t="shared" si="5"/>
        <v>21</v>
      </c>
      <c r="N50" s="216">
        <f t="shared" si="13"/>
        <v>19.380218561872908</v>
      </c>
      <c r="O50" s="218">
        <f t="shared" si="25"/>
        <v>19.298397956974096</v>
      </c>
      <c r="P50" s="50">
        <f t="shared" si="7"/>
        <v>1.0112107623318385</v>
      </c>
      <c r="Q50" s="219">
        <f t="shared" si="22"/>
        <v>0.82002428465254551</v>
      </c>
      <c r="R50" s="220">
        <f>(M50-J50)/(M50-F50)</f>
        <v>0.8292173820141211</v>
      </c>
      <c r="S50" s="219">
        <f t="shared" si="10"/>
        <v>0.82002428465254551</v>
      </c>
      <c r="T50" s="221">
        <f t="shared" si="14"/>
        <v>0.8292173820141211</v>
      </c>
      <c r="U50" s="222">
        <f t="shared" si="24"/>
        <v>124.50000000000016</v>
      </c>
      <c r="V50" s="222">
        <f t="shared" si="16"/>
        <v>102.09302343924202</v>
      </c>
      <c r="W50" s="223">
        <f t="shared" si="17"/>
        <v>103.2375640607582</v>
      </c>
      <c r="Y50" s="5">
        <f>$C$7/1000*1.2*1006*(M50-F50)*8760*(G50-G49)/1000</f>
        <v>160.87726656000018</v>
      </c>
      <c r="Z50" s="5">
        <f>1.2*1006*$C$7/1000*(M50-I50)/1000*(G50-G49)*8760</f>
        <v>133.40222580247129</v>
      </c>
    </row>
    <row r="51" spans="2:26" x14ac:dyDescent="0.15">
      <c r="B51" s="1519"/>
      <c r="C51" s="1520"/>
      <c r="D51" s="1521"/>
      <c r="Q51" s="224"/>
      <c r="R51" s="224"/>
      <c r="S51" s="224"/>
      <c r="Y51" s="648">
        <f>SUM(Y17:Y50)</f>
        <v>6400.5785044800004</v>
      </c>
      <c r="Z51" s="648">
        <f>SUM(Z17:Z50)</f>
        <v>5270.4279464316451</v>
      </c>
    </row>
    <row r="52" spans="2:26" x14ac:dyDescent="0.1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3" t="s">
        <v>1288</v>
      </c>
      <c r="Y52" s="104" t="s">
        <v>237</v>
      </c>
      <c r="Z52" s="104" t="s">
        <v>237</v>
      </c>
    </row>
    <row r="54" spans="2:26" x14ac:dyDescent="0.15">
      <c r="F54" s="196">
        <f>'R-series'!T38</f>
        <v>0</v>
      </c>
      <c r="K54" s="225"/>
      <c r="M54" s="226"/>
      <c r="N54" s="195">
        <f>IF(F54&lt;12,_xlfn.FORECAST.LINEAR(F54,L56:L57,K56:K57),N50)</f>
        <v>17.220509977703458</v>
      </c>
      <c r="Y54" s="227"/>
      <c r="Z54" s="227">
        <f>Z51/Y51</f>
        <v>0.82342993570701128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17.220509977703454</v>
      </c>
    </row>
    <row r="57" spans="2:26" x14ac:dyDescent="0.1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17.400485693050911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(maat)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ht="16" x14ac:dyDescent="0.2">
      <c r="B4" s="504">
        <f>Kirjasto!$B$4</f>
        <v>1</v>
      </c>
      <c r="C4" s="569">
        <v>1</v>
      </c>
      <c r="D4" s="576" t="s">
        <v>988</v>
      </c>
      <c r="E4" s="577" t="s">
        <v>989</v>
      </c>
      <c r="F4" s="578" t="s">
        <v>989</v>
      </c>
      <c r="G4" s="579" t="s">
        <v>990</v>
      </c>
      <c r="H4" s="769"/>
      <c r="I4" s="772"/>
      <c r="J4" s="775"/>
      <c r="K4" s="778"/>
    </row>
    <row r="5" spans="2:11" ht="16" x14ac:dyDescent="0.2">
      <c r="C5" s="569">
        <v>2</v>
      </c>
      <c r="D5" s="580" t="s">
        <v>991</v>
      </c>
      <c r="E5" s="581" t="s">
        <v>992</v>
      </c>
      <c r="F5" s="582" t="s">
        <v>993</v>
      </c>
      <c r="G5" s="583" t="s">
        <v>993</v>
      </c>
      <c r="H5" s="770"/>
      <c r="I5" s="773"/>
      <c r="J5" s="776"/>
      <c r="K5" s="779"/>
    </row>
    <row r="6" spans="2:11" ht="16" x14ac:dyDescent="0.2">
      <c r="C6" s="569">
        <v>3</v>
      </c>
      <c r="D6" s="580" t="s">
        <v>994</v>
      </c>
      <c r="E6" s="581" t="s">
        <v>995</v>
      </c>
      <c r="F6" s="582" t="s">
        <v>996</v>
      </c>
      <c r="G6" s="583" t="s">
        <v>997</v>
      </c>
      <c r="H6" s="770"/>
      <c r="I6" s="773"/>
      <c r="J6" s="776"/>
      <c r="K6" s="779"/>
    </row>
    <row r="7" spans="2:11" ht="16" x14ac:dyDescent="0.2">
      <c r="C7" s="569">
        <v>4</v>
      </c>
      <c r="D7" s="580" t="s">
        <v>998</v>
      </c>
      <c r="E7" s="581" t="s">
        <v>999</v>
      </c>
      <c r="F7" s="582" t="s">
        <v>1000</v>
      </c>
      <c r="G7" s="583" t="s">
        <v>1001</v>
      </c>
      <c r="H7" s="770"/>
      <c r="I7" s="773"/>
      <c r="J7" s="776"/>
      <c r="K7" s="779"/>
    </row>
    <row r="8" spans="2:11" ht="16" x14ac:dyDescent="0.2">
      <c r="C8" s="569">
        <v>5</v>
      </c>
      <c r="D8" s="580" t="s">
        <v>1002</v>
      </c>
      <c r="E8" s="581" t="s">
        <v>1003</v>
      </c>
      <c r="F8" s="582" t="s">
        <v>1004</v>
      </c>
      <c r="G8" s="583" t="s">
        <v>1004</v>
      </c>
      <c r="H8" s="771"/>
      <c r="I8" s="774"/>
      <c r="J8" s="777"/>
      <c r="K8" s="780"/>
    </row>
    <row r="9" spans="2:11" ht="16" x14ac:dyDescent="0.2">
      <c r="C9" s="569">
        <v>6</v>
      </c>
      <c r="D9" s="580" t="s">
        <v>1005</v>
      </c>
      <c r="E9" s="581" t="s">
        <v>1006</v>
      </c>
      <c r="F9" s="582" t="s">
        <v>1007</v>
      </c>
      <c r="G9" s="583" t="s">
        <v>1008</v>
      </c>
      <c r="H9" s="771"/>
      <c r="I9" s="774"/>
      <c r="J9" s="777"/>
      <c r="K9" s="780"/>
    </row>
    <row r="10" spans="2:11" ht="16" x14ac:dyDescent="0.2">
      <c r="C10" s="569">
        <v>7</v>
      </c>
      <c r="D10" s="580" t="s">
        <v>1009</v>
      </c>
      <c r="E10" s="581" t="s">
        <v>1010</v>
      </c>
      <c r="F10" s="582" t="s">
        <v>1011</v>
      </c>
      <c r="G10" s="583" t="s">
        <v>1011</v>
      </c>
      <c r="H10" s="771"/>
      <c r="I10" s="774"/>
      <c r="J10" s="777"/>
      <c r="K10" s="780"/>
    </row>
    <row r="11" spans="2:11" ht="16" x14ac:dyDescent="0.2">
      <c r="C11" s="569">
        <v>8</v>
      </c>
      <c r="D11" s="670" t="s">
        <v>1204</v>
      </c>
      <c r="E11" s="671" t="s">
        <v>1204</v>
      </c>
      <c r="F11" s="582" t="s">
        <v>1205</v>
      </c>
      <c r="G11" s="672" t="s">
        <v>1205</v>
      </c>
      <c r="H11" s="771"/>
      <c r="I11" s="774"/>
      <c r="J11" s="777"/>
      <c r="K11" s="780"/>
    </row>
    <row r="12" spans="2:11" ht="16" x14ac:dyDescent="0.2">
      <c r="C12" s="569">
        <v>9</v>
      </c>
      <c r="D12" s="760" t="s">
        <v>1366</v>
      </c>
      <c r="E12" s="758" t="s">
        <v>1366</v>
      </c>
      <c r="F12" s="582" t="s">
        <v>1367</v>
      </c>
      <c r="G12" s="759" t="s">
        <v>1367</v>
      </c>
      <c r="H12" s="771"/>
      <c r="I12" s="774"/>
      <c r="J12" s="777"/>
      <c r="K12" s="780"/>
    </row>
    <row r="13" spans="2:11" ht="16" x14ac:dyDescent="0.2">
      <c r="C13" s="569">
        <v>10</v>
      </c>
      <c r="D13" s="760" t="s">
        <v>1368</v>
      </c>
      <c r="E13" s="758" t="s">
        <v>1369</v>
      </c>
      <c r="F13" s="582" t="s">
        <v>1370</v>
      </c>
      <c r="G13" s="759" t="s">
        <v>1370</v>
      </c>
      <c r="H13" s="771"/>
      <c r="I13" s="774"/>
      <c r="J13" s="777"/>
      <c r="K13" s="780"/>
    </row>
    <row r="14" spans="2:11" ht="16" x14ac:dyDescent="0.2">
      <c r="C14" s="569">
        <v>11</v>
      </c>
      <c r="D14" s="760" t="s">
        <v>1012</v>
      </c>
      <c r="E14" s="758" t="s">
        <v>1013</v>
      </c>
      <c r="F14" s="582" t="s">
        <v>1014</v>
      </c>
      <c r="G14" s="759" t="s">
        <v>1015</v>
      </c>
      <c r="H14" s="771"/>
      <c r="I14" s="774"/>
      <c r="J14" s="777"/>
      <c r="K14" s="780"/>
    </row>
    <row r="15" spans="2:11" x14ac:dyDescent="0.2">
      <c r="C15" s="569">
        <v>12</v>
      </c>
      <c r="D15" s="580"/>
      <c r="E15" s="581"/>
      <c r="F15" s="582"/>
      <c r="G15" s="583"/>
      <c r="H15" s="771"/>
      <c r="I15" s="774"/>
      <c r="J15" s="777"/>
      <c r="K15" s="780"/>
    </row>
    <row r="16" spans="2:11" x14ac:dyDescent="0.2">
      <c r="C16" s="569">
        <v>13</v>
      </c>
      <c r="D16" s="580"/>
      <c r="E16" s="581"/>
      <c r="F16" s="582"/>
      <c r="G16" s="583"/>
      <c r="H16" s="771"/>
      <c r="I16" s="774"/>
      <c r="J16" s="777"/>
      <c r="K16" s="780"/>
    </row>
    <row r="17" spans="3:11" x14ac:dyDescent="0.2">
      <c r="C17" s="569">
        <v>14</v>
      </c>
      <c r="D17" s="580"/>
      <c r="E17" s="581"/>
      <c r="F17" s="582"/>
      <c r="G17" s="583"/>
      <c r="H17" s="771"/>
      <c r="I17" s="774"/>
      <c r="J17" s="777"/>
      <c r="K17" s="780"/>
    </row>
    <row r="18" spans="3:11" x14ac:dyDescent="0.2">
      <c r="C18" s="569">
        <v>15</v>
      </c>
      <c r="D18" s="580"/>
      <c r="E18" s="581"/>
      <c r="F18" s="582"/>
      <c r="G18" s="583"/>
      <c r="H18" s="771"/>
      <c r="I18" s="774"/>
      <c r="J18" s="777"/>
      <c r="K18" s="780"/>
    </row>
    <row r="19" spans="3:11" x14ac:dyDescent="0.2">
      <c r="C19" s="569">
        <v>16</v>
      </c>
      <c r="D19" s="580"/>
      <c r="E19" s="581"/>
      <c r="F19" s="582"/>
      <c r="G19" s="583"/>
      <c r="H19" s="771"/>
      <c r="I19" s="774"/>
      <c r="J19" s="777"/>
      <c r="K19" s="780"/>
    </row>
    <row r="20" spans="3:11" x14ac:dyDescent="0.2">
      <c r="C20" s="569">
        <v>17</v>
      </c>
      <c r="D20" s="580"/>
      <c r="E20" s="581"/>
      <c r="F20" s="582"/>
      <c r="G20" s="583"/>
      <c r="H20" s="770"/>
      <c r="I20" s="773"/>
      <c r="J20" s="776"/>
      <c r="K20" s="779"/>
    </row>
    <row r="21" spans="3:11" x14ac:dyDescent="0.2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ht="16" x14ac:dyDescent="0.2">
      <c r="C28" s="569">
        <v>25</v>
      </c>
      <c r="D28" s="580" t="s">
        <v>1012</v>
      </c>
      <c r="E28" s="581" t="s">
        <v>1013</v>
      </c>
      <c r="F28" s="582" t="s">
        <v>1014</v>
      </c>
      <c r="G28" s="583" t="s">
        <v>1015</v>
      </c>
      <c r="H28" s="770"/>
      <c r="I28" s="773"/>
      <c r="J28" s="776"/>
      <c r="K28" s="779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(kaupungit)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ht="16" x14ac:dyDescent="0.2">
      <c r="B4" s="504">
        <f>Kirjasto!$B$4</f>
        <v>1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69" t="s">
        <v>1016</v>
      </c>
      <c r="I4" s="772" t="s">
        <v>1016</v>
      </c>
      <c r="J4" s="775" t="s">
        <v>1016</v>
      </c>
      <c r="K4" s="778" t="s">
        <v>1016</v>
      </c>
    </row>
    <row r="5" spans="2:11" ht="16" x14ac:dyDescent="0.2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0" t="s">
        <v>270</v>
      </c>
      <c r="I5" s="773" t="s">
        <v>270</v>
      </c>
      <c r="J5" s="776" t="s">
        <v>270</v>
      </c>
      <c r="K5" s="779" t="s">
        <v>270</v>
      </c>
    </row>
    <row r="6" spans="2:11" ht="16" x14ac:dyDescent="0.2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0" t="s">
        <v>271</v>
      </c>
      <c r="I6" s="773" t="s">
        <v>271</v>
      </c>
      <c r="J6" s="776" t="s">
        <v>271</v>
      </c>
      <c r="K6" s="779" t="s">
        <v>271</v>
      </c>
    </row>
    <row r="7" spans="2:11" ht="16" x14ac:dyDescent="0.2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0" t="s">
        <v>272</v>
      </c>
      <c r="I7" s="773" t="s">
        <v>272</v>
      </c>
      <c r="J7" s="776" t="s">
        <v>272</v>
      </c>
      <c r="K7" s="779" t="s">
        <v>272</v>
      </c>
    </row>
    <row r="8" spans="2:11" ht="16" x14ac:dyDescent="0.2">
      <c r="C8" s="569">
        <v>5</v>
      </c>
      <c r="D8" s="580" t="s">
        <v>1025</v>
      </c>
      <c r="E8" s="758" t="s">
        <v>1391</v>
      </c>
      <c r="F8" s="582" t="s">
        <v>1391</v>
      </c>
      <c r="G8" s="759" t="s">
        <v>1391</v>
      </c>
      <c r="H8" s="771" t="s">
        <v>1404</v>
      </c>
      <c r="I8" s="774" t="s">
        <v>1391</v>
      </c>
      <c r="J8" s="777" t="s">
        <v>1406</v>
      </c>
      <c r="K8" s="780" t="s">
        <v>1408</v>
      </c>
    </row>
    <row r="9" spans="2:11" ht="16" x14ac:dyDescent="0.2">
      <c r="C9" s="569">
        <v>6</v>
      </c>
      <c r="D9" s="580" t="s">
        <v>1028</v>
      </c>
      <c r="E9" s="758" t="s">
        <v>1389</v>
      </c>
      <c r="F9" s="582" t="s">
        <v>1390</v>
      </c>
      <c r="G9" s="759" t="s">
        <v>1390</v>
      </c>
      <c r="H9" s="771" t="s">
        <v>1405</v>
      </c>
      <c r="I9" s="774" t="s">
        <v>1390</v>
      </c>
      <c r="J9" s="777" t="s">
        <v>1407</v>
      </c>
      <c r="K9" s="780" t="s">
        <v>1409</v>
      </c>
    </row>
    <row r="10" spans="2:11" ht="16" x14ac:dyDescent="0.2">
      <c r="C10" s="569">
        <v>7</v>
      </c>
      <c r="D10" s="580" t="s">
        <v>1019</v>
      </c>
      <c r="E10" s="758" t="s">
        <v>1361</v>
      </c>
      <c r="F10" s="582" t="s">
        <v>1361</v>
      </c>
      <c r="G10" s="759" t="s">
        <v>1361</v>
      </c>
      <c r="H10" s="771" t="s">
        <v>1401</v>
      </c>
      <c r="I10" s="774" t="s">
        <v>1361</v>
      </c>
      <c r="J10" s="777" t="s">
        <v>1402</v>
      </c>
      <c r="K10" s="780" t="s">
        <v>1403</v>
      </c>
    </row>
    <row r="11" spans="2:11" ht="16" x14ac:dyDescent="0.2">
      <c r="C11" s="569">
        <v>8</v>
      </c>
      <c r="D11" s="580" t="s">
        <v>1377</v>
      </c>
      <c r="E11" s="758" t="s">
        <v>1382</v>
      </c>
      <c r="F11" s="582" t="s">
        <v>1382</v>
      </c>
      <c r="G11" s="759" t="s">
        <v>1382</v>
      </c>
      <c r="H11" s="771" t="s">
        <v>1410</v>
      </c>
      <c r="I11" s="774" t="s">
        <v>1411</v>
      </c>
      <c r="J11" s="777" t="s">
        <v>1412</v>
      </c>
      <c r="K11" s="780" t="s">
        <v>1410</v>
      </c>
    </row>
    <row r="12" spans="2:11" ht="16" x14ac:dyDescent="0.2">
      <c r="C12" s="569">
        <v>9</v>
      </c>
      <c r="D12" s="580" t="s">
        <v>1379</v>
      </c>
      <c r="E12" s="758" t="s">
        <v>1383</v>
      </c>
      <c r="F12" s="582" t="s">
        <v>1383</v>
      </c>
      <c r="G12" s="759" t="s">
        <v>1384</v>
      </c>
      <c r="H12" s="771" t="s">
        <v>1413</v>
      </c>
      <c r="I12" s="774" t="s">
        <v>1383</v>
      </c>
      <c r="J12" s="777" t="s">
        <v>1414</v>
      </c>
      <c r="K12" s="780" t="s">
        <v>1383</v>
      </c>
    </row>
    <row r="13" spans="2:11" ht="16" x14ac:dyDescent="0.2">
      <c r="C13" s="569">
        <v>10</v>
      </c>
      <c r="D13" s="580" t="s">
        <v>1022</v>
      </c>
      <c r="E13" s="758" t="s">
        <v>1371</v>
      </c>
      <c r="F13" s="582" t="s">
        <v>1372</v>
      </c>
      <c r="G13" s="759" t="s">
        <v>1373</v>
      </c>
      <c r="H13" s="771" t="s">
        <v>1372</v>
      </c>
      <c r="I13" s="774" t="s">
        <v>1415</v>
      </c>
      <c r="J13" s="777" t="s">
        <v>1416</v>
      </c>
      <c r="K13" s="780" t="s">
        <v>1417</v>
      </c>
    </row>
    <row r="14" spans="2:11" ht="16" x14ac:dyDescent="0.2">
      <c r="C14" s="569">
        <v>11</v>
      </c>
      <c r="D14" s="670" t="s">
        <v>1381</v>
      </c>
      <c r="E14" s="758" t="s">
        <v>1387</v>
      </c>
      <c r="F14" s="582" t="s">
        <v>1387</v>
      </c>
      <c r="G14" s="759" t="s">
        <v>1388</v>
      </c>
      <c r="H14" s="771" t="s">
        <v>1418</v>
      </c>
      <c r="I14" s="774" t="s">
        <v>1418</v>
      </c>
      <c r="J14" s="777" t="s">
        <v>1419</v>
      </c>
      <c r="K14" s="780" t="s">
        <v>1420</v>
      </c>
    </row>
    <row r="15" spans="2:11" ht="16" x14ac:dyDescent="0.2">
      <c r="C15" s="569">
        <v>12</v>
      </c>
      <c r="D15" s="760" t="s">
        <v>1380</v>
      </c>
      <c r="E15" s="758" t="s">
        <v>1385</v>
      </c>
      <c r="F15" s="582" t="s">
        <v>1385</v>
      </c>
      <c r="G15" s="759" t="s">
        <v>1386</v>
      </c>
      <c r="H15" s="771" t="s">
        <v>1421</v>
      </c>
      <c r="I15" s="774" t="s">
        <v>1421</v>
      </c>
      <c r="J15" s="777" t="s">
        <v>1422</v>
      </c>
      <c r="K15" s="780" t="s">
        <v>1423</v>
      </c>
    </row>
    <row r="16" spans="2:11" ht="16" x14ac:dyDescent="0.2">
      <c r="C16" s="569">
        <v>13</v>
      </c>
      <c r="D16" s="760" t="s">
        <v>1024</v>
      </c>
      <c r="E16" s="758" t="s">
        <v>1375</v>
      </c>
      <c r="F16" s="582" t="s">
        <v>1375</v>
      </c>
      <c r="G16" s="759" t="s">
        <v>1375</v>
      </c>
      <c r="H16" s="771" t="s">
        <v>1424</v>
      </c>
      <c r="I16" s="774" t="s">
        <v>1375</v>
      </c>
      <c r="J16" s="777" t="s">
        <v>1425</v>
      </c>
      <c r="K16" s="780" t="s">
        <v>1426</v>
      </c>
    </row>
    <row r="17" spans="3:11" ht="16" x14ac:dyDescent="0.2">
      <c r="C17" s="569">
        <v>14</v>
      </c>
      <c r="D17" s="760" t="s">
        <v>1206</v>
      </c>
      <c r="E17" s="758" t="s">
        <v>1428</v>
      </c>
      <c r="F17" s="582" t="s">
        <v>1427</v>
      </c>
      <c r="G17" s="759" t="s">
        <v>1427</v>
      </c>
      <c r="H17" s="771" t="s">
        <v>1429</v>
      </c>
      <c r="I17" s="774" t="s">
        <v>1427</v>
      </c>
      <c r="J17" s="777" t="s">
        <v>1430</v>
      </c>
      <c r="K17" s="780" t="s">
        <v>1431</v>
      </c>
    </row>
    <row r="18" spans="3:11" ht="16" x14ac:dyDescent="0.2">
      <c r="C18" s="569">
        <v>15</v>
      </c>
      <c r="D18" s="760" t="s">
        <v>1020</v>
      </c>
      <c r="E18" s="758" t="s">
        <v>1365</v>
      </c>
      <c r="F18" s="582" t="s">
        <v>1365</v>
      </c>
      <c r="G18" s="759" t="s">
        <v>1365</v>
      </c>
      <c r="H18" s="771" t="s">
        <v>1365</v>
      </c>
      <c r="I18" s="774" t="s">
        <v>1365</v>
      </c>
      <c r="J18" s="777" t="s">
        <v>1365</v>
      </c>
      <c r="K18" s="780" t="s">
        <v>1432</v>
      </c>
    </row>
    <row r="19" spans="3:11" ht="16" x14ac:dyDescent="0.2">
      <c r="C19" s="569">
        <v>16</v>
      </c>
      <c r="D19" s="760" t="s">
        <v>1021</v>
      </c>
      <c r="E19" s="758" t="s">
        <v>1362</v>
      </c>
      <c r="F19" s="582" t="s">
        <v>1363</v>
      </c>
      <c r="G19" s="759" t="s">
        <v>1364</v>
      </c>
      <c r="H19" s="771" t="s">
        <v>1433</v>
      </c>
      <c r="I19" s="774" t="s">
        <v>1434</v>
      </c>
      <c r="J19" s="777" t="s">
        <v>1435</v>
      </c>
      <c r="K19" s="780" t="s">
        <v>1433</v>
      </c>
    </row>
    <row r="20" spans="3:11" ht="16" x14ac:dyDescent="0.2">
      <c r="C20" s="569">
        <v>17</v>
      </c>
      <c r="D20" s="580" t="s">
        <v>1023</v>
      </c>
      <c r="E20" s="581" t="s">
        <v>1374</v>
      </c>
      <c r="F20" s="582" t="s">
        <v>1374</v>
      </c>
      <c r="G20" s="583" t="s">
        <v>1374</v>
      </c>
      <c r="H20" s="770" t="s">
        <v>1374</v>
      </c>
      <c r="I20" s="774" t="s">
        <v>1436</v>
      </c>
      <c r="J20" s="777" t="s">
        <v>1438</v>
      </c>
      <c r="K20" s="780" t="s">
        <v>1437</v>
      </c>
    </row>
    <row r="21" spans="3:11" x14ac:dyDescent="0.2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x14ac:dyDescent="0.2">
      <c r="C28" s="569">
        <v>25</v>
      </c>
      <c r="D28" s="580"/>
      <c r="E28" s="581"/>
      <c r="F28" s="582"/>
      <c r="G28" s="583"/>
      <c r="H28" s="770"/>
      <c r="I28" s="773"/>
      <c r="J28" s="776"/>
      <c r="K28" s="779"/>
    </row>
    <row r="29" spans="3:11" x14ac:dyDescent="0.2">
      <c r="C29" s="569">
        <v>26</v>
      </c>
      <c r="D29" s="580"/>
      <c r="E29" s="581"/>
      <c r="F29" s="582"/>
      <c r="G29" s="583"/>
      <c r="H29" s="770"/>
      <c r="I29" s="773"/>
      <c r="J29" s="776"/>
      <c r="K29" s="779"/>
    </row>
    <row r="30" spans="3:11" x14ac:dyDescent="0.2">
      <c r="C30" s="569">
        <v>27</v>
      </c>
      <c r="D30" s="580"/>
      <c r="E30" s="581"/>
      <c r="F30" s="582"/>
      <c r="G30" s="583"/>
      <c r="H30" s="770"/>
      <c r="I30" s="773"/>
      <c r="J30" s="776"/>
      <c r="K30" s="779"/>
    </row>
    <row r="31" spans="3:11" x14ac:dyDescent="0.2">
      <c r="C31" s="569">
        <v>28</v>
      </c>
      <c r="D31" s="580"/>
      <c r="E31" s="581"/>
      <c r="F31" s="582"/>
      <c r="G31" s="583"/>
      <c r="H31" s="770"/>
      <c r="I31" s="773"/>
      <c r="J31" s="776"/>
      <c r="K31" s="779"/>
    </row>
    <row r="32" spans="3:11" x14ac:dyDescent="0.2">
      <c r="C32" s="569">
        <v>29</v>
      </c>
      <c r="D32" s="580"/>
      <c r="E32" s="581"/>
      <c r="F32" s="582"/>
      <c r="G32" s="583"/>
      <c r="H32" s="770"/>
      <c r="I32" s="773"/>
      <c r="J32" s="776"/>
      <c r="K32" s="779"/>
    </row>
    <row r="33" spans="3:11" x14ac:dyDescent="0.2">
      <c r="C33" s="569">
        <v>30</v>
      </c>
      <c r="D33" s="580"/>
      <c r="E33" s="581"/>
      <c r="F33" s="582"/>
      <c r="G33" s="583"/>
      <c r="H33" s="770"/>
      <c r="I33" s="773"/>
      <c r="J33" s="776"/>
      <c r="K33" s="779"/>
    </row>
    <row r="34" spans="3:11" x14ac:dyDescent="0.2">
      <c r="C34" s="569">
        <v>31</v>
      </c>
      <c r="D34" s="580"/>
      <c r="E34" s="581"/>
      <c r="F34" s="582"/>
      <c r="G34" s="583"/>
      <c r="H34" s="770"/>
      <c r="I34" s="773"/>
      <c r="J34" s="776"/>
      <c r="K34" s="779"/>
    </row>
    <row r="35" spans="3:11" x14ac:dyDescent="0.2">
      <c r="C35" s="569">
        <v>32</v>
      </c>
      <c r="D35" s="580"/>
      <c r="E35" s="581"/>
      <c r="F35" s="582"/>
      <c r="G35" s="583"/>
      <c r="H35" s="770"/>
      <c r="I35" s="773"/>
      <c r="J35" s="776"/>
      <c r="K35" s="779"/>
    </row>
    <row r="36" spans="3:11" x14ac:dyDescent="0.2">
      <c r="C36" s="569">
        <v>33</v>
      </c>
      <c r="D36" s="580"/>
      <c r="E36" s="581"/>
      <c r="F36" s="582"/>
      <c r="G36" s="583"/>
      <c r="H36" s="770"/>
      <c r="I36" s="773"/>
      <c r="J36" s="776"/>
      <c r="K36" s="779"/>
    </row>
    <row r="37" spans="3:11" x14ac:dyDescent="0.2">
      <c r="C37" s="569">
        <v>34</v>
      </c>
      <c r="D37" s="580"/>
      <c r="E37" s="581"/>
      <c r="F37" s="582"/>
      <c r="G37" s="583"/>
      <c r="H37" s="770"/>
      <c r="I37" s="773"/>
      <c r="J37" s="776"/>
      <c r="K37" s="779"/>
    </row>
    <row r="38" spans="3:11" x14ac:dyDescent="0.2">
      <c r="C38" s="569">
        <v>35</v>
      </c>
      <c r="D38" s="580"/>
      <c r="E38" s="581"/>
      <c r="F38" s="582"/>
      <c r="G38" s="583"/>
      <c r="H38" s="770"/>
      <c r="I38" s="773"/>
      <c r="J38" s="776"/>
      <c r="K38" s="779"/>
    </row>
    <row r="39" spans="3:11" x14ac:dyDescent="0.2">
      <c r="C39" s="569">
        <v>36</v>
      </c>
      <c r="D39" s="580"/>
      <c r="E39" s="581"/>
      <c r="F39" s="582"/>
      <c r="G39" s="583"/>
      <c r="H39" s="770"/>
      <c r="I39" s="773"/>
      <c r="J39" s="776"/>
      <c r="K39" s="779"/>
    </row>
    <row r="40" spans="3:11" x14ac:dyDescent="0.2">
      <c r="C40" s="569">
        <v>37</v>
      </c>
      <c r="D40" s="580"/>
      <c r="E40" s="581"/>
      <c r="F40" s="582"/>
      <c r="G40" s="583"/>
      <c r="H40" s="770"/>
      <c r="I40" s="773"/>
      <c r="J40" s="776"/>
      <c r="K40" s="779"/>
    </row>
    <row r="41" spans="3:11" x14ac:dyDescent="0.2">
      <c r="C41" s="569">
        <v>38</v>
      </c>
      <c r="D41" s="580"/>
      <c r="E41" s="581"/>
      <c r="F41" s="582"/>
      <c r="G41" s="583"/>
      <c r="H41" s="770"/>
      <c r="I41" s="773"/>
      <c r="J41" s="776"/>
      <c r="K41" s="779"/>
    </row>
    <row r="42" spans="3:11" x14ac:dyDescent="0.2">
      <c r="C42" s="569">
        <v>39</v>
      </c>
      <c r="D42" s="580"/>
      <c r="E42" s="581"/>
      <c r="F42" s="582"/>
      <c r="G42" s="583"/>
      <c r="H42" s="770"/>
      <c r="I42" s="773"/>
      <c r="J42" s="776"/>
      <c r="K42" s="779"/>
    </row>
    <row r="43" spans="3:11" x14ac:dyDescent="0.2">
      <c r="C43" s="569">
        <v>40</v>
      </c>
      <c r="D43" s="580"/>
      <c r="E43" s="581"/>
      <c r="F43" s="582"/>
      <c r="G43" s="583"/>
      <c r="H43" s="770"/>
      <c r="I43" s="773"/>
      <c r="J43" s="776"/>
      <c r="K43" s="779"/>
    </row>
    <row r="44" spans="3:11" x14ac:dyDescent="0.2">
      <c r="C44" s="569">
        <v>41</v>
      </c>
      <c r="D44" s="580"/>
      <c r="E44" s="581"/>
      <c r="F44" s="582"/>
      <c r="G44" s="583"/>
      <c r="H44" s="770"/>
      <c r="I44" s="773"/>
      <c r="J44" s="776"/>
      <c r="K44" s="779"/>
    </row>
    <row r="45" spans="3:11" x14ac:dyDescent="0.2">
      <c r="C45" s="569">
        <v>42</v>
      </c>
      <c r="D45" s="580"/>
      <c r="E45" s="581"/>
      <c r="F45" s="582"/>
      <c r="G45" s="583"/>
      <c r="H45" s="770"/>
      <c r="I45" s="773"/>
      <c r="J45" s="776"/>
      <c r="K45" s="779"/>
    </row>
    <row r="46" spans="3:11" x14ac:dyDescent="0.2">
      <c r="C46" s="569">
        <v>43</v>
      </c>
      <c r="D46" s="580"/>
      <c r="E46" s="581"/>
      <c r="F46" s="582"/>
      <c r="G46" s="583"/>
      <c r="H46" s="770"/>
      <c r="I46" s="773"/>
      <c r="J46" s="776"/>
      <c r="K46" s="779"/>
    </row>
    <row r="47" spans="3:11" x14ac:dyDescent="0.2">
      <c r="C47" s="569">
        <v>44</v>
      </c>
      <c r="D47" s="580"/>
      <c r="E47" s="581"/>
      <c r="F47" s="582"/>
      <c r="G47" s="583"/>
      <c r="H47" s="770"/>
      <c r="I47" s="773"/>
      <c r="J47" s="776"/>
      <c r="K47" s="779"/>
    </row>
    <row r="48" spans="3:11" x14ac:dyDescent="0.2">
      <c r="C48" s="569">
        <v>45</v>
      </c>
      <c r="D48" s="580"/>
      <c r="E48" s="581"/>
      <c r="F48" s="582"/>
      <c r="G48" s="583"/>
      <c r="H48" s="770"/>
      <c r="I48" s="773"/>
      <c r="J48" s="776"/>
      <c r="K48" s="779"/>
    </row>
    <row r="49" spans="3:11" x14ac:dyDescent="0.2">
      <c r="C49" s="569">
        <v>46</v>
      </c>
      <c r="D49" s="580"/>
      <c r="E49" s="581"/>
      <c r="F49" s="582"/>
      <c r="G49" s="583"/>
      <c r="H49" s="770"/>
      <c r="I49" s="773"/>
      <c r="J49" s="776"/>
      <c r="K49" s="779"/>
    </row>
    <row r="50" spans="3:11" x14ac:dyDescent="0.2">
      <c r="C50" s="569">
        <v>47</v>
      </c>
      <c r="D50" s="580"/>
      <c r="E50" s="581"/>
      <c r="F50" s="582"/>
      <c r="G50" s="583"/>
      <c r="H50" s="770"/>
      <c r="I50" s="773"/>
      <c r="J50" s="776"/>
      <c r="K50" s="779"/>
    </row>
    <row r="51" spans="3:11" x14ac:dyDescent="0.2">
      <c r="C51" s="569">
        <v>48</v>
      </c>
      <c r="D51" s="580"/>
      <c r="E51" s="581"/>
      <c r="F51" s="582"/>
      <c r="G51" s="583"/>
      <c r="H51" s="770"/>
      <c r="I51" s="773"/>
      <c r="J51" s="776"/>
      <c r="K51" s="779"/>
    </row>
    <row r="52" spans="3:11" x14ac:dyDescent="0.2">
      <c r="C52" s="569">
        <v>49</v>
      </c>
      <c r="D52" s="580"/>
      <c r="E52" s="581"/>
      <c r="F52" s="582"/>
      <c r="G52" s="583"/>
      <c r="H52" s="770"/>
      <c r="I52" s="773"/>
      <c r="J52" s="776"/>
      <c r="K52" s="779"/>
    </row>
    <row r="53" spans="3:11" x14ac:dyDescent="0.2">
      <c r="C53" s="569">
        <v>50</v>
      </c>
      <c r="D53" s="580"/>
      <c r="E53" s="581"/>
      <c r="F53" s="582"/>
      <c r="G53" s="583"/>
      <c r="H53" s="770"/>
      <c r="I53" s="773"/>
      <c r="J53" s="776"/>
      <c r="K53" s="779"/>
    </row>
    <row r="54" spans="3:11" x14ac:dyDescent="0.2">
      <c r="C54" s="569">
        <v>51</v>
      </c>
      <c r="D54" s="580"/>
      <c r="E54" s="581"/>
      <c r="F54" s="582"/>
      <c r="G54" s="583"/>
      <c r="H54" s="770"/>
      <c r="I54" s="773"/>
      <c r="J54" s="776"/>
      <c r="K54" s="779"/>
    </row>
    <row r="55" spans="3:11" x14ac:dyDescent="0.2">
      <c r="C55" s="569">
        <v>52</v>
      </c>
      <c r="D55" s="580"/>
      <c r="E55" s="581"/>
      <c r="F55" s="582"/>
      <c r="G55" s="583"/>
      <c r="H55" s="770"/>
      <c r="I55" s="773"/>
      <c r="J55" s="776"/>
      <c r="K55" s="779"/>
    </row>
    <row r="56" spans="3:11" x14ac:dyDescent="0.2">
      <c r="C56" s="569">
        <v>53</v>
      </c>
      <c r="D56" s="580"/>
      <c r="E56" s="581"/>
      <c r="F56" s="582"/>
      <c r="G56" s="583"/>
      <c r="H56" s="770"/>
      <c r="I56" s="773"/>
      <c r="J56" s="776"/>
      <c r="K56" s="779"/>
    </row>
    <row r="57" spans="3:11" x14ac:dyDescent="0.2">
      <c r="C57" s="569">
        <v>54</v>
      </c>
      <c r="D57" s="580"/>
      <c r="E57" s="581"/>
      <c r="F57" s="582"/>
      <c r="G57" s="583"/>
      <c r="H57" s="770"/>
      <c r="I57" s="773"/>
      <c r="J57" s="776"/>
      <c r="K57" s="779"/>
    </row>
    <row r="58" spans="3:11" x14ac:dyDescent="0.2">
      <c r="C58" s="569">
        <v>55</v>
      </c>
      <c r="D58" s="580"/>
      <c r="E58" s="581"/>
      <c r="F58" s="582"/>
      <c r="G58" s="583"/>
      <c r="H58" s="770"/>
      <c r="I58" s="773"/>
      <c r="J58" s="776"/>
      <c r="K58" s="779"/>
    </row>
    <row r="59" spans="3:11" x14ac:dyDescent="0.2">
      <c r="C59" s="569">
        <v>56</v>
      </c>
      <c r="D59" s="580"/>
      <c r="E59" s="581"/>
      <c r="F59" s="582"/>
      <c r="G59" s="583"/>
      <c r="H59" s="770"/>
      <c r="I59" s="773"/>
      <c r="J59" s="776"/>
      <c r="K59" s="779"/>
    </row>
    <row r="60" spans="3:11" x14ac:dyDescent="0.2">
      <c r="C60" s="569">
        <v>57</v>
      </c>
      <c r="D60" s="580"/>
      <c r="E60" s="581"/>
      <c r="F60" s="582"/>
      <c r="G60" s="583"/>
      <c r="H60" s="770"/>
      <c r="I60" s="773"/>
      <c r="J60" s="776"/>
      <c r="K60" s="779"/>
    </row>
    <row r="61" spans="3:11" x14ac:dyDescent="0.2">
      <c r="C61" s="569">
        <v>58</v>
      </c>
      <c r="D61" s="580"/>
      <c r="E61" s="581"/>
      <c r="F61" s="582"/>
      <c r="G61" s="583"/>
      <c r="H61" s="770"/>
      <c r="I61" s="773"/>
      <c r="J61" s="776"/>
      <c r="K61" s="779"/>
    </row>
    <row r="62" spans="3:11" x14ac:dyDescent="0.2">
      <c r="C62" s="569">
        <v>59</v>
      </c>
      <c r="D62" s="580"/>
      <c r="E62" s="581"/>
      <c r="F62" s="582"/>
      <c r="G62" s="583"/>
      <c r="H62" s="770"/>
      <c r="I62" s="773"/>
      <c r="J62" s="776"/>
      <c r="K62" s="779"/>
    </row>
    <row r="63" spans="3:11" x14ac:dyDescent="0.2">
      <c r="C63" s="569">
        <v>60</v>
      </c>
      <c r="D63" s="580"/>
      <c r="E63" s="581"/>
      <c r="F63" s="582"/>
      <c r="G63" s="583"/>
      <c r="H63" s="770"/>
      <c r="I63" s="773"/>
      <c r="J63" s="776"/>
      <c r="K63" s="779"/>
    </row>
    <row r="64" spans="3:11" x14ac:dyDescent="0.2">
      <c r="C64" s="569">
        <v>61</v>
      </c>
      <c r="D64" s="580"/>
      <c r="E64" s="581"/>
      <c r="F64" s="582"/>
      <c r="G64" s="583"/>
      <c r="H64" s="770"/>
      <c r="I64" s="773"/>
      <c r="J64" s="776"/>
      <c r="K64" s="779"/>
    </row>
    <row r="65" spans="3:11" x14ac:dyDescent="0.2">
      <c r="C65" s="569">
        <v>62</v>
      </c>
      <c r="D65" s="580"/>
      <c r="E65" s="581"/>
      <c r="F65" s="582"/>
      <c r="G65" s="583"/>
      <c r="H65" s="770"/>
      <c r="I65" s="773"/>
      <c r="J65" s="776"/>
      <c r="K65" s="779"/>
    </row>
    <row r="66" spans="3:11" x14ac:dyDescent="0.2">
      <c r="C66" s="569">
        <v>63</v>
      </c>
      <c r="D66" s="580"/>
      <c r="E66" s="581"/>
      <c r="F66" s="582"/>
      <c r="G66" s="583"/>
      <c r="H66" s="770"/>
      <c r="I66" s="773"/>
      <c r="J66" s="776"/>
      <c r="K66" s="779"/>
    </row>
    <row r="67" spans="3:11" x14ac:dyDescent="0.2">
      <c r="C67" s="569">
        <v>64</v>
      </c>
      <c r="D67" s="580"/>
      <c r="E67" s="581"/>
      <c r="F67" s="582"/>
      <c r="G67" s="583"/>
      <c r="H67" s="770"/>
      <c r="I67" s="773"/>
      <c r="J67" s="776"/>
      <c r="K67" s="779"/>
    </row>
    <row r="68" spans="3:11" x14ac:dyDescent="0.2">
      <c r="C68" s="569">
        <v>65</v>
      </c>
      <c r="D68" s="580"/>
      <c r="E68" s="581"/>
      <c r="F68" s="582"/>
      <c r="G68" s="583"/>
      <c r="H68" s="770"/>
      <c r="I68" s="773"/>
      <c r="J68" s="776"/>
      <c r="K68" s="779"/>
    </row>
    <row r="69" spans="3:11" x14ac:dyDescent="0.2">
      <c r="C69" s="569">
        <v>66</v>
      </c>
      <c r="D69" s="580"/>
      <c r="E69" s="581"/>
      <c r="F69" s="582"/>
      <c r="G69" s="583"/>
      <c r="H69" s="770"/>
      <c r="I69" s="773"/>
      <c r="J69" s="776"/>
      <c r="K69" s="779"/>
    </row>
    <row r="70" spans="3:11" x14ac:dyDescent="0.2">
      <c r="C70" s="569">
        <v>67</v>
      </c>
      <c r="D70" s="580"/>
      <c r="E70" s="581"/>
      <c r="F70" s="582"/>
      <c r="G70" s="583"/>
      <c r="H70" s="770"/>
      <c r="I70" s="773"/>
      <c r="J70" s="776"/>
      <c r="K70" s="779"/>
    </row>
    <row r="71" spans="3:11" x14ac:dyDescent="0.2">
      <c r="C71" s="569">
        <v>68</v>
      </c>
      <c r="D71" s="580"/>
      <c r="E71" s="581"/>
      <c r="F71" s="582"/>
      <c r="G71" s="583"/>
      <c r="H71" s="770"/>
      <c r="I71" s="773"/>
      <c r="J71" s="776"/>
      <c r="K71" s="779"/>
    </row>
    <row r="72" spans="3:11" x14ac:dyDescent="0.2">
      <c r="C72" s="569">
        <v>69</v>
      </c>
      <c r="D72" s="580"/>
      <c r="E72" s="581"/>
      <c r="F72" s="582"/>
      <c r="G72" s="583"/>
      <c r="H72" s="770"/>
      <c r="I72" s="773"/>
      <c r="J72" s="776"/>
      <c r="K72" s="779"/>
    </row>
    <row r="73" spans="3:11" x14ac:dyDescent="0.2">
      <c r="C73" s="569">
        <v>70</v>
      </c>
      <c r="D73" s="580"/>
      <c r="E73" s="581"/>
      <c r="F73" s="582"/>
      <c r="G73" s="583"/>
      <c r="H73" s="770"/>
      <c r="I73" s="773"/>
      <c r="J73" s="776"/>
      <c r="K73" s="779"/>
    </row>
    <row r="74" spans="3:11" x14ac:dyDescent="0.2">
      <c r="C74" s="569">
        <v>71</v>
      </c>
      <c r="D74" s="580"/>
      <c r="E74" s="581"/>
      <c r="F74" s="582"/>
      <c r="G74" s="583"/>
      <c r="H74" s="770"/>
      <c r="I74" s="773"/>
      <c r="J74" s="776"/>
      <c r="K74" s="779"/>
    </row>
    <row r="75" spans="3:11" x14ac:dyDescent="0.2">
      <c r="C75" s="569">
        <v>72</v>
      </c>
      <c r="D75" s="580"/>
      <c r="E75" s="581"/>
      <c r="F75" s="582"/>
      <c r="G75" s="583"/>
      <c r="H75" s="770"/>
      <c r="I75" s="773"/>
      <c r="J75" s="776"/>
      <c r="K75" s="779"/>
    </row>
    <row r="76" spans="3:11" x14ac:dyDescent="0.2">
      <c r="C76" s="569">
        <v>73</v>
      </c>
      <c r="D76" s="580"/>
      <c r="E76" s="581"/>
      <c r="F76" s="582"/>
      <c r="G76" s="583"/>
      <c r="H76" s="770"/>
      <c r="I76" s="773"/>
      <c r="J76" s="776"/>
      <c r="K76" s="779"/>
    </row>
    <row r="77" spans="3:11" x14ac:dyDescent="0.2">
      <c r="C77" s="569">
        <v>74</v>
      </c>
      <c r="D77" s="580"/>
      <c r="E77" s="581"/>
      <c r="F77" s="582"/>
      <c r="G77" s="583"/>
      <c r="H77" s="770"/>
      <c r="I77" s="773"/>
      <c r="J77" s="776"/>
      <c r="K77" s="779"/>
    </row>
    <row r="78" spans="3:11" x14ac:dyDescent="0.2">
      <c r="C78" s="569">
        <v>75</v>
      </c>
      <c r="D78" s="580"/>
      <c r="E78" s="581"/>
      <c r="F78" s="582"/>
      <c r="G78" s="583"/>
      <c r="H78" s="770"/>
      <c r="I78" s="773"/>
      <c r="J78" s="776"/>
      <c r="K78" s="779"/>
    </row>
    <row r="79" spans="3:11" x14ac:dyDescent="0.2">
      <c r="C79" s="569">
        <v>76</v>
      </c>
      <c r="D79" s="580"/>
      <c r="E79" s="581"/>
      <c r="F79" s="582"/>
      <c r="G79" s="583"/>
      <c r="H79" s="770"/>
      <c r="I79" s="773"/>
      <c r="J79" s="776"/>
      <c r="K79" s="779"/>
    </row>
    <row r="80" spans="3:11" x14ac:dyDescent="0.2">
      <c r="C80" s="569">
        <v>77</v>
      </c>
      <c r="D80" s="580"/>
      <c r="E80" s="581"/>
      <c r="F80" s="582"/>
      <c r="G80" s="583"/>
      <c r="H80" s="770"/>
      <c r="I80" s="773"/>
      <c r="J80" s="776"/>
      <c r="K80" s="779"/>
    </row>
    <row r="81" spans="3:11" x14ac:dyDescent="0.2">
      <c r="C81" s="569">
        <v>78</v>
      </c>
      <c r="D81" s="580"/>
      <c r="E81" s="581"/>
      <c r="F81" s="582"/>
      <c r="G81" s="583"/>
      <c r="H81" s="770"/>
      <c r="I81" s="773"/>
      <c r="J81" s="776"/>
      <c r="K81" s="779"/>
    </row>
    <row r="82" spans="3:11" x14ac:dyDescent="0.2">
      <c r="C82" s="569">
        <v>79</v>
      </c>
      <c r="D82" s="580"/>
      <c r="E82" s="581"/>
      <c r="F82" s="582"/>
      <c r="G82" s="583"/>
      <c r="H82" s="770"/>
      <c r="I82" s="773"/>
      <c r="J82" s="776"/>
      <c r="K82" s="779"/>
    </row>
    <row r="83" spans="3:11" x14ac:dyDescent="0.2">
      <c r="C83" s="569">
        <v>80</v>
      </c>
      <c r="D83" s="580"/>
      <c r="E83" s="581"/>
      <c r="F83" s="582"/>
      <c r="G83" s="583"/>
      <c r="H83" s="770"/>
      <c r="I83" s="773"/>
      <c r="J83" s="776"/>
      <c r="K83" s="779"/>
    </row>
    <row r="84" spans="3:11" x14ac:dyDescent="0.2">
      <c r="C84" s="569">
        <v>81</v>
      </c>
      <c r="D84" s="580"/>
      <c r="E84" s="581"/>
      <c r="F84" s="582"/>
      <c r="G84" s="583"/>
      <c r="H84" s="770"/>
      <c r="I84" s="773"/>
      <c r="J84" s="776"/>
      <c r="K84" s="779"/>
    </row>
    <row r="85" spans="3:11" x14ac:dyDescent="0.2">
      <c r="C85" s="569">
        <v>82</v>
      </c>
      <c r="D85" s="580"/>
      <c r="E85" s="581"/>
      <c r="F85" s="582"/>
      <c r="G85" s="583"/>
      <c r="H85" s="770"/>
      <c r="I85" s="773"/>
      <c r="J85" s="776"/>
      <c r="K85" s="779"/>
    </row>
    <row r="86" spans="3:11" x14ac:dyDescent="0.2">
      <c r="C86" s="569">
        <v>83</v>
      </c>
      <c r="D86" s="580"/>
      <c r="E86" s="581"/>
      <c r="F86" s="582"/>
      <c r="G86" s="583"/>
      <c r="H86" s="770"/>
      <c r="I86" s="773"/>
      <c r="J86" s="776"/>
      <c r="K86" s="779"/>
    </row>
    <row r="87" spans="3:11" x14ac:dyDescent="0.2">
      <c r="C87" s="569">
        <v>84</v>
      </c>
      <c r="D87" s="580"/>
      <c r="E87" s="581"/>
      <c r="F87" s="582"/>
      <c r="G87" s="583"/>
      <c r="H87" s="770"/>
      <c r="I87" s="773"/>
      <c r="J87" s="776"/>
      <c r="K87" s="779"/>
    </row>
    <row r="88" spans="3:11" x14ac:dyDescent="0.2">
      <c r="C88" s="569">
        <v>85</v>
      </c>
      <c r="D88" s="580"/>
      <c r="E88" s="581"/>
      <c r="F88" s="582"/>
      <c r="G88" s="583"/>
      <c r="H88" s="770"/>
      <c r="I88" s="773"/>
      <c r="J88" s="776"/>
      <c r="K88" s="779"/>
    </row>
    <row r="89" spans="3:11" x14ac:dyDescent="0.2">
      <c r="C89" s="569">
        <v>86</v>
      </c>
      <c r="D89" s="580"/>
      <c r="E89" s="581"/>
      <c r="F89" s="582"/>
      <c r="G89" s="583"/>
      <c r="H89" s="770"/>
      <c r="I89" s="773"/>
      <c r="J89" s="776"/>
      <c r="K89" s="779"/>
    </row>
    <row r="90" spans="3:11" x14ac:dyDescent="0.2">
      <c r="C90" s="569">
        <v>87</v>
      </c>
      <c r="D90" s="580"/>
      <c r="E90" s="581"/>
      <c r="F90" s="582"/>
      <c r="G90" s="583"/>
      <c r="H90" s="770"/>
      <c r="I90" s="773"/>
      <c r="J90" s="776"/>
      <c r="K90" s="779"/>
    </row>
    <row r="91" spans="3:11" x14ac:dyDescent="0.2">
      <c r="C91" s="569">
        <v>88</v>
      </c>
      <c r="D91" s="580"/>
      <c r="E91" s="581"/>
      <c r="F91" s="582"/>
      <c r="G91" s="583"/>
      <c r="H91" s="770"/>
      <c r="I91" s="773"/>
      <c r="J91" s="776"/>
      <c r="K91" s="779"/>
    </row>
    <row r="92" spans="3:11" x14ac:dyDescent="0.2">
      <c r="C92" s="569">
        <v>89</v>
      </c>
      <c r="D92" s="580"/>
      <c r="E92" s="581"/>
      <c r="F92" s="582"/>
      <c r="G92" s="583"/>
      <c r="H92" s="770"/>
      <c r="I92" s="773"/>
      <c r="J92" s="776"/>
      <c r="K92" s="779"/>
    </row>
    <row r="93" spans="3:11" x14ac:dyDescent="0.2">
      <c r="C93" s="569">
        <v>90</v>
      </c>
      <c r="D93" s="580"/>
      <c r="E93" s="581"/>
      <c r="F93" s="582"/>
      <c r="G93" s="583"/>
      <c r="H93" s="770"/>
      <c r="I93" s="773"/>
      <c r="J93" s="776"/>
      <c r="K93" s="779"/>
    </row>
    <row r="94" spans="3:11" x14ac:dyDescent="0.2">
      <c r="C94" s="569">
        <v>91</v>
      </c>
      <c r="D94" s="580"/>
      <c r="E94" s="581"/>
      <c r="F94" s="582"/>
      <c r="G94" s="583"/>
      <c r="H94" s="770"/>
      <c r="I94" s="773"/>
      <c r="J94" s="776"/>
      <c r="K94" s="779"/>
    </row>
    <row r="95" spans="3:11" x14ac:dyDescent="0.2">
      <c r="C95" s="569">
        <v>92</v>
      </c>
      <c r="D95" s="580"/>
      <c r="E95" s="581"/>
      <c r="F95" s="582"/>
      <c r="G95" s="583"/>
      <c r="H95" s="770"/>
      <c r="I95" s="773"/>
      <c r="J95" s="776"/>
      <c r="K95" s="779"/>
    </row>
    <row r="96" spans="3:11" x14ac:dyDescent="0.2">
      <c r="C96" s="569">
        <v>93</v>
      </c>
      <c r="D96" s="580"/>
      <c r="E96" s="581"/>
      <c r="F96" s="582"/>
      <c r="G96" s="583"/>
      <c r="H96" s="770"/>
      <c r="I96" s="773"/>
      <c r="J96" s="776"/>
      <c r="K96" s="779"/>
    </row>
    <row r="97" spans="3:11" x14ac:dyDescent="0.2">
      <c r="C97" s="569">
        <v>94</v>
      </c>
      <c r="D97" s="580"/>
      <c r="E97" s="581"/>
      <c r="F97" s="582"/>
      <c r="G97" s="583"/>
      <c r="H97" s="770"/>
      <c r="I97" s="773"/>
      <c r="J97" s="776"/>
      <c r="K97" s="779"/>
    </row>
    <row r="98" spans="3:11" x14ac:dyDescent="0.2">
      <c r="C98" s="569">
        <v>95</v>
      </c>
      <c r="D98" s="580"/>
      <c r="E98" s="581"/>
      <c r="F98" s="582"/>
      <c r="G98" s="583"/>
      <c r="H98" s="770"/>
      <c r="I98" s="773"/>
      <c r="J98" s="776"/>
      <c r="K98" s="779"/>
    </row>
    <row r="99" spans="3:11" x14ac:dyDescent="0.2">
      <c r="C99" s="569">
        <v>96</v>
      </c>
      <c r="D99" s="580"/>
      <c r="E99" s="581"/>
      <c r="F99" s="582"/>
      <c r="G99" s="583"/>
      <c r="H99" s="770"/>
      <c r="I99" s="773"/>
      <c r="J99" s="776"/>
      <c r="K99" s="779"/>
    </row>
    <row r="100" spans="3:11" x14ac:dyDescent="0.2">
      <c r="C100" s="569">
        <v>97</v>
      </c>
      <c r="D100" s="580"/>
      <c r="E100" s="581"/>
      <c r="F100" s="582"/>
      <c r="G100" s="583"/>
      <c r="H100" s="770"/>
      <c r="I100" s="773"/>
      <c r="J100" s="776"/>
      <c r="K100" s="779"/>
    </row>
    <row r="101" spans="3:11" x14ac:dyDescent="0.2">
      <c r="C101" s="569">
        <v>98</v>
      </c>
      <c r="D101" s="580"/>
      <c r="E101" s="581"/>
      <c r="F101" s="582"/>
      <c r="G101" s="583"/>
      <c r="H101" s="770"/>
      <c r="I101" s="773"/>
      <c r="J101" s="776"/>
      <c r="K101" s="779"/>
    </row>
    <row r="102" spans="3:11" x14ac:dyDescent="0.2">
      <c r="C102" s="569">
        <v>99</v>
      </c>
      <c r="D102" s="580"/>
      <c r="E102" s="581"/>
      <c r="F102" s="582"/>
      <c r="G102" s="583"/>
      <c r="H102" s="770"/>
      <c r="I102" s="773"/>
      <c r="J102" s="776"/>
      <c r="K102" s="779"/>
    </row>
    <row r="103" spans="3:11" x14ac:dyDescent="0.2">
      <c r="C103" s="569">
        <v>100</v>
      </c>
      <c r="D103" s="580"/>
      <c r="E103" s="581"/>
      <c r="F103" s="582"/>
      <c r="G103" s="583"/>
      <c r="H103" s="770"/>
      <c r="I103" s="773"/>
      <c r="J103" s="776"/>
      <c r="K103" s="779"/>
    </row>
    <row r="104" spans="3:11" x14ac:dyDescent="0.2">
      <c r="C104" s="569">
        <v>101</v>
      </c>
      <c r="D104" s="580"/>
      <c r="E104" s="581"/>
      <c r="F104" s="582"/>
      <c r="G104" s="583"/>
      <c r="H104" s="770"/>
      <c r="I104" s="773"/>
      <c r="J104" s="776"/>
      <c r="K104" s="779"/>
    </row>
    <row r="105" spans="3:11" x14ac:dyDescent="0.2">
      <c r="C105" s="569">
        <v>102</v>
      </c>
      <c r="D105" s="580"/>
      <c r="E105" s="581"/>
      <c r="F105" s="582"/>
      <c r="G105" s="583"/>
      <c r="H105" s="770"/>
      <c r="I105" s="773"/>
      <c r="J105" s="776"/>
      <c r="K105" s="779"/>
    </row>
    <row r="106" spans="3:11" x14ac:dyDescent="0.2">
      <c r="C106" s="569">
        <v>103</v>
      </c>
      <c r="D106" s="580"/>
      <c r="E106" s="581"/>
      <c r="F106" s="582"/>
      <c r="G106" s="583"/>
      <c r="H106" s="770"/>
      <c r="I106" s="773"/>
      <c r="J106" s="776"/>
      <c r="K106" s="779"/>
    </row>
    <row r="107" spans="3:11" x14ac:dyDescent="0.2">
      <c r="C107" s="569">
        <v>104</v>
      </c>
      <c r="D107" s="580"/>
      <c r="E107" s="581"/>
      <c r="F107" s="582"/>
      <c r="G107" s="583"/>
      <c r="H107" s="770"/>
      <c r="I107" s="773"/>
      <c r="J107" s="776"/>
      <c r="K107" s="779"/>
    </row>
    <row r="108" spans="3:11" x14ac:dyDescent="0.2">
      <c r="C108" s="569">
        <v>105</v>
      </c>
      <c r="D108" s="580"/>
      <c r="E108" s="581"/>
      <c r="F108" s="582"/>
      <c r="G108" s="583"/>
      <c r="H108" s="770"/>
      <c r="I108" s="773"/>
      <c r="J108" s="776"/>
      <c r="K108" s="779"/>
    </row>
    <row r="109" spans="3:11" x14ac:dyDescent="0.2">
      <c r="C109" s="569">
        <v>106</v>
      </c>
      <c r="D109" s="580"/>
      <c r="E109" s="581"/>
      <c r="F109" s="582"/>
      <c r="G109" s="583"/>
      <c r="H109" s="770"/>
      <c r="I109" s="773"/>
      <c r="J109" s="776"/>
      <c r="K109" s="779"/>
    </row>
    <row r="110" spans="3:11" x14ac:dyDescent="0.2">
      <c r="C110" s="569">
        <v>107</v>
      </c>
      <c r="D110" s="580"/>
      <c r="E110" s="581"/>
      <c r="F110" s="582"/>
      <c r="G110" s="583"/>
      <c r="H110" s="770"/>
      <c r="I110" s="773"/>
      <c r="J110" s="776"/>
      <c r="K110" s="779"/>
    </row>
    <row r="111" spans="3:11" x14ac:dyDescent="0.2">
      <c r="C111" s="569">
        <v>108</v>
      </c>
      <c r="D111" s="580"/>
      <c r="E111" s="581"/>
      <c r="F111" s="582"/>
      <c r="G111" s="583"/>
      <c r="H111" s="770"/>
      <c r="I111" s="773"/>
      <c r="J111" s="776"/>
      <c r="K111" s="779"/>
    </row>
    <row r="112" spans="3:11" x14ac:dyDescent="0.2">
      <c r="C112" s="569">
        <v>109</v>
      </c>
      <c r="D112" s="580"/>
      <c r="E112" s="581"/>
      <c r="F112" s="582"/>
      <c r="G112" s="583"/>
      <c r="H112" s="770"/>
      <c r="I112" s="773"/>
      <c r="J112" s="776"/>
      <c r="K112" s="779"/>
    </row>
    <row r="113" spans="3:11" x14ac:dyDescent="0.2">
      <c r="C113" s="569">
        <v>110</v>
      </c>
      <c r="D113" s="580"/>
      <c r="E113" s="581"/>
      <c r="F113" s="582"/>
      <c r="G113" s="583"/>
      <c r="H113" s="770"/>
      <c r="I113" s="773"/>
      <c r="J113" s="776"/>
      <c r="K113" s="779"/>
    </row>
    <row r="114" spans="3:11" x14ac:dyDescent="0.2">
      <c r="C114" s="569">
        <v>111</v>
      </c>
      <c r="D114" s="580"/>
      <c r="E114" s="581"/>
      <c r="F114" s="582"/>
      <c r="G114" s="583"/>
      <c r="H114" s="770"/>
      <c r="I114" s="773"/>
      <c r="J114" s="776"/>
      <c r="K114" s="779"/>
    </row>
    <row r="115" spans="3:11" x14ac:dyDescent="0.2">
      <c r="C115" s="569">
        <v>112</v>
      </c>
      <c r="D115" s="580"/>
      <c r="E115" s="581"/>
      <c r="F115" s="582"/>
      <c r="G115" s="583"/>
      <c r="H115" s="770"/>
      <c r="I115" s="773"/>
      <c r="J115" s="776"/>
      <c r="K115" s="779"/>
    </row>
    <row r="116" spans="3:11" x14ac:dyDescent="0.2">
      <c r="C116" s="569">
        <v>113</v>
      </c>
      <c r="D116" s="580"/>
      <c r="E116" s="581"/>
      <c r="F116" s="582"/>
      <c r="G116" s="583"/>
      <c r="H116" s="770"/>
      <c r="I116" s="773"/>
      <c r="J116" s="776"/>
      <c r="K116" s="779"/>
    </row>
    <row r="117" spans="3:11" x14ac:dyDescent="0.2">
      <c r="C117" s="569">
        <v>114</v>
      </c>
      <c r="D117" s="580"/>
      <c r="E117" s="581"/>
      <c r="F117" s="582"/>
      <c r="G117" s="583"/>
      <c r="H117" s="770"/>
      <c r="I117" s="773"/>
      <c r="J117" s="776"/>
      <c r="K117" s="779"/>
    </row>
    <row r="118" spans="3:11" x14ac:dyDescent="0.2">
      <c r="C118" s="569">
        <v>115</v>
      </c>
      <c r="D118" s="580"/>
      <c r="E118" s="581"/>
      <c r="F118" s="582"/>
      <c r="G118" s="583"/>
      <c r="H118" s="770"/>
      <c r="I118" s="773"/>
      <c r="J118" s="776"/>
      <c r="K118" s="779"/>
    </row>
    <row r="119" spans="3:11" x14ac:dyDescent="0.2">
      <c r="C119" s="569">
        <v>116</v>
      </c>
      <c r="D119" s="580"/>
      <c r="E119" s="581"/>
      <c r="F119" s="582"/>
      <c r="G119" s="583"/>
      <c r="H119" s="770"/>
      <c r="I119" s="773"/>
      <c r="J119" s="776"/>
      <c r="K119" s="779"/>
    </row>
    <row r="120" spans="3:11" x14ac:dyDescent="0.2">
      <c r="C120" s="569">
        <v>117</v>
      </c>
      <c r="D120" s="580"/>
      <c r="E120" s="581"/>
      <c r="F120" s="582"/>
      <c r="G120" s="583"/>
      <c r="H120" s="770"/>
      <c r="I120" s="773"/>
      <c r="J120" s="776"/>
      <c r="K120" s="779"/>
    </row>
    <row r="121" spans="3:11" x14ac:dyDescent="0.2">
      <c r="C121" s="569">
        <v>118</v>
      </c>
      <c r="D121" s="580"/>
      <c r="E121" s="581"/>
      <c r="F121" s="582"/>
      <c r="G121" s="583"/>
      <c r="H121" s="770"/>
      <c r="I121" s="773"/>
      <c r="J121" s="776"/>
      <c r="K121" s="779"/>
    </row>
    <row r="122" spans="3:11" x14ac:dyDescent="0.2">
      <c r="C122" s="569">
        <v>119</v>
      </c>
      <c r="D122" s="580"/>
      <c r="E122" s="581"/>
      <c r="F122" s="582"/>
      <c r="G122" s="583"/>
      <c r="H122" s="770"/>
      <c r="I122" s="773"/>
      <c r="J122" s="776"/>
      <c r="K122" s="779"/>
    </row>
    <row r="123" spans="3:11" x14ac:dyDescent="0.2">
      <c r="C123" s="569">
        <v>120</v>
      </c>
      <c r="D123" s="580"/>
      <c r="E123" s="581"/>
      <c r="F123" s="582"/>
      <c r="G123" s="583"/>
      <c r="H123" s="770"/>
      <c r="I123" s="773"/>
      <c r="J123" s="776"/>
      <c r="K123" s="779"/>
    </row>
    <row r="124" spans="3:11" x14ac:dyDescent="0.2">
      <c r="C124" s="569">
        <v>121</v>
      </c>
      <c r="D124" s="580"/>
      <c r="E124" s="581"/>
      <c r="F124" s="582"/>
      <c r="G124" s="583"/>
      <c r="H124" s="770"/>
      <c r="I124" s="773"/>
      <c r="J124" s="776"/>
      <c r="K124" s="779"/>
    </row>
    <row r="125" spans="3:11" x14ac:dyDescent="0.2">
      <c r="C125" s="569">
        <v>122</v>
      </c>
      <c r="D125" s="580"/>
      <c r="E125" s="581"/>
      <c r="F125" s="582"/>
      <c r="G125" s="583"/>
      <c r="H125" s="770"/>
      <c r="I125" s="773"/>
      <c r="J125" s="776"/>
      <c r="K125" s="779"/>
    </row>
    <row r="126" spans="3:11" x14ac:dyDescent="0.2">
      <c r="C126" s="569">
        <v>123</v>
      </c>
      <c r="D126" s="580"/>
      <c r="E126" s="581"/>
      <c r="F126" s="582"/>
      <c r="G126" s="583"/>
      <c r="H126" s="770"/>
      <c r="I126" s="773"/>
      <c r="J126" s="776"/>
      <c r="K126" s="779"/>
    </row>
    <row r="127" spans="3:11" x14ac:dyDescent="0.2">
      <c r="C127" s="569">
        <v>124</v>
      </c>
      <c r="D127" s="580"/>
      <c r="E127" s="581"/>
      <c r="F127" s="582"/>
      <c r="G127" s="583"/>
      <c r="H127" s="770"/>
      <c r="I127" s="773"/>
      <c r="J127" s="776"/>
      <c r="K127" s="779"/>
    </row>
    <row r="128" spans="3:11" x14ac:dyDescent="0.2">
      <c r="C128" s="569">
        <v>125</v>
      </c>
      <c r="D128" s="580"/>
      <c r="E128" s="581"/>
      <c r="F128" s="582"/>
      <c r="G128" s="583"/>
      <c r="H128" s="770"/>
      <c r="I128" s="773"/>
      <c r="J128" s="776"/>
      <c r="K128" s="779"/>
    </row>
    <row r="129" spans="3:11" x14ac:dyDescent="0.2">
      <c r="C129" s="569">
        <v>126</v>
      </c>
      <c r="D129" s="580"/>
      <c r="E129" s="581"/>
      <c r="F129" s="582"/>
      <c r="G129" s="583"/>
      <c r="H129" s="770"/>
      <c r="I129" s="773"/>
      <c r="J129" s="776"/>
      <c r="K129" s="779"/>
    </row>
    <row r="130" spans="3:11" x14ac:dyDescent="0.2">
      <c r="C130" s="569">
        <v>127</v>
      </c>
      <c r="D130" s="580"/>
      <c r="E130" s="581"/>
      <c r="F130" s="582"/>
      <c r="G130" s="583"/>
      <c r="H130" s="770"/>
      <c r="I130" s="773"/>
      <c r="J130" s="776"/>
      <c r="K130" s="779"/>
    </row>
    <row r="131" spans="3:11" x14ac:dyDescent="0.2">
      <c r="C131" s="569">
        <v>128</v>
      </c>
      <c r="D131" s="580"/>
      <c r="E131" s="581"/>
      <c r="F131" s="582"/>
      <c r="G131" s="583"/>
      <c r="H131" s="770"/>
      <c r="I131" s="773"/>
      <c r="J131" s="776"/>
      <c r="K131" s="779"/>
    </row>
    <row r="132" spans="3:11" x14ac:dyDescent="0.2">
      <c r="C132" s="569">
        <v>129</v>
      </c>
      <c r="D132" s="580"/>
      <c r="E132" s="581"/>
      <c r="F132" s="582"/>
      <c r="G132" s="583"/>
      <c r="H132" s="770"/>
      <c r="I132" s="773"/>
      <c r="J132" s="776"/>
      <c r="K132" s="779"/>
    </row>
    <row r="133" spans="3:11" x14ac:dyDescent="0.2">
      <c r="C133" s="569">
        <v>130</v>
      </c>
      <c r="D133" s="580"/>
      <c r="E133" s="581"/>
      <c r="F133" s="582"/>
      <c r="G133" s="583"/>
      <c r="H133" s="770"/>
      <c r="I133" s="773"/>
      <c r="J133" s="776"/>
      <c r="K133" s="779"/>
    </row>
    <row r="134" spans="3:11" x14ac:dyDescent="0.2">
      <c r="C134" s="569">
        <v>131</v>
      </c>
      <c r="D134" s="580"/>
      <c r="E134" s="581"/>
      <c r="F134" s="582"/>
      <c r="G134" s="583"/>
      <c r="H134" s="770"/>
      <c r="I134" s="773"/>
      <c r="J134" s="776"/>
      <c r="K134" s="779"/>
    </row>
    <row r="135" spans="3:11" x14ac:dyDescent="0.2">
      <c r="C135" s="569">
        <v>132</v>
      </c>
      <c r="D135" s="580"/>
      <c r="E135" s="581"/>
      <c r="F135" s="582"/>
      <c r="G135" s="583"/>
      <c r="H135" s="770"/>
      <c r="I135" s="773"/>
      <c r="J135" s="776"/>
      <c r="K135" s="779"/>
    </row>
    <row r="136" spans="3:11" x14ac:dyDescent="0.2">
      <c r="C136" s="569">
        <v>133</v>
      </c>
      <c r="D136" s="580"/>
      <c r="E136" s="581"/>
      <c r="F136" s="582"/>
      <c r="G136" s="583"/>
      <c r="H136" s="770"/>
      <c r="I136" s="773"/>
      <c r="J136" s="776"/>
      <c r="K136" s="779"/>
    </row>
    <row r="137" spans="3:11" x14ac:dyDescent="0.2">
      <c r="C137" s="569">
        <v>134</v>
      </c>
      <c r="D137" s="580"/>
      <c r="E137" s="581"/>
      <c r="F137" s="582"/>
      <c r="G137" s="583"/>
      <c r="H137" s="770"/>
      <c r="I137" s="773"/>
      <c r="J137" s="776"/>
      <c r="K137" s="779"/>
    </row>
    <row r="138" spans="3:11" x14ac:dyDescent="0.2">
      <c r="C138" s="569">
        <v>135</v>
      </c>
      <c r="D138" s="580"/>
      <c r="E138" s="581"/>
      <c r="F138" s="582"/>
      <c r="G138" s="583"/>
      <c r="H138" s="770"/>
      <c r="I138" s="773"/>
      <c r="J138" s="776"/>
      <c r="K138" s="779"/>
    </row>
    <row r="139" spans="3:11" x14ac:dyDescent="0.2">
      <c r="C139" s="569">
        <v>136</v>
      </c>
      <c r="D139" s="580"/>
      <c r="E139" s="581"/>
      <c r="F139" s="582"/>
      <c r="G139" s="583"/>
      <c r="H139" s="770"/>
      <c r="I139" s="773"/>
      <c r="J139" s="776"/>
      <c r="K139" s="779"/>
    </row>
    <row r="140" spans="3:11" x14ac:dyDescent="0.2">
      <c r="C140" s="569">
        <v>137</v>
      </c>
      <c r="D140" s="580"/>
      <c r="E140" s="581"/>
      <c r="F140" s="582"/>
      <c r="G140" s="583"/>
      <c r="H140" s="770"/>
      <c r="I140" s="773"/>
      <c r="J140" s="776"/>
      <c r="K140" s="779"/>
    </row>
    <row r="141" spans="3:11" x14ac:dyDescent="0.2">
      <c r="C141" s="569">
        <v>138</v>
      </c>
      <c r="D141" s="580"/>
      <c r="E141" s="581"/>
      <c r="F141" s="582"/>
      <c r="G141" s="583"/>
      <c r="H141" s="770"/>
      <c r="I141" s="773"/>
      <c r="J141" s="776"/>
      <c r="K141" s="779"/>
    </row>
    <row r="142" spans="3:11" x14ac:dyDescent="0.2">
      <c r="C142" s="569">
        <v>139</v>
      </c>
      <c r="D142" s="580"/>
      <c r="E142" s="581"/>
      <c r="F142" s="582"/>
      <c r="G142" s="583"/>
      <c r="H142" s="770"/>
      <c r="I142" s="773"/>
      <c r="J142" s="776"/>
      <c r="K142" s="779"/>
    </row>
    <row r="143" spans="3:11" x14ac:dyDescent="0.2">
      <c r="C143" s="569">
        <v>140</v>
      </c>
      <c r="D143" s="580"/>
      <c r="E143" s="581"/>
      <c r="F143" s="582"/>
      <c r="G143" s="583"/>
      <c r="H143" s="770"/>
      <c r="I143" s="773"/>
      <c r="J143" s="776"/>
      <c r="K143" s="779"/>
    </row>
    <row r="144" spans="3:11" x14ac:dyDescent="0.2">
      <c r="C144" s="569">
        <v>141</v>
      </c>
      <c r="D144" s="580"/>
      <c r="E144" s="581"/>
      <c r="F144" s="582"/>
      <c r="G144" s="583"/>
      <c r="H144" s="770"/>
      <c r="I144" s="773"/>
      <c r="J144" s="776"/>
      <c r="K144" s="779"/>
    </row>
    <row r="145" spans="3:11" x14ac:dyDescent="0.2">
      <c r="C145" s="569">
        <v>142</v>
      </c>
      <c r="D145" s="580"/>
      <c r="E145" s="581"/>
      <c r="F145" s="582"/>
      <c r="G145" s="583"/>
      <c r="H145" s="770"/>
      <c r="I145" s="773"/>
      <c r="J145" s="776"/>
      <c r="K145" s="779"/>
    </row>
    <row r="146" spans="3:11" x14ac:dyDescent="0.2">
      <c r="C146" s="569">
        <v>143</v>
      </c>
      <c r="D146" s="580"/>
      <c r="E146" s="581"/>
      <c r="F146" s="582"/>
      <c r="G146" s="583"/>
      <c r="H146" s="770"/>
      <c r="I146" s="773"/>
      <c r="J146" s="776"/>
      <c r="K146" s="779"/>
    </row>
    <row r="147" spans="3:11" x14ac:dyDescent="0.2">
      <c r="C147" s="569">
        <v>144</v>
      </c>
      <c r="D147" s="580"/>
      <c r="E147" s="581"/>
      <c r="F147" s="582"/>
      <c r="G147" s="583"/>
      <c r="H147" s="770"/>
      <c r="I147" s="773"/>
      <c r="J147" s="776"/>
      <c r="K147" s="779"/>
    </row>
    <row r="148" spans="3:11" x14ac:dyDescent="0.2">
      <c r="C148" s="569">
        <v>145</v>
      </c>
      <c r="D148" s="580"/>
      <c r="E148" s="581"/>
      <c r="F148" s="582"/>
      <c r="G148" s="583"/>
      <c r="H148" s="770"/>
      <c r="I148" s="773"/>
      <c r="J148" s="776"/>
      <c r="K148" s="779"/>
    </row>
    <row r="149" spans="3:11" x14ac:dyDescent="0.2">
      <c r="C149" s="569">
        <v>146</v>
      </c>
      <c r="D149" s="580"/>
      <c r="E149" s="581"/>
      <c r="F149" s="582"/>
      <c r="G149" s="583"/>
      <c r="H149" s="770"/>
      <c r="I149" s="773"/>
      <c r="J149" s="776"/>
      <c r="K149" s="779"/>
    </row>
    <row r="150" spans="3:11" x14ac:dyDescent="0.2">
      <c r="C150" s="569">
        <v>147</v>
      </c>
      <c r="D150" s="580"/>
      <c r="E150" s="581"/>
      <c r="F150" s="582"/>
      <c r="G150" s="583"/>
      <c r="H150" s="770"/>
      <c r="I150" s="773"/>
      <c r="J150" s="776"/>
      <c r="K150" s="779"/>
    </row>
    <row r="151" spans="3:11" x14ac:dyDescent="0.2">
      <c r="C151" s="569">
        <v>148</v>
      </c>
      <c r="D151" s="580"/>
      <c r="E151" s="581"/>
      <c r="F151" s="582"/>
      <c r="G151" s="583"/>
      <c r="H151" s="770"/>
      <c r="I151" s="773"/>
      <c r="J151" s="776"/>
      <c r="K151" s="779"/>
    </row>
    <row r="152" spans="3:11" x14ac:dyDescent="0.2">
      <c r="C152" s="569">
        <v>149</v>
      </c>
      <c r="D152" s="580"/>
      <c r="E152" s="581"/>
      <c r="F152" s="582"/>
      <c r="G152" s="583"/>
      <c r="H152" s="770"/>
      <c r="I152" s="773"/>
      <c r="J152" s="776"/>
      <c r="K152" s="779"/>
    </row>
    <row r="153" spans="3:11" x14ac:dyDescent="0.2">
      <c r="C153" s="569">
        <v>150</v>
      </c>
      <c r="D153" s="580"/>
      <c r="E153" s="581"/>
      <c r="F153" s="582"/>
      <c r="G153" s="583"/>
      <c r="H153" s="770"/>
      <c r="I153" s="773"/>
      <c r="J153" s="776"/>
      <c r="K153" s="779"/>
    </row>
    <row r="154" spans="3:11" x14ac:dyDescent="0.2">
      <c r="C154" s="569">
        <v>151</v>
      </c>
      <c r="D154" s="580"/>
      <c r="E154" s="581"/>
      <c r="F154" s="582"/>
      <c r="G154" s="583"/>
      <c r="H154" s="770"/>
      <c r="I154" s="773"/>
      <c r="J154" s="776"/>
      <c r="K154" s="779"/>
    </row>
    <row r="155" spans="3:11" x14ac:dyDescent="0.2">
      <c r="C155" s="569">
        <v>152</v>
      </c>
      <c r="D155" s="580"/>
      <c r="E155" s="581"/>
      <c r="F155" s="582"/>
      <c r="G155" s="583"/>
      <c r="H155" s="770"/>
      <c r="I155" s="773"/>
      <c r="J155" s="776"/>
      <c r="K155" s="779"/>
    </row>
    <row r="156" spans="3:11" x14ac:dyDescent="0.2">
      <c r="C156" s="569">
        <v>153</v>
      </c>
      <c r="D156" s="580"/>
      <c r="E156" s="581"/>
      <c r="F156" s="582"/>
      <c r="G156" s="583"/>
      <c r="H156" s="770"/>
      <c r="I156" s="773"/>
      <c r="J156" s="776"/>
      <c r="K156" s="779"/>
    </row>
    <row r="157" spans="3:11" x14ac:dyDescent="0.2">
      <c r="C157" s="569">
        <v>154</v>
      </c>
      <c r="D157" s="580"/>
      <c r="E157" s="581"/>
      <c r="F157" s="582"/>
      <c r="G157" s="583"/>
      <c r="H157" s="770"/>
      <c r="I157" s="773"/>
      <c r="J157" s="776"/>
      <c r="K157" s="779"/>
    </row>
    <row r="158" spans="3:11" x14ac:dyDescent="0.2">
      <c r="C158" s="569">
        <v>155</v>
      </c>
      <c r="D158" s="580"/>
      <c r="E158" s="581"/>
      <c r="F158" s="582"/>
      <c r="G158" s="583"/>
      <c r="H158" s="770"/>
      <c r="I158" s="773"/>
      <c r="J158" s="776"/>
      <c r="K158" s="779"/>
    </row>
    <row r="159" spans="3:11" x14ac:dyDescent="0.2">
      <c r="C159" s="569">
        <v>156</v>
      </c>
      <c r="D159" s="580"/>
      <c r="E159" s="581"/>
      <c r="F159" s="582"/>
      <c r="G159" s="583"/>
      <c r="H159" s="770"/>
      <c r="I159" s="773"/>
      <c r="J159" s="776"/>
      <c r="K159" s="779"/>
    </row>
    <row r="160" spans="3:11" x14ac:dyDescent="0.2">
      <c r="C160" s="569">
        <v>157</v>
      </c>
      <c r="D160" s="580"/>
      <c r="E160" s="581"/>
      <c r="F160" s="582"/>
      <c r="G160" s="583"/>
      <c r="H160" s="770"/>
      <c r="I160" s="773"/>
      <c r="J160" s="776"/>
      <c r="K160" s="779"/>
    </row>
    <row r="161" spans="3:11" x14ac:dyDescent="0.2">
      <c r="C161" s="569">
        <v>158</v>
      </c>
      <c r="D161" s="580"/>
      <c r="E161" s="581"/>
      <c r="F161" s="582"/>
      <c r="G161" s="583"/>
      <c r="H161" s="770"/>
      <c r="I161" s="773"/>
      <c r="J161" s="776"/>
      <c r="K161" s="779"/>
    </row>
    <row r="162" spans="3:11" x14ac:dyDescent="0.2">
      <c r="C162" s="569">
        <v>159</v>
      </c>
      <c r="D162" s="580"/>
      <c r="E162" s="581"/>
      <c r="F162" s="582"/>
      <c r="G162" s="583"/>
      <c r="H162" s="770"/>
      <c r="I162" s="773"/>
      <c r="J162" s="776"/>
      <c r="K162" s="779"/>
    </row>
    <row r="163" spans="3:11" x14ac:dyDescent="0.2">
      <c r="C163" s="569">
        <v>160</v>
      </c>
      <c r="D163" s="580"/>
      <c r="E163" s="581"/>
      <c r="F163" s="582"/>
      <c r="G163" s="583"/>
      <c r="H163" s="770"/>
      <c r="I163" s="773"/>
      <c r="J163" s="776"/>
      <c r="K163" s="779"/>
    </row>
    <row r="164" spans="3:11" x14ac:dyDescent="0.2">
      <c r="C164" s="569">
        <v>161</v>
      </c>
      <c r="D164" s="580"/>
      <c r="E164" s="581"/>
      <c r="F164" s="582"/>
      <c r="G164" s="583"/>
      <c r="H164" s="770"/>
      <c r="I164" s="773"/>
      <c r="J164" s="776"/>
      <c r="K164" s="779"/>
    </row>
    <row r="165" spans="3:11" x14ac:dyDescent="0.2">
      <c r="C165" s="569">
        <v>162</v>
      </c>
      <c r="D165" s="580"/>
      <c r="E165" s="581"/>
      <c r="F165" s="582"/>
      <c r="G165" s="583"/>
      <c r="H165" s="770"/>
      <c r="I165" s="773"/>
      <c r="J165" s="776"/>
      <c r="K165" s="779"/>
    </row>
    <row r="166" spans="3:11" x14ac:dyDescent="0.2">
      <c r="C166" s="569">
        <v>163</v>
      </c>
      <c r="D166" s="580"/>
      <c r="E166" s="581"/>
      <c r="F166" s="582"/>
      <c r="G166" s="583"/>
      <c r="H166" s="770"/>
      <c r="I166" s="773"/>
      <c r="J166" s="776"/>
      <c r="K166" s="779"/>
    </row>
    <row r="167" spans="3:11" x14ac:dyDescent="0.2">
      <c r="C167" s="569">
        <v>164</v>
      </c>
      <c r="D167" s="580"/>
      <c r="E167" s="581"/>
      <c r="F167" s="582"/>
      <c r="G167" s="583"/>
      <c r="H167" s="770"/>
      <c r="I167" s="773"/>
      <c r="J167" s="776"/>
      <c r="K167" s="779"/>
    </row>
    <row r="168" spans="3:11" x14ac:dyDescent="0.2">
      <c r="C168" s="569">
        <v>165</v>
      </c>
      <c r="D168" s="580"/>
      <c r="E168" s="581"/>
      <c r="F168" s="582"/>
      <c r="G168" s="583"/>
      <c r="H168" s="770"/>
      <c r="I168" s="773"/>
      <c r="J168" s="776"/>
      <c r="K168" s="779"/>
    </row>
    <row r="169" spans="3:11" x14ac:dyDescent="0.2">
      <c r="C169" s="569">
        <v>166</v>
      </c>
      <c r="D169" s="580"/>
      <c r="E169" s="581"/>
      <c r="F169" s="582"/>
      <c r="G169" s="583"/>
      <c r="H169" s="770"/>
      <c r="I169" s="773"/>
      <c r="J169" s="776"/>
      <c r="K169" s="779"/>
    </row>
    <row r="170" spans="3:11" x14ac:dyDescent="0.2">
      <c r="C170" s="569">
        <v>167</v>
      </c>
      <c r="D170" s="580"/>
      <c r="E170" s="581"/>
      <c r="F170" s="582"/>
      <c r="G170" s="583"/>
      <c r="H170" s="770"/>
      <c r="I170" s="773"/>
      <c r="J170" s="776"/>
      <c r="K170" s="779"/>
    </row>
    <row r="171" spans="3:11" x14ac:dyDescent="0.2">
      <c r="C171" s="569">
        <v>168</v>
      </c>
      <c r="D171" s="580"/>
      <c r="E171" s="581"/>
      <c r="F171" s="582"/>
      <c r="G171" s="583"/>
      <c r="H171" s="770"/>
      <c r="I171" s="773"/>
      <c r="J171" s="776"/>
      <c r="K171" s="779"/>
    </row>
    <row r="172" spans="3:11" x14ac:dyDescent="0.2">
      <c r="C172" s="569">
        <v>169</v>
      </c>
      <c r="D172" s="580"/>
      <c r="E172" s="581"/>
      <c r="F172" s="582"/>
      <c r="G172" s="583"/>
      <c r="H172" s="770"/>
      <c r="I172" s="773"/>
      <c r="J172" s="776"/>
      <c r="K172" s="779"/>
    </row>
    <row r="173" spans="3:11" x14ac:dyDescent="0.2">
      <c r="C173" s="569">
        <v>170</v>
      </c>
      <c r="D173" s="580"/>
      <c r="E173" s="581"/>
      <c r="F173" s="582"/>
      <c r="G173" s="583"/>
      <c r="H173" s="770"/>
      <c r="I173" s="773"/>
      <c r="J173" s="776"/>
      <c r="K173" s="779"/>
    </row>
    <row r="174" spans="3:11" x14ac:dyDescent="0.2">
      <c r="C174" s="569">
        <v>171</v>
      </c>
      <c r="D174" s="580"/>
      <c r="E174" s="581"/>
      <c r="F174" s="582"/>
      <c r="G174" s="583"/>
      <c r="H174" s="770"/>
      <c r="I174" s="773"/>
      <c r="J174" s="776"/>
      <c r="K174" s="779"/>
    </row>
    <row r="175" spans="3:11" x14ac:dyDescent="0.2">
      <c r="C175" s="569">
        <v>172</v>
      </c>
      <c r="D175" s="580"/>
      <c r="E175" s="581"/>
      <c r="F175" s="582"/>
      <c r="G175" s="583"/>
      <c r="H175" s="770"/>
      <c r="I175" s="773"/>
      <c r="J175" s="776"/>
      <c r="K175" s="779"/>
    </row>
    <row r="176" spans="3:11" x14ac:dyDescent="0.2">
      <c r="C176" s="569">
        <v>173</v>
      </c>
      <c r="D176" s="580"/>
      <c r="E176" s="581"/>
      <c r="F176" s="582"/>
      <c r="G176" s="583"/>
      <c r="H176" s="770"/>
      <c r="I176" s="773"/>
      <c r="J176" s="776"/>
      <c r="K176" s="779"/>
    </row>
    <row r="177" spans="3:11" x14ac:dyDescent="0.2">
      <c r="C177" s="569">
        <v>174</v>
      </c>
      <c r="D177" s="580"/>
      <c r="E177" s="581"/>
      <c r="F177" s="582"/>
      <c r="G177" s="583"/>
      <c r="H177" s="770"/>
      <c r="I177" s="773"/>
      <c r="J177" s="776"/>
      <c r="K177" s="779"/>
    </row>
    <row r="178" spans="3:11" x14ac:dyDescent="0.2">
      <c r="C178" s="569">
        <v>175</v>
      </c>
      <c r="D178" s="580"/>
      <c r="E178" s="581"/>
      <c r="F178" s="582"/>
      <c r="G178" s="583"/>
      <c r="H178" s="770"/>
      <c r="I178" s="773"/>
      <c r="J178" s="776"/>
      <c r="K178" s="779"/>
    </row>
    <row r="179" spans="3:11" x14ac:dyDescent="0.2">
      <c r="C179" s="569">
        <v>176</v>
      </c>
      <c r="D179" s="580"/>
      <c r="E179" s="581"/>
      <c r="F179" s="582"/>
      <c r="G179" s="583"/>
      <c r="H179" s="770"/>
      <c r="I179" s="773"/>
      <c r="J179" s="776"/>
      <c r="K179" s="779"/>
    </row>
    <row r="180" spans="3:11" x14ac:dyDescent="0.2">
      <c r="C180" s="569">
        <v>177</v>
      </c>
      <c r="D180" s="580"/>
      <c r="E180" s="581"/>
      <c r="F180" s="582"/>
      <c r="G180" s="583"/>
      <c r="H180" s="770"/>
      <c r="I180" s="773"/>
      <c r="J180" s="776"/>
      <c r="K180" s="779"/>
    </row>
    <row r="181" spans="3:11" x14ac:dyDescent="0.2">
      <c r="C181" s="569">
        <v>178</v>
      </c>
      <c r="D181" s="580"/>
      <c r="E181" s="581"/>
      <c r="F181" s="582"/>
      <c r="G181" s="583"/>
      <c r="H181" s="770"/>
      <c r="I181" s="773"/>
      <c r="J181" s="776"/>
      <c r="K181" s="779"/>
    </row>
    <row r="182" spans="3:11" x14ac:dyDescent="0.2">
      <c r="C182" s="569">
        <v>179</v>
      </c>
      <c r="D182" s="580"/>
      <c r="E182" s="581"/>
      <c r="F182" s="582"/>
      <c r="G182" s="583"/>
      <c r="H182" s="770"/>
      <c r="I182" s="773"/>
      <c r="J182" s="776"/>
      <c r="K182" s="779"/>
    </row>
    <row r="183" spans="3:11" x14ac:dyDescent="0.2">
      <c r="C183" s="569">
        <v>180</v>
      </c>
      <c r="D183" s="580"/>
      <c r="E183" s="581"/>
      <c r="F183" s="582"/>
      <c r="G183" s="583"/>
      <c r="H183" s="770"/>
      <c r="I183" s="773"/>
      <c r="J183" s="776"/>
      <c r="K183" s="779"/>
    </row>
    <row r="184" spans="3:11" x14ac:dyDescent="0.2">
      <c r="C184" s="569">
        <v>181</v>
      </c>
      <c r="D184" s="580"/>
      <c r="E184" s="581"/>
      <c r="F184" s="582"/>
      <c r="G184" s="583"/>
      <c r="H184" s="770"/>
      <c r="I184" s="773"/>
      <c r="J184" s="776"/>
      <c r="K184" s="779"/>
    </row>
    <row r="185" spans="3:11" x14ac:dyDescent="0.2">
      <c r="C185" s="569">
        <v>182</v>
      </c>
      <c r="D185" s="580"/>
      <c r="E185" s="581"/>
      <c r="F185" s="582"/>
      <c r="G185" s="583"/>
      <c r="H185" s="770"/>
      <c r="I185" s="773"/>
      <c r="J185" s="776"/>
      <c r="K185" s="779"/>
    </row>
    <row r="186" spans="3:11" x14ac:dyDescent="0.2">
      <c r="C186" s="569">
        <v>183</v>
      </c>
      <c r="D186" s="580"/>
      <c r="E186" s="581"/>
      <c r="F186" s="582"/>
      <c r="G186" s="583"/>
      <c r="H186" s="770"/>
      <c r="I186" s="773"/>
      <c r="J186" s="776"/>
      <c r="K186" s="779"/>
    </row>
    <row r="187" spans="3:11" x14ac:dyDescent="0.2">
      <c r="C187" s="569">
        <v>184</v>
      </c>
      <c r="D187" s="580"/>
      <c r="E187" s="581"/>
      <c r="F187" s="582"/>
      <c r="G187" s="583"/>
      <c r="H187" s="770"/>
      <c r="I187" s="773"/>
      <c r="J187" s="776"/>
      <c r="K187" s="779"/>
    </row>
    <row r="188" spans="3:11" x14ac:dyDescent="0.2">
      <c r="C188" s="569">
        <v>185</v>
      </c>
      <c r="D188" s="580"/>
      <c r="E188" s="581"/>
      <c r="F188" s="582"/>
      <c r="G188" s="583"/>
      <c r="H188" s="770"/>
      <c r="I188" s="773"/>
      <c r="J188" s="776"/>
      <c r="K188" s="779"/>
    </row>
    <row r="189" spans="3:11" x14ac:dyDescent="0.2">
      <c r="C189" s="569">
        <v>186</v>
      </c>
      <c r="D189" s="580"/>
      <c r="E189" s="581"/>
      <c r="F189" s="582"/>
      <c r="G189" s="583"/>
      <c r="H189" s="770"/>
      <c r="I189" s="773"/>
      <c r="J189" s="776"/>
      <c r="K189" s="779"/>
    </row>
    <row r="190" spans="3:11" x14ac:dyDescent="0.2">
      <c r="C190" s="569">
        <v>187</v>
      </c>
      <c r="D190" s="580"/>
      <c r="E190" s="581"/>
      <c r="F190" s="582"/>
      <c r="G190" s="583"/>
      <c r="H190" s="770"/>
      <c r="I190" s="773"/>
      <c r="J190" s="776"/>
      <c r="K190" s="779"/>
    </row>
    <row r="191" spans="3:11" x14ac:dyDescent="0.2">
      <c r="C191" s="569">
        <v>188</v>
      </c>
      <c r="D191" s="580"/>
      <c r="E191" s="581"/>
      <c r="F191" s="582"/>
      <c r="G191" s="583"/>
      <c r="H191" s="770"/>
      <c r="I191" s="773"/>
      <c r="J191" s="776"/>
      <c r="K191" s="779"/>
    </row>
    <row r="192" spans="3:11" x14ac:dyDescent="0.2">
      <c r="C192" s="569">
        <v>189</v>
      </c>
      <c r="D192" s="580"/>
      <c r="E192" s="581"/>
      <c r="F192" s="582"/>
      <c r="G192" s="583"/>
      <c r="H192" s="770"/>
      <c r="I192" s="773"/>
      <c r="J192" s="776"/>
      <c r="K192" s="779"/>
    </row>
    <row r="193" spans="3:11" x14ac:dyDescent="0.2">
      <c r="C193" s="569">
        <v>190</v>
      </c>
      <c r="D193" s="580"/>
      <c r="E193" s="581"/>
      <c r="F193" s="582"/>
      <c r="G193" s="583"/>
      <c r="H193" s="770"/>
      <c r="I193" s="773"/>
      <c r="J193" s="776"/>
      <c r="K193" s="779"/>
    </row>
    <row r="194" spans="3:11" x14ac:dyDescent="0.2">
      <c r="C194" s="569">
        <v>191</v>
      </c>
      <c r="D194" s="580"/>
      <c r="E194" s="581"/>
      <c r="F194" s="582"/>
      <c r="G194" s="583"/>
      <c r="H194" s="770"/>
      <c r="I194" s="773"/>
      <c r="J194" s="776"/>
      <c r="K194" s="779"/>
    </row>
    <row r="195" spans="3:11" x14ac:dyDescent="0.2">
      <c r="C195" s="569">
        <v>192</v>
      </c>
      <c r="D195" s="580"/>
      <c r="E195" s="581"/>
      <c r="F195" s="582"/>
      <c r="G195" s="583"/>
      <c r="H195" s="770"/>
      <c r="I195" s="773"/>
      <c r="J195" s="776"/>
      <c r="K195" s="779"/>
    </row>
    <row r="196" spans="3:11" x14ac:dyDescent="0.2">
      <c r="C196" s="569">
        <v>193</v>
      </c>
      <c r="D196" s="580"/>
      <c r="E196" s="581"/>
      <c r="F196" s="582"/>
      <c r="G196" s="583"/>
      <c r="H196" s="770"/>
      <c r="I196" s="773"/>
      <c r="J196" s="776"/>
      <c r="K196" s="779"/>
    </row>
    <row r="197" spans="3:11" x14ac:dyDescent="0.2">
      <c r="C197" s="569">
        <v>194</v>
      </c>
      <c r="D197" s="580"/>
      <c r="E197" s="581"/>
      <c r="F197" s="582"/>
      <c r="G197" s="583"/>
      <c r="H197" s="770"/>
      <c r="I197" s="773"/>
      <c r="J197" s="776"/>
      <c r="K197" s="779"/>
    </row>
    <row r="198" spans="3:11" x14ac:dyDescent="0.2">
      <c r="C198" s="569">
        <v>195</v>
      </c>
      <c r="D198" s="580"/>
      <c r="E198" s="581"/>
      <c r="F198" s="582"/>
      <c r="G198" s="583"/>
      <c r="H198" s="770"/>
      <c r="I198" s="773"/>
      <c r="J198" s="776"/>
      <c r="K198" s="779"/>
    </row>
    <row r="199" spans="3:11" x14ac:dyDescent="0.2">
      <c r="C199" s="569">
        <v>196</v>
      </c>
      <c r="D199" s="580"/>
      <c r="E199" s="581"/>
      <c r="F199" s="582"/>
      <c r="G199" s="583"/>
      <c r="H199" s="770"/>
      <c r="I199" s="773"/>
      <c r="J199" s="776"/>
      <c r="K199" s="779"/>
    </row>
    <row r="200" spans="3:11" x14ac:dyDescent="0.2">
      <c r="C200" s="569">
        <v>197</v>
      </c>
      <c r="D200" s="580"/>
      <c r="E200" s="581"/>
      <c r="F200" s="582"/>
      <c r="G200" s="583"/>
      <c r="H200" s="770"/>
      <c r="I200" s="773"/>
      <c r="J200" s="776"/>
      <c r="K200" s="779"/>
    </row>
    <row r="201" spans="3:11" x14ac:dyDescent="0.2">
      <c r="C201" s="569">
        <v>198</v>
      </c>
      <c r="D201" s="580"/>
      <c r="E201" s="581"/>
      <c r="F201" s="582"/>
      <c r="G201" s="583"/>
      <c r="H201" s="770"/>
      <c r="I201" s="773"/>
      <c r="J201" s="776"/>
      <c r="K201" s="779"/>
    </row>
    <row r="202" spans="3:11" x14ac:dyDescent="0.2">
      <c r="C202" s="569">
        <v>199</v>
      </c>
      <c r="D202" s="580"/>
      <c r="E202" s="581"/>
      <c r="F202" s="582"/>
      <c r="G202" s="583"/>
      <c r="H202" s="770"/>
      <c r="I202" s="773"/>
      <c r="J202" s="776"/>
      <c r="K202" s="779"/>
    </row>
    <row r="203" spans="3:11" x14ac:dyDescent="0.2">
      <c r="C203" s="569">
        <v>200</v>
      </c>
      <c r="D203" s="580"/>
      <c r="E203" s="581"/>
      <c r="F203" s="582"/>
      <c r="G203" s="583"/>
      <c r="H203" s="770"/>
      <c r="I203" s="773"/>
      <c r="J203" s="776"/>
      <c r="K203" s="779"/>
    </row>
    <row r="204" spans="3:11" x14ac:dyDescent="0.2">
      <c r="C204" s="569">
        <v>201</v>
      </c>
      <c r="D204" s="580"/>
      <c r="E204" s="581"/>
      <c r="F204" s="582"/>
      <c r="G204" s="583"/>
      <c r="H204" s="770"/>
      <c r="I204" s="773"/>
      <c r="J204" s="776"/>
      <c r="K204" s="779"/>
    </row>
    <row r="205" spans="3:11" x14ac:dyDescent="0.2">
      <c r="C205" s="569">
        <v>202</v>
      </c>
      <c r="D205" s="580"/>
      <c r="E205" s="581"/>
      <c r="F205" s="582"/>
      <c r="G205" s="583"/>
      <c r="H205" s="770"/>
      <c r="I205" s="773"/>
      <c r="J205" s="776"/>
      <c r="K205" s="779"/>
    </row>
    <row r="206" spans="3:11" x14ac:dyDescent="0.2">
      <c r="C206" s="569">
        <v>203</v>
      </c>
      <c r="D206" s="580"/>
      <c r="E206" s="581"/>
      <c r="F206" s="582"/>
      <c r="G206" s="583"/>
      <c r="H206" s="770"/>
      <c r="I206" s="773"/>
      <c r="J206" s="776"/>
      <c r="K206" s="779"/>
    </row>
    <row r="207" spans="3:11" x14ac:dyDescent="0.2">
      <c r="C207" s="569">
        <v>204</v>
      </c>
      <c r="D207" s="580"/>
      <c r="E207" s="581"/>
      <c r="F207" s="582"/>
      <c r="G207" s="583"/>
      <c r="H207" s="770"/>
      <c r="I207" s="773"/>
      <c r="J207" s="776"/>
      <c r="K207" s="779"/>
    </row>
    <row r="208" spans="3:11" x14ac:dyDescent="0.2">
      <c r="C208" s="569">
        <v>205</v>
      </c>
      <c r="D208" s="580"/>
      <c r="E208" s="581"/>
      <c r="F208" s="582"/>
      <c r="G208" s="583"/>
      <c r="H208" s="770"/>
      <c r="I208" s="773"/>
      <c r="J208" s="776"/>
      <c r="K208" s="779"/>
    </row>
    <row r="209" spans="3:11" x14ac:dyDescent="0.2">
      <c r="C209" s="569">
        <v>206</v>
      </c>
      <c r="D209" s="580"/>
      <c r="E209" s="581"/>
      <c r="F209" s="582"/>
      <c r="G209" s="583"/>
      <c r="H209" s="770"/>
      <c r="I209" s="773"/>
      <c r="J209" s="776"/>
      <c r="K209" s="779"/>
    </row>
    <row r="210" spans="3:11" x14ac:dyDescent="0.2">
      <c r="C210" s="569">
        <v>207</v>
      </c>
      <c r="D210" s="580"/>
      <c r="E210" s="581"/>
      <c r="F210" s="582"/>
      <c r="G210" s="583"/>
      <c r="H210" s="770"/>
      <c r="I210" s="773"/>
      <c r="J210" s="776"/>
      <c r="K210" s="779"/>
    </row>
    <row r="211" spans="3:11" x14ac:dyDescent="0.2">
      <c r="C211" s="569">
        <v>208</v>
      </c>
      <c r="D211" s="580"/>
      <c r="E211" s="581"/>
      <c r="F211" s="582"/>
      <c r="G211" s="583"/>
      <c r="H211" s="770"/>
      <c r="I211" s="773"/>
      <c r="J211" s="776"/>
      <c r="K211" s="779"/>
    </row>
    <row r="212" spans="3:11" x14ac:dyDescent="0.2">
      <c r="C212" s="569">
        <v>209</v>
      </c>
      <c r="D212" s="580"/>
      <c r="E212" s="581"/>
      <c r="F212" s="582"/>
      <c r="G212" s="583"/>
      <c r="H212" s="770"/>
      <c r="I212" s="773"/>
      <c r="J212" s="776"/>
      <c r="K212" s="779"/>
    </row>
    <row r="213" spans="3:11" x14ac:dyDescent="0.2">
      <c r="C213" s="569">
        <v>210</v>
      </c>
      <c r="D213" s="580"/>
      <c r="E213" s="581"/>
      <c r="F213" s="582"/>
      <c r="G213" s="583"/>
      <c r="H213" s="770"/>
      <c r="I213" s="773"/>
      <c r="J213" s="776"/>
      <c r="K213" s="779"/>
    </row>
    <row r="214" spans="3:11" x14ac:dyDescent="0.2">
      <c r="C214" s="569">
        <v>211</v>
      </c>
      <c r="D214" s="580"/>
      <c r="E214" s="581"/>
      <c r="F214" s="582"/>
      <c r="G214" s="583"/>
      <c r="H214" s="770"/>
      <c r="I214" s="773"/>
      <c r="J214" s="776"/>
      <c r="K214" s="779"/>
    </row>
    <row r="215" spans="3:11" x14ac:dyDescent="0.2">
      <c r="C215" s="569">
        <v>212</v>
      </c>
      <c r="D215" s="580"/>
      <c r="E215" s="581"/>
      <c r="F215" s="582"/>
      <c r="G215" s="583"/>
      <c r="H215" s="770"/>
      <c r="I215" s="773"/>
      <c r="J215" s="776"/>
      <c r="K215" s="779"/>
    </row>
    <row r="216" spans="3:11" x14ac:dyDescent="0.2">
      <c r="C216" s="569">
        <v>213</v>
      </c>
      <c r="D216" s="580"/>
      <c r="E216" s="581"/>
      <c r="F216" s="582"/>
      <c r="G216" s="583"/>
      <c r="H216" s="770"/>
      <c r="I216" s="773"/>
      <c r="J216" s="776"/>
      <c r="K216" s="779"/>
    </row>
    <row r="217" spans="3:11" x14ac:dyDescent="0.2">
      <c r="C217" s="569">
        <v>214</v>
      </c>
      <c r="D217" s="580"/>
      <c r="E217" s="581"/>
      <c r="F217" s="582"/>
      <c r="G217" s="583"/>
      <c r="H217" s="770"/>
      <c r="I217" s="773"/>
      <c r="J217" s="776"/>
      <c r="K217" s="779"/>
    </row>
    <row r="218" spans="3:11" x14ac:dyDescent="0.2">
      <c r="C218" s="569">
        <v>215</v>
      </c>
      <c r="D218" s="580"/>
      <c r="E218" s="581"/>
      <c r="F218" s="582"/>
      <c r="G218" s="583"/>
      <c r="H218" s="770"/>
      <c r="I218" s="773"/>
      <c r="J218" s="776"/>
      <c r="K218" s="779"/>
    </row>
    <row r="219" spans="3:11" x14ac:dyDescent="0.2">
      <c r="C219" s="569">
        <v>216</v>
      </c>
      <c r="D219" s="580"/>
      <c r="E219" s="581"/>
      <c r="F219" s="582"/>
      <c r="G219" s="583"/>
      <c r="H219" s="770"/>
      <c r="I219" s="773"/>
      <c r="J219" s="776"/>
      <c r="K219" s="779"/>
    </row>
    <row r="220" spans="3:11" x14ac:dyDescent="0.2">
      <c r="C220" s="569">
        <v>217</v>
      </c>
      <c r="D220" s="580"/>
      <c r="E220" s="581"/>
      <c r="F220" s="582"/>
      <c r="G220" s="583"/>
      <c r="H220" s="770"/>
      <c r="I220" s="773"/>
      <c r="J220" s="776"/>
      <c r="K220" s="779"/>
    </row>
    <row r="221" spans="3:11" x14ac:dyDescent="0.2">
      <c r="C221" s="569">
        <v>218</v>
      </c>
      <c r="D221" s="580"/>
      <c r="E221" s="581"/>
      <c r="F221" s="582"/>
      <c r="G221" s="583"/>
      <c r="H221" s="770"/>
      <c r="I221" s="773"/>
      <c r="J221" s="776"/>
      <c r="K221" s="779"/>
    </row>
    <row r="222" spans="3:11" x14ac:dyDescent="0.2">
      <c r="C222" s="569">
        <v>219</v>
      </c>
      <c r="D222" s="580"/>
      <c r="E222" s="581"/>
      <c r="F222" s="582"/>
      <c r="G222" s="583"/>
      <c r="H222" s="770"/>
      <c r="I222" s="773"/>
      <c r="J222" s="776"/>
      <c r="K222" s="779"/>
    </row>
    <row r="223" spans="3:11" x14ac:dyDescent="0.2">
      <c r="C223" s="569">
        <v>220</v>
      </c>
      <c r="D223" s="580"/>
      <c r="E223" s="581"/>
      <c r="F223" s="582"/>
      <c r="G223" s="583"/>
      <c r="H223" s="770"/>
      <c r="I223" s="773"/>
      <c r="J223" s="776"/>
      <c r="K223" s="779"/>
    </row>
    <row r="224" spans="3:11" x14ac:dyDescent="0.2">
      <c r="C224" s="569">
        <v>221</v>
      </c>
      <c r="D224" s="580"/>
      <c r="E224" s="581"/>
      <c r="F224" s="582"/>
      <c r="G224" s="583"/>
      <c r="H224" s="770"/>
      <c r="I224" s="773"/>
      <c r="J224" s="776"/>
      <c r="K224" s="779"/>
    </row>
    <row r="225" spans="3:11" x14ac:dyDescent="0.2">
      <c r="C225" s="569">
        <v>222</v>
      </c>
      <c r="D225" s="580"/>
      <c r="E225" s="581"/>
      <c r="F225" s="582"/>
      <c r="G225" s="583"/>
      <c r="H225" s="770"/>
      <c r="I225" s="773"/>
      <c r="J225" s="776"/>
      <c r="K225" s="779"/>
    </row>
    <row r="226" spans="3:11" x14ac:dyDescent="0.2">
      <c r="C226" s="569">
        <v>223</v>
      </c>
      <c r="D226" s="580"/>
      <c r="E226" s="581"/>
      <c r="F226" s="582"/>
      <c r="G226" s="583"/>
      <c r="H226" s="770"/>
      <c r="I226" s="773"/>
      <c r="J226" s="776"/>
      <c r="K226" s="779"/>
    </row>
    <row r="227" spans="3:11" x14ac:dyDescent="0.2">
      <c r="C227" s="569">
        <v>224</v>
      </c>
      <c r="D227" s="580"/>
      <c r="E227" s="581"/>
      <c r="F227" s="582"/>
      <c r="G227" s="583"/>
      <c r="H227" s="770"/>
      <c r="I227" s="773"/>
      <c r="J227" s="776"/>
      <c r="K227" s="779"/>
    </row>
    <row r="228" spans="3:11" x14ac:dyDescent="0.2">
      <c r="C228" s="569">
        <v>225</v>
      </c>
      <c r="D228" s="580"/>
      <c r="E228" s="581"/>
      <c r="F228" s="582"/>
      <c r="G228" s="583"/>
      <c r="H228" s="770"/>
      <c r="I228" s="773"/>
      <c r="J228" s="776"/>
      <c r="K228" s="779"/>
    </row>
    <row r="229" spans="3:11" x14ac:dyDescent="0.2">
      <c r="C229" s="569">
        <v>226</v>
      </c>
      <c r="D229" s="580"/>
      <c r="E229" s="581"/>
      <c r="F229" s="582"/>
      <c r="G229" s="583"/>
      <c r="H229" s="770"/>
      <c r="I229" s="773"/>
      <c r="J229" s="776"/>
      <c r="K229" s="779"/>
    </row>
    <row r="230" spans="3:11" x14ac:dyDescent="0.2">
      <c r="C230" s="569">
        <v>227</v>
      </c>
      <c r="D230" s="580"/>
      <c r="E230" s="581"/>
      <c r="F230" s="582"/>
      <c r="G230" s="583"/>
      <c r="H230" s="770"/>
      <c r="I230" s="773"/>
      <c r="J230" s="776"/>
      <c r="K230" s="779"/>
    </row>
    <row r="231" spans="3:11" x14ac:dyDescent="0.2">
      <c r="C231" s="569">
        <v>228</v>
      </c>
      <c r="D231" s="580"/>
      <c r="E231" s="581"/>
      <c r="F231" s="582"/>
      <c r="G231" s="583"/>
      <c r="H231" s="770"/>
      <c r="I231" s="773"/>
      <c r="J231" s="776"/>
      <c r="K231" s="779"/>
    </row>
    <row r="232" spans="3:11" x14ac:dyDescent="0.2">
      <c r="C232" s="569">
        <v>229</v>
      </c>
      <c r="D232" s="580"/>
      <c r="E232" s="581"/>
      <c r="F232" s="582"/>
      <c r="G232" s="583"/>
      <c r="H232" s="770"/>
      <c r="I232" s="773"/>
      <c r="J232" s="776"/>
      <c r="K232" s="779"/>
    </row>
    <row r="233" spans="3:11" x14ac:dyDescent="0.2">
      <c r="C233" s="569">
        <v>230</v>
      </c>
      <c r="D233" s="580"/>
      <c r="E233" s="581"/>
      <c r="F233" s="582"/>
      <c r="G233" s="583"/>
      <c r="H233" s="770"/>
      <c r="I233" s="773"/>
      <c r="J233" s="776"/>
      <c r="K233" s="779"/>
    </row>
    <row r="234" spans="3:11" x14ac:dyDescent="0.2">
      <c r="C234" s="569">
        <v>231</v>
      </c>
      <c r="D234" s="580"/>
      <c r="E234" s="581"/>
      <c r="F234" s="582"/>
      <c r="G234" s="583"/>
      <c r="H234" s="770"/>
      <c r="I234" s="773"/>
      <c r="J234" s="776"/>
      <c r="K234" s="779"/>
    </row>
    <row r="235" spans="3:11" x14ac:dyDescent="0.2">
      <c r="C235" s="569">
        <v>232</v>
      </c>
      <c r="D235" s="580"/>
      <c r="E235" s="581"/>
      <c r="F235" s="582"/>
      <c r="G235" s="583"/>
      <c r="H235" s="770"/>
      <c r="I235" s="773"/>
      <c r="J235" s="776"/>
      <c r="K235" s="779"/>
    </row>
    <row r="236" spans="3:11" x14ac:dyDescent="0.2">
      <c r="C236" s="569">
        <v>233</v>
      </c>
      <c r="D236" s="580"/>
      <c r="E236" s="581"/>
      <c r="F236" s="582"/>
      <c r="G236" s="583"/>
      <c r="H236" s="770"/>
      <c r="I236" s="773"/>
      <c r="J236" s="776"/>
      <c r="K236" s="779"/>
    </row>
    <row r="237" spans="3:11" x14ac:dyDescent="0.2">
      <c r="C237" s="569">
        <v>234</v>
      </c>
      <c r="D237" s="580"/>
      <c r="E237" s="581"/>
      <c r="F237" s="582"/>
      <c r="G237" s="583"/>
      <c r="H237" s="770"/>
      <c r="I237" s="773"/>
      <c r="J237" s="776"/>
      <c r="K237" s="779"/>
    </row>
    <row r="238" spans="3:11" x14ac:dyDescent="0.2">
      <c r="C238" s="569">
        <v>235</v>
      </c>
      <c r="D238" s="580"/>
      <c r="E238" s="581"/>
      <c r="F238" s="582"/>
      <c r="G238" s="583"/>
      <c r="H238" s="770"/>
      <c r="I238" s="773"/>
      <c r="J238" s="776"/>
      <c r="K238" s="779"/>
    </row>
    <row r="239" spans="3:11" x14ac:dyDescent="0.2">
      <c r="C239" s="569">
        <v>236</v>
      </c>
      <c r="D239" s="580"/>
      <c r="E239" s="581"/>
      <c r="F239" s="582"/>
      <c r="G239" s="583"/>
      <c r="H239" s="770"/>
      <c r="I239" s="773"/>
      <c r="J239" s="776"/>
      <c r="K239" s="779"/>
    </row>
    <row r="240" spans="3:11" x14ac:dyDescent="0.2">
      <c r="C240" s="569">
        <v>237</v>
      </c>
      <c r="D240" s="580"/>
      <c r="E240" s="581"/>
      <c r="F240" s="582"/>
      <c r="G240" s="583"/>
      <c r="H240" s="770"/>
      <c r="I240" s="773"/>
      <c r="J240" s="776"/>
      <c r="K240" s="779"/>
    </row>
    <row r="241" spans="3:11" x14ac:dyDescent="0.2">
      <c r="C241" s="569">
        <v>238</v>
      </c>
      <c r="D241" s="580"/>
      <c r="E241" s="581"/>
      <c r="F241" s="582"/>
      <c r="G241" s="583"/>
      <c r="H241" s="770"/>
      <c r="I241" s="773"/>
      <c r="J241" s="776"/>
      <c r="K241" s="779"/>
    </row>
    <row r="242" spans="3:11" x14ac:dyDescent="0.2">
      <c r="C242" s="569">
        <v>239</v>
      </c>
      <c r="D242" s="580"/>
      <c r="E242" s="581"/>
      <c r="F242" s="582"/>
      <c r="G242" s="583"/>
      <c r="H242" s="770"/>
      <c r="I242" s="773"/>
      <c r="J242" s="776"/>
      <c r="K242" s="779"/>
    </row>
    <row r="243" spans="3:11" x14ac:dyDescent="0.2">
      <c r="C243" s="569">
        <v>240</v>
      </c>
      <c r="D243" s="580"/>
      <c r="E243" s="581"/>
      <c r="F243" s="582"/>
      <c r="G243" s="583"/>
      <c r="H243" s="770"/>
      <c r="I243" s="773"/>
      <c r="J243" s="776"/>
      <c r="K243" s="779"/>
    </row>
    <row r="244" spans="3:11" x14ac:dyDescent="0.2">
      <c r="C244" s="569">
        <v>241</v>
      </c>
      <c r="D244" s="580"/>
      <c r="E244" s="581"/>
      <c r="F244" s="582"/>
      <c r="G244" s="583"/>
      <c r="H244" s="770"/>
      <c r="I244" s="773"/>
      <c r="J244" s="776"/>
      <c r="K244" s="779"/>
    </row>
    <row r="245" spans="3:11" x14ac:dyDescent="0.2">
      <c r="C245" s="569">
        <v>242</v>
      </c>
      <c r="D245" s="580"/>
      <c r="E245" s="581"/>
      <c r="F245" s="582"/>
      <c r="G245" s="583"/>
      <c r="H245" s="770"/>
      <c r="I245" s="773"/>
      <c r="J245" s="776"/>
      <c r="K245" s="779"/>
    </row>
    <row r="246" spans="3:11" x14ac:dyDescent="0.2">
      <c r="C246" s="569">
        <v>243</v>
      </c>
      <c r="D246" s="580"/>
      <c r="E246" s="581"/>
      <c r="F246" s="582"/>
      <c r="G246" s="583"/>
      <c r="H246" s="770"/>
      <c r="I246" s="773"/>
      <c r="J246" s="776"/>
      <c r="K246" s="779"/>
    </row>
    <row r="247" spans="3:11" x14ac:dyDescent="0.2">
      <c r="C247" s="569">
        <v>244</v>
      </c>
      <c r="D247" s="580"/>
      <c r="E247" s="581"/>
      <c r="F247" s="582"/>
      <c r="G247" s="583"/>
      <c r="H247" s="770"/>
      <c r="I247" s="773"/>
      <c r="J247" s="776"/>
      <c r="K247" s="779"/>
    </row>
    <row r="248" spans="3:11" x14ac:dyDescent="0.2">
      <c r="C248" s="569">
        <v>245</v>
      </c>
      <c r="D248" s="580"/>
      <c r="E248" s="581"/>
      <c r="F248" s="582"/>
      <c r="G248" s="583"/>
      <c r="H248" s="770"/>
      <c r="I248" s="773"/>
      <c r="J248" s="776"/>
      <c r="K248" s="779"/>
    </row>
    <row r="249" spans="3:11" x14ac:dyDescent="0.2">
      <c r="C249" s="569">
        <v>246</v>
      </c>
      <c r="D249" s="580"/>
      <c r="E249" s="581"/>
      <c r="F249" s="582"/>
      <c r="G249" s="583"/>
      <c r="H249" s="770"/>
      <c r="I249" s="773"/>
      <c r="J249" s="776"/>
      <c r="K249" s="779"/>
    </row>
    <row r="250" spans="3:11" x14ac:dyDescent="0.2">
      <c r="C250" s="569">
        <v>247</v>
      </c>
      <c r="D250" s="580"/>
      <c r="E250" s="581"/>
      <c r="F250" s="582"/>
      <c r="G250" s="583"/>
      <c r="H250" s="770"/>
      <c r="I250" s="773"/>
      <c r="J250" s="776"/>
      <c r="K250" s="779"/>
    </row>
    <row r="251" spans="3:11" x14ac:dyDescent="0.2">
      <c r="C251" s="569">
        <v>248</v>
      </c>
      <c r="D251" s="580"/>
      <c r="E251" s="581"/>
      <c r="F251" s="582"/>
      <c r="G251" s="583"/>
      <c r="H251" s="770"/>
      <c r="I251" s="773"/>
      <c r="J251" s="776"/>
      <c r="K251" s="779"/>
    </row>
    <row r="252" spans="3:11" x14ac:dyDescent="0.2">
      <c r="C252" s="569">
        <v>249</v>
      </c>
      <c r="D252" s="580"/>
      <c r="E252" s="581"/>
      <c r="F252" s="582"/>
      <c r="G252" s="583"/>
      <c r="H252" s="770"/>
      <c r="I252" s="773"/>
      <c r="J252" s="776"/>
      <c r="K252" s="779"/>
    </row>
    <row r="253" spans="3:11" x14ac:dyDescent="0.2">
      <c r="C253" s="569">
        <v>250</v>
      </c>
      <c r="D253" s="580"/>
      <c r="E253" s="581"/>
      <c r="F253" s="582"/>
      <c r="G253" s="583"/>
      <c r="H253" s="770"/>
      <c r="I253" s="773"/>
      <c r="J253" s="776"/>
      <c r="K253" s="779"/>
    </row>
    <row r="254" spans="3:11" x14ac:dyDescent="0.2">
      <c r="C254" s="569">
        <v>251</v>
      </c>
      <c r="D254" s="580"/>
      <c r="E254" s="581"/>
      <c r="F254" s="582"/>
      <c r="G254" s="583"/>
      <c r="H254" s="770"/>
      <c r="I254" s="773"/>
      <c r="J254" s="776"/>
      <c r="K254" s="779"/>
    </row>
    <row r="255" spans="3:11" x14ac:dyDescent="0.2">
      <c r="C255" s="569">
        <v>252</v>
      </c>
      <c r="D255" s="580"/>
      <c r="E255" s="581"/>
      <c r="F255" s="582"/>
      <c r="G255" s="583"/>
      <c r="H255" s="770"/>
      <c r="I255" s="773"/>
      <c r="J255" s="776"/>
      <c r="K255" s="779"/>
    </row>
    <row r="256" spans="3:11" x14ac:dyDescent="0.2">
      <c r="C256" s="569">
        <v>253</v>
      </c>
      <c r="D256" s="580"/>
      <c r="E256" s="581"/>
      <c r="F256" s="582"/>
      <c r="G256" s="583"/>
      <c r="H256" s="770"/>
      <c r="I256" s="773"/>
      <c r="J256" s="776"/>
      <c r="K256" s="779"/>
    </row>
    <row r="257" spans="3:11" x14ac:dyDescent="0.2">
      <c r="C257" s="569">
        <v>254</v>
      </c>
      <c r="D257" s="580"/>
      <c r="E257" s="581"/>
      <c r="F257" s="582"/>
      <c r="G257" s="583"/>
      <c r="H257" s="770"/>
      <c r="I257" s="773"/>
      <c r="J257" s="776"/>
      <c r="K257" s="779"/>
    </row>
    <row r="258" spans="3:11" x14ac:dyDescent="0.2">
      <c r="C258" s="569">
        <v>255</v>
      </c>
      <c r="D258" s="580"/>
      <c r="E258" s="581"/>
      <c r="F258" s="582"/>
      <c r="G258" s="583"/>
      <c r="H258" s="770"/>
      <c r="I258" s="773"/>
      <c r="J258" s="776"/>
      <c r="K258" s="779"/>
    </row>
    <row r="259" spans="3:11" x14ac:dyDescent="0.2">
      <c r="C259" s="569">
        <v>256</v>
      </c>
      <c r="D259" s="580"/>
      <c r="E259" s="581"/>
      <c r="F259" s="582"/>
      <c r="G259" s="583"/>
      <c r="H259" s="770"/>
      <c r="I259" s="773"/>
      <c r="J259" s="776"/>
      <c r="K259" s="779"/>
    </row>
    <row r="260" spans="3:11" x14ac:dyDescent="0.2">
      <c r="C260" s="569">
        <v>257</v>
      </c>
      <c r="D260" s="580"/>
      <c r="E260" s="581"/>
      <c r="F260" s="582"/>
      <c r="G260" s="583"/>
      <c r="H260" s="770"/>
      <c r="I260" s="773"/>
      <c r="J260" s="776"/>
      <c r="K260" s="779"/>
    </row>
    <row r="261" spans="3:11" x14ac:dyDescent="0.2">
      <c r="C261" s="569">
        <v>258</v>
      </c>
      <c r="D261" s="580"/>
      <c r="E261" s="581"/>
      <c r="F261" s="582"/>
      <c r="G261" s="583"/>
      <c r="H261" s="770"/>
      <c r="I261" s="773"/>
      <c r="J261" s="776"/>
      <c r="K261" s="779"/>
    </row>
    <row r="262" spans="3:11" x14ac:dyDescent="0.2">
      <c r="C262" s="569">
        <v>259</v>
      </c>
      <c r="D262" s="580"/>
      <c r="E262" s="581"/>
      <c r="F262" s="582"/>
      <c r="G262" s="583"/>
      <c r="H262" s="770"/>
      <c r="I262" s="773"/>
      <c r="J262" s="776"/>
      <c r="K262" s="779"/>
    </row>
    <row r="263" spans="3:11" x14ac:dyDescent="0.2">
      <c r="C263" s="569">
        <v>260</v>
      </c>
      <c r="D263" s="580"/>
      <c r="E263" s="581"/>
      <c r="F263" s="582"/>
      <c r="G263" s="583"/>
      <c r="H263" s="770"/>
      <c r="I263" s="773"/>
      <c r="J263" s="776"/>
      <c r="K263" s="779"/>
    </row>
    <row r="264" spans="3:11" x14ac:dyDescent="0.2">
      <c r="C264" s="569">
        <v>261</v>
      </c>
      <c r="D264" s="580"/>
      <c r="E264" s="581"/>
      <c r="F264" s="582"/>
      <c r="G264" s="583"/>
      <c r="H264" s="770"/>
      <c r="I264" s="773"/>
      <c r="J264" s="776"/>
      <c r="K264" s="779"/>
    </row>
    <row r="265" spans="3:11" x14ac:dyDescent="0.2">
      <c r="C265" s="569">
        <v>262</v>
      </c>
      <c r="D265" s="580"/>
      <c r="E265" s="581"/>
      <c r="F265" s="582"/>
      <c r="G265" s="583"/>
      <c r="H265" s="770"/>
      <c r="I265" s="773"/>
      <c r="J265" s="776"/>
      <c r="K265" s="779"/>
    </row>
    <row r="266" spans="3:11" x14ac:dyDescent="0.2">
      <c r="C266" s="569">
        <v>263</v>
      </c>
      <c r="D266" s="580"/>
      <c r="E266" s="581"/>
      <c r="F266" s="582"/>
      <c r="G266" s="583"/>
      <c r="H266" s="770"/>
      <c r="I266" s="773"/>
      <c r="J266" s="776"/>
      <c r="K266" s="779"/>
    </row>
    <row r="267" spans="3:11" x14ac:dyDescent="0.2">
      <c r="C267" s="569">
        <v>264</v>
      </c>
      <c r="D267" s="580"/>
      <c r="E267" s="581"/>
      <c r="F267" s="582"/>
      <c r="G267" s="583"/>
      <c r="H267" s="770"/>
      <c r="I267" s="773"/>
      <c r="J267" s="776"/>
      <c r="K267" s="779"/>
    </row>
    <row r="268" spans="3:11" x14ac:dyDescent="0.2">
      <c r="C268" s="569">
        <v>265</v>
      </c>
      <c r="D268" s="580"/>
      <c r="E268" s="581"/>
      <c r="F268" s="582"/>
      <c r="G268" s="583"/>
      <c r="H268" s="770"/>
      <c r="I268" s="773"/>
      <c r="J268" s="776"/>
      <c r="K268" s="779"/>
    </row>
    <row r="269" spans="3:11" x14ac:dyDescent="0.2">
      <c r="C269" s="569">
        <v>266</v>
      </c>
      <c r="D269" s="580"/>
      <c r="E269" s="581"/>
      <c r="F269" s="582"/>
      <c r="G269" s="583"/>
      <c r="H269" s="770"/>
      <c r="I269" s="773"/>
      <c r="J269" s="776"/>
      <c r="K269" s="779"/>
    </row>
    <row r="270" spans="3:11" x14ac:dyDescent="0.2">
      <c r="C270" s="569">
        <v>267</v>
      </c>
      <c r="D270" s="580"/>
      <c r="E270" s="581"/>
      <c r="F270" s="582"/>
      <c r="G270" s="583"/>
      <c r="H270" s="770"/>
      <c r="I270" s="773"/>
      <c r="J270" s="776"/>
      <c r="K270" s="779"/>
    </row>
    <row r="271" spans="3:11" x14ac:dyDescent="0.2">
      <c r="C271" s="569">
        <v>268</v>
      </c>
      <c r="D271" s="580"/>
      <c r="E271" s="581"/>
      <c r="F271" s="582"/>
      <c r="G271" s="583"/>
      <c r="H271" s="770"/>
      <c r="I271" s="773"/>
      <c r="J271" s="776"/>
      <c r="K271" s="779"/>
    </row>
    <row r="272" spans="3:11" x14ac:dyDescent="0.2">
      <c r="C272" s="569">
        <v>269</v>
      </c>
      <c r="D272" s="580"/>
      <c r="E272" s="581"/>
      <c r="F272" s="582"/>
      <c r="G272" s="583"/>
      <c r="H272" s="770"/>
      <c r="I272" s="773"/>
      <c r="J272" s="776"/>
      <c r="K272" s="779"/>
    </row>
    <row r="273" spans="3:11" x14ac:dyDescent="0.2">
      <c r="C273" s="569">
        <v>270</v>
      </c>
      <c r="D273" s="580"/>
      <c r="E273" s="581"/>
      <c r="F273" s="582"/>
      <c r="G273" s="583"/>
      <c r="H273" s="770"/>
      <c r="I273" s="773"/>
      <c r="J273" s="776"/>
      <c r="K273" s="779"/>
    </row>
    <row r="274" spans="3:11" x14ac:dyDescent="0.2">
      <c r="C274" s="569">
        <v>271</v>
      </c>
      <c r="D274" s="580"/>
      <c r="E274" s="581"/>
      <c r="F274" s="582"/>
      <c r="G274" s="583"/>
      <c r="H274" s="770"/>
      <c r="I274" s="773"/>
      <c r="J274" s="776"/>
      <c r="K274" s="779"/>
    </row>
    <row r="275" spans="3:11" x14ac:dyDescent="0.2">
      <c r="C275" s="569">
        <v>272</v>
      </c>
      <c r="D275" s="580"/>
      <c r="E275" s="581"/>
      <c r="F275" s="582"/>
      <c r="G275" s="583"/>
      <c r="H275" s="770"/>
      <c r="I275" s="773"/>
      <c r="J275" s="776"/>
      <c r="K275" s="779"/>
    </row>
    <row r="276" spans="3:11" x14ac:dyDescent="0.2">
      <c r="C276" s="569">
        <v>273</v>
      </c>
      <c r="D276" s="580"/>
      <c r="E276" s="581"/>
      <c r="F276" s="582"/>
      <c r="G276" s="583"/>
      <c r="H276" s="770"/>
      <c r="I276" s="773"/>
      <c r="J276" s="776"/>
      <c r="K276" s="779"/>
    </row>
    <row r="277" spans="3:11" x14ac:dyDescent="0.2">
      <c r="C277" s="569">
        <v>274</v>
      </c>
      <c r="D277" s="580"/>
      <c r="E277" s="581"/>
      <c r="F277" s="582"/>
      <c r="G277" s="583"/>
      <c r="H277" s="770"/>
      <c r="I277" s="773"/>
      <c r="J277" s="776"/>
      <c r="K277" s="779"/>
    </row>
    <row r="278" spans="3:11" x14ac:dyDescent="0.2">
      <c r="C278" s="569">
        <v>275</v>
      </c>
      <c r="D278" s="580"/>
      <c r="E278" s="581"/>
      <c r="F278" s="582"/>
      <c r="G278" s="583"/>
      <c r="H278" s="770"/>
      <c r="I278" s="773"/>
      <c r="J278" s="776"/>
      <c r="K278" s="779"/>
    </row>
    <row r="279" spans="3:11" x14ac:dyDescent="0.2">
      <c r="C279" s="569">
        <v>276</v>
      </c>
      <c r="D279" s="580"/>
      <c r="E279" s="581"/>
      <c r="F279" s="582"/>
      <c r="G279" s="583"/>
      <c r="H279" s="770"/>
      <c r="I279" s="773"/>
      <c r="J279" s="776"/>
      <c r="K279" s="779"/>
    </row>
    <row r="280" spans="3:11" x14ac:dyDescent="0.2">
      <c r="C280" s="569">
        <v>277</v>
      </c>
      <c r="D280" s="580"/>
      <c r="E280" s="581"/>
      <c r="F280" s="582"/>
      <c r="G280" s="583"/>
      <c r="H280" s="770"/>
      <c r="I280" s="773"/>
      <c r="J280" s="776"/>
      <c r="K280" s="779"/>
    </row>
    <row r="281" spans="3:11" x14ac:dyDescent="0.2">
      <c r="C281" s="569">
        <v>278</v>
      </c>
      <c r="D281" s="580"/>
      <c r="E281" s="581"/>
      <c r="F281" s="582"/>
      <c r="G281" s="583"/>
      <c r="H281" s="770"/>
      <c r="I281" s="773"/>
      <c r="J281" s="776"/>
      <c r="K281" s="779"/>
    </row>
    <row r="282" spans="3:11" x14ac:dyDescent="0.2">
      <c r="C282" s="569">
        <v>279</v>
      </c>
      <c r="D282" s="580"/>
      <c r="E282" s="581"/>
      <c r="F282" s="582"/>
      <c r="G282" s="583"/>
      <c r="H282" s="770"/>
      <c r="I282" s="773"/>
      <c r="J282" s="776"/>
      <c r="K282" s="779"/>
    </row>
    <row r="283" spans="3:11" x14ac:dyDescent="0.2">
      <c r="C283" s="569">
        <v>280</v>
      </c>
      <c r="D283" s="580"/>
      <c r="E283" s="581"/>
      <c r="F283" s="582"/>
      <c r="G283" s="583"/>
      <c r="H283" s="770"/>
      <c r="I283" s="773"/>
      <c r="J283" s="776"/>
      <c r="K283" s="779"/>
    </row>
    <row r="284" spans="3:11" x14ac:dyDescent="0.2">
      <c r="C284" s="569">
        <v>281</v>
      </c>
      <c r="D284" s="580"/>
      <c r="E284" s="581"/>
      <c r="F284" s="582"/>
      <c r="G284" s="583"/>
      <c r="H284" s="770"/>
      <c r="I284" s="773"/>
      <c r="J284" s="776"/>
      <c r="K284" s="779"/>
    </row>
    <row r="285" spans="3:11" x14ac:dyDescent="0.2">
      <c r="C285" s="569">
        <v>282</v>
      </c>
      <c r="D285" s="580"/>
      <c r="E285" s="581"/>
      <c r="F285" s="582"/>
      <c r="G285" s="583"/>
      <c r="H285" s="770"/>
      <c r="I285" s="773"/>
      <c r="J285" s="776"/>
      <c r="K285" s="779"/>
    </row>
    <row r="286" spans="3:11" x14ac:dyDescent="0.2">
      <c r="C286" s="569">
        <v>283</v>
      </c>
      <c r="D286" s="580"/>
      <c r="E286" s="581"/>
      <c r="F286" s="582"/>
      <c r="G286" s="583"/>
      <c r="H286" s="770"/>
      <c r="I286" s="773"/>
      <c r="J286" s="776"/>
      <c r="K286" s="779"/>
    </row>
    <row r="287" spans="3:11" x14ac:dyDescent="0.2">
      <c r="C287" s="569">
        <v>284</v>
      </c>
      <c r="D287" s="580"/>
      <c r="E287" s="581"/>
      <c r="F287" s="582"/>
      <c r="G287" s="583"/>
      <c r="H287" s="770"/>
      <c r="I287" s="773"/>
      <c r="J287" s="776"/>
      <c r="K287" s="779"/>
    </row>
    <row r="288" spans="3:11" x14ac:dyDescent="0.2">
      <c r="C288" s="569">
        <v>285</v>
      </c>
      <c r="D288" s="580"/>
      <c r="E288" s="581"/>
      <c r="F288" s="582"/>
      <c r="G288" s="583"/>
      <c r="H288" s="770"/>
      <c r="I288" s="773"/>
      <c r="J288" s="776"/>
      <c r="K288" s="779"/>
    </row>
    <row r="289" spans="3:11" x14ac:dyDescent="0.2">
      <c r="C289" s="569">
        <v>286</v>
      </c>
      <c r="D289" s="580"/>
      <c r="E289" s="581"/>
      <c r="F289" s="582"/>
      <c r="G289" s="583"/>
      <c r="H289" s="770"/>
      <c r="I289" s="773"/>
      <c r="J289" s="776"/>
      <c r="K289" s="779"/>
    </row>
    <row r="290" spans="3:11" x14ac:dyDescent="0.2">
      <c r="C290" s="569">
        <v>287</v>
      </c>
      <c r="D290" s="580"/>
      <c r="E290" s="581"/>
      <c r="F290" s="582"/>
      <c r="G290" s="583"/>
      <c r="H290" s="770"/>
      <c r="I290" s="773"/>
      <c r="J290" s="776"/>
      <c r="K290" s="779"/>
    </row>
    <row r="291" spans="3:11" x14ac:dyDescent="0.2">
      <c r="C291" s="569">
        <v>288</v>
      </c>
      <c r="D291" s="580"/>
      <c r="E291" s="581"/>
      <c r="F291" s="582"/>
      <c r="G291" s="583"/>
      <c r="H291" s="770"/>
      <c r="I291" s="773"/>
      <c r="J291" s="776"/>
      <c r="K291" s="779"/>
    </row>
    <row r="292" spans="3:11" x14ac:dyDescent="0.2">
      <c r="C292" s="569">
        <v>289</v>
      </c>
      <c r="D292" s="580"/>
      <c r="E292" s="581"/>
      <c r="F292" s="582"/>
      <c r="G292" s="583"/>
      <c r="H292" s="770"/>
      <c r="I292" s="773"/>
      <c r="J292" s="776"/>
      <c r="K292" s="779"/>
    </row>
    <row r="293" spans="3:11" x14ac:dyDescent="0.2">
      <c r="C293" s="569">
        <v>290</v>
      </c>
      <c r="D293" s="580"/>
      <c r="E293" s="581"/>
      <c r="F293" s="582"/>
      <c r="G293" s="583"/>
      <c r="H293" s="770"/>
      <c r="I293" s="773"/>
      <c r="J293" s="776"/>
      <c r="K293" s="779"/>
    </row>
    <row r="294" spans="3:11" x14ac:dyDescent="0.2">
      <c r="C294" s="569">
        <v>291</v>
      </c>
      <c r="D294" s="580"/>
      <c r="E294" s="581"/>
      <c r="F294" s="582"/>
      <c r="G294" s="583"/>
      <c r="H294" s="770"/>
      <c r="I294" s="773"/>
      <c r="J294" s="776"/>
      <c r="K294" s="779"/>
    </row>
    <row r="295" spans="3:11" x14ac:dyDescent="0.2">
      <c r="C295" s="569">
        <v>292</v>
      </c>
      <c r="D295" s="580"/>
      <c r="E295" s="581"/>
      <c r="F295" s="582"/>
      <c r="G295" s="583"/>
      <c r="H295" s="770"/>
      <c r="I295" s="773"/>
      <c r="J295" s="776"/>
      <c r="K295" s="779"/>
    </row>
    <row r="296" spans="3:11" x14ac:dyDescent="0.2">
      <c r="C296" s="569">
        <v>293</v>
      </c>
      <c r="D296" s="580"/>
      <c r="E296" s="581"/>
      <c r="F296" s="582"/>
      <c r="G296" s="583"/>
      <c r="H296" s="770"/>
      <c r="I296" s="773"/>
      <c r="J296" s="776"/>
      <c r="K296" s="779"/>
    </row>
    <row r="297" spans="3:11" x14ac:dyDescent="0.2">
      <c r="C297" s="569">
        <v>294</v>
      </c>
      <c r="D297" s="580"/>
      <c r="E297" s="581"/>
      <c r="F297" s="582"/>
      <c r="G297" s="583"/>
      <c r="H297" s="770"/>
      <c r="I297" s="773"/>
      <c r="J297" s="776"/>
      <c r="K297" s="779"/>
    </row>
    <row r="298" spans="3:11" x14ac:dyDescent="0.2">
      <c r="C298" s="569">
        <v>295</v>
      </c>
      <c r="D298" s="580"/>
      <c r="E298" s="581"/>
      <c r="F298" s="582"/>
      <c r="G298" s="583"/>
      <c r="H298" s="770"/>
      <c r="I298" s="773"/>
      <c r="J298" s="776"/>
      <c r="K298" s="779"/>
    </row>
    <row r="299" spans="3:11" x14ac:dyDescent="0.2">
      <c r="C299" s="569">
        <v>296</v>
      </c>
      <c r="D299" s="580"/>
      <c r="E299" s="581"/>
      <c r="F299" s="582"/>
      <c r="G299" s="583"/>
      <c r="H299" s="770"/>
      <c r="I299" s="773"/>
      <c r="J299" s="776"/>
      <c r="K299" s="779"/>
    </row>
    <row r="300" spans="3:11" x14ac:dyDescent="0.2">
      <c r="C300" s="569">
        <v>297</v>
      </c>
      <c r="D300" s="580"/>
      <c r="E300" s="581"/>
      <c r="F300" s="582"/>
      <c r="G300" s="583"/>
      <c r="H300" s="770"/>
      <c r="I300" s="773"/>
      <c r="J300" s="776"/>
      <c r="K300" s="779"/>
    </row>
    <row r="301" spans="3:11" x14ac:dyDescent="0.2">
      <c r="C301" s="569">
        <v>298</v>
      </c>
      <c r="D301" s="580"/>
      <c r="E301" s="581"/>
      <c r="F301" s="582"/>
      <c r="G301" s="583"/>
      <c r="H301" s="770"/>
      <c r="I301" s="773"/>
      <c r="J301" s="776"/>
      <c r="K301" s="779"/>
    </row>
    <row r="302" spans="3:11" x14ac:dyDescent="0.2">
      <c r="C302" s="569">
        <v>299</v>
      </c>
      <c r="D302" s="580"/>
      <c r="E302" s="581"/>
      <c r="F302" s="582"/>
      <c r="G302" s="583"/>
      <c r="H302" s="770"/>
      <c r="I302" s="773"/>
      <c r="J302" s="776"/>
      <c r="K302" s="779"/>
    </row>
    <row r="303" spans="3:11" x14ac:dyDescent="0.2">
      <c r="C303" s="569">
        <v>300</v>
      </c>
      <c r="D303" s="580"/>
      <c r="E303" s="581"/>
      <c r="F303" s="582"/>
      <c r="G303" s="583"/>
      <c r="H303" s="770"/>
      <c r="I303" s="773"/>
      <c r="J303" s="776"/>
      <c r="K303" s="779"/>
    </row>
    <row r="304" spans="3:11" x14ac:dyDescent="0.2">
      <c r="C304" s="569">
        <v>301</v>
      </c>
      <c r="D304" s="580"/>
      <c r="E304" s="581"/>
      <c r="F304" s="582"/>
      <c r="G304" s="583"/>
      <c r="H304" s="770"/>
      <c r="I304" s="773"/>
      <c r="J304" s="776"/>
      <c r="K304" s="779"/>
    </row>
    <row r="305" spans="3:11" x14ac:dyDescent="0.2">
      <c r="C305" s="569">
        <v>302</v>
      </c>
      <c r="D305" s="580"/>
      <c r="E305" s="581"/>
      <c r="F305" s="582"/>
      <c r="G305" s="583"/>
      <c r="H305" s="770"/>
      <c r="I305" s="773"/>
      <c r="J305" s="776"/>
      <c r="K305" s="779"/>
    </row>
    <row r="306" spans="3:11" x14ac:dyDescent="0.2">
      <c r="C306" s="569">
        <v>303</v>
      </c>
      <c r="D306" s="580"/>
      <c r="E306" s="581"/>
      <c r="F306" s="582"/>
      <c r="G306" s="583"/>
      <c r="H306" s="770"/>
      <c r="I306" s="773"/>
      <c r="J306" s="776"/>
      <c r="K306" s="779"/>
    </row>
    <row r="307" spans="3:11" x14ac:dyDescent="0.2">
      <c r="C307" s="569">
        <v>304</v>
      </c>
      <c r="D307" s="580"/>
      <c r="E307" s="581"/>
      <c r="F307" s="582"/>
      <c r="G307" s="583"/>
      <c r="H307" s="770"/>
      <c r="I307" s="773"/>
      <c r="J307" s="776"/>
      <c r="K307" s="779"/>
    </row>
    <row r="308" spans="3:11" x14ac:dyDescent="0.2">
      <c r="C308" s="569">
        <v>305</v>
      </c>
      <c r="D308" s="580"/>
      <c r="E308" s="581"/>
      <c r="F308" s="582"/>
      <c r="G308" s="583"/>
      <c r="H308" s="770"/>
      <c r="I308" s="773"/>
      <c r="J308" s="776"/>
      <c r="K308" s="779"/>
    </row>
    <row r="309" spans="3:11" x14ac:dyDescent="0.2">
      <c r="C309" s="569">
        <v>306</v>
      </c>
      <c r="D309" s="580"/>
      <c r="E309" s="581"/>
      <c r="F309" s="582"/>
      <c r="G309" s="583"/>
      <c r="H309" s="770"/>
      <c r="I309" s="773"/>
      <c r="J309" s="776"/>
      <c r="K309" s="779"/>
    </row>
    <row r="310" spans="3:11" x14ac:dyDescent="0.2">
      <c r="C310" s="569">
        <v>307</v>
      </c>
      <c r="D310" s="580"/>
      <c r="E310" s="581"/>
      <c r="F310" s="582"/>
      <c r="G310" s="583"/>
      <c r="H310" s="770"/>
      <c r="I310" s="773"/>
      <c r="J310" s="776"/>
      <c r="K310" s="779"/>
    </row>
    <row r="311" spans="3:11" x14ac:dyDescent="0.2">
      <c r="C311" s="569">
        <v>308</v>
      </c>
      <c r="D311" s="580"/>
      <c r="E311" s="581"/>
      <c r="F311" s="582"/>
      <c r="G311" s="583"/>
      <c r="H311" s="770"/>
      <c r="I311" s="773"/>
      <c r="J311" s="776"/>
      <c r="K311" s="779"/>
    </row>
    <row r="312" spans="3:11" x14ac:dyDescent="0.2">
      <c r="C312" s="569">
        <v>309</v>
      </c>
      <c r="D312" s="580"/>
      <c r="E312" s="581"/>
      <c r="F312" s="582"/>
      <c r="G312" s="583"/>
      <c r="H312" s="770"/>
      <c r="I312" s="773"/>
      <c r="J312" s="776"/>
      <c r="K312" s="779"/>
    </row>
    <row r="313" spans="3:11" x14ac:dyDescent="0.2">
      <c r="C313" s="569">
        <v>310</v>
      </c>
      <c r="D313" s="580"/>
      <c r="E313" s="581"/>
      <c r="F313" s="582"/>
      <c r="G313" s="583"/>
      <c r="H313" s="770"/>
      <c r="I313" s="773"/>
      <c r="J313" s="776"/>
      <c r="K313" s="779"/>
    </row>
    <row r="314" spans="3:11" x14ac:dyDescent="0.2">
      <c r="C314" s="569">
        <v>311</v>
      </c>
      <c r="D314" s="580"/>
      <c r="E314" s="581"/>
      <c r="F314" s="582"/>
      <c r="G314" s="583"/>
      <c r="H314" s="770"/>
      <c r="I314" s="773"/>
      <c r="J314" s="776"/>
      <c r="K314" s="779"/>
    </row>
    <row r="315" spans="3:11" x14ac:dyDescent="0.2">
      <c r="C315" s="569">
        <v>312</v>
      </c>
      <c r="D315" s="580"/>
      <c r="E315" s="581"/>
      <c r="F315" s="582"/>
      <c r="G315" s="583"/>
      <c r="H315" s="770"/>
      <c r="I315" s="773"/>
      <c r="J315" s="776"/>
      <c r="K315" s="779"/>
    </row>
    <row r="316" spans="3:11" x14ac:dyDescent="0.2">
      <c r="C316" s="569">
        <v>313</v>
      </c>
      <c r="D316" s="580"/>
      <c r="E316" s="581"/>
      <c r="F316" s="582"/>
      <c r="G316" s="583"/>
      <c r="H316" s="770"/>
      <c r="I316" s="773"/>
      <c r="J316" s="776"/>
      <c r="K316" s="779"/>
    </row>
    <row r="317" spans="3:11" x14ac:dyDescent="0.2">
      <c r="C317" s="569">
        <v>314</v>
      </c>
      <c r="D317" s="580"/>
      <c r="E317" s="581"/>
      <c r="F317" s="582"/>
      <c r="G317" s="583"/>
      <c r="H317" s="770"/>
      <c r="I317" s="773"/>
      <c r="J317" s="776"/>
      <c r="K317" s="779"/>
    </row>
    <row r="318" spans="3:11" x14ac:dyDescent="0.2">
      <c r="C318" s="569">
        <v>315</v>
      </c>
      <c r="D318" s="580"/>
      <c r="E318" s="581"/>
      <c r="F318" s="582"/>
      <c r="G318" s="583"/>
      <c r="H318" s="770"/>
      <c r="I318" s="773"/>
      <c r="J318" s="776"/>
      <c r="K318" s="779"/>
    </row>
    <row r="319" spans="3:11" x14ac:dyDescent="0.2">
      <c r="C319" s="569">
        <v>316</v>
      </c>
      <c r="D319" s="580"/>
      <c r="E319" s="581"/>
      <c r="F319" s="582"/>
      <c r="G319" s="583"/>
      <c r="H319" s="770"/>
      <c r="I319" s="773"/>
      <c r="J319" s="776"/>
      <c r="K319" s="779"/>
    </row>
    <row r="320" spans="3:11" x14ac:dyDescent="0.2">
      <c r="C320" s="569">
        <v>317</v>
      </c>
      <c r="D320" s="580"/>
      <c r="E320" s="581"/>
      <c r="F320" s="582"/>
      <c r="G320" s="583"/>
      <c r="H320" s="770"/>
      <c r="I320" s="773"/>
      <c r="J320" s="776"/>
      <c r="K320" s="779"/>
    </row>
    <row r="321" spans="3:11" x14ac:dyDescent="0.2">
      <c r="C321" s="569">
        <v>318</v>
      </c>
      <c r="D321" s="580"/>
      <c r="E321" s="581"/>
      <c r="F321" s="582"/>
      <c r="G321" s="583"/>
      <c r="H321" s="770"/>
      <c r="I321" s="773"/>
      <c r="J321" s="776"/>
      <c r="K321" s="779"/>
    </row>
    <row r="322" spans="3:11" x14ac:dyDescent="0.2">
      <c r="C322" s="569">
        <v>319</v>
      </c>
      <c r="D322" s="580"/>
      <c r="E322" s="581"/>
      <c r="F322" s="582"/>
      <c r="G322" s="583"/>
      <c r="H322" s="770"/>
      <c r="I322" s="773"/>
      <c r="J322" s="776"/>
      <c r="K322" s="779"/>
    </row>
    <row r="323" spans="3:11" x14ac:dyDescent="0.2">
      <c r="C323" s="569">
        <v>320</v>
      </c>
      <c r="D323" s="580"/>
      <c r="E323" s="581"/>
      <c r="F323" s="582"/>
      <c r="G323" s="583"/>
      <c r="H323" s="770"/>
      <c r="I323" s="773"/>
      <c r="J323" s="776"/>
      <c r="K323" s="779"/>
    </row>
    <row r="324" spans="3:11" x14ac:dyDescent="0.2">
      <c r="C324" s="569">
        <v>321</v>
      </c>
      <c r="D324" s="580"/>
      <c r="E324" s="581"/>
      <c r="F324" s="582"/>
      <c r="G324" s="583"/>
      <c r="H324" s="770"/>
      <c r="I324" s="773"/>
      <c r="J324" s="776"/>
      <c r="K324" s="779"/>
    </row>
    <row r="325" spans="3:11" x14ac:dyDescent="0.2">
      <c r="C325" s="569">
        <v>322</v>
      </c>
      <c r="D325" s="580"/>
      <c r="E325" s="581"/>
      <c r="F325" s="582"/>
      <c r="G325" s="583"/>
      <c r="H325" s="770"/>
      <c r="I325" s="773"/>
      <c r="J325" s="776"/>
      <c r="K325" s="779"/>
    </row>
    <row r="326" spans="3:11" x14ac:dyDescent="0.2">
      <c r="C326" s="569">
        <v>323</v>
      </c>
      <c r="D326" s="580"/>
      <c r="E326" s="581"/>
      <c r="F326" s="582"/>
      <c r="G326" s="583"/>
      <c r="H326" s="770"/>
      <c r="I326" s="773"/>
      <c r="J326" s="776"/>
      <c r="K326" s="779"/>
    </row>
    <row r="327" spans="3:11" x14ac:dyDescent="0.2">
      <c r="C327" s="569">
        <v>324</v>
      </c>
      <c r="D327" s="580"/>
      <c r="E327" s="581"/>
      <c r="F327" s="582"/>
      <c r="G327" s="583"/>
      <c r="H327" s="770"/>
      <c r="I327" s="773"/>
      <c r="J327" s="776"/>
      <c r="K327" s="779"/>
    </row>
    <row r="328" spans="3:11" x14ac:dyDescent="0.2">
      <c r="C328" s="569">
        <v>325</v>
      </c>
      <c r="D328" s="580"/>
      <c r="E328" s="581"/>
      <c r="F328" s="582"/>
      <c r="G328" s="583"/>
      <c r="H328" s="770"/>
      <c r="I328" s="773"/>
      <c r="J328" s="776"/>
      <c r="K328" s="779"/>
    </row>
    <row r="329" spans="3:11" x14ac:dyDescent="0.2">
      <c r="C329" s="569">
        <v>326</v>
      </c>
      <c r="D329" s="580"/>
      <c r="E329" s="581"/>
      <c r="F329" s="582"/>
      <c r="G329" s="583"/>
      <c r="H329" s="770"/>
      <c r="I329" s="773"/>
      <c r="J329" s="776"/>
      <c r="K329" s="779"/>
    </row>
    <row r="330" spans="3:11" x14ac:dyDescent="0.2">
      <c r="C330" s="569">
        <v>327</v>
      </c>
      <c r="D330" s="580"/>
      <c r="E330" s="581"/>
      <c r="F330" s="582"/>
      <c r="G330" s="583"/>
      <c r="H330" s="770"/>
      <c r="I330" s="773"/>
      <c r="J330" s="776"/>
      <c r="K330" s="779"/>
    </row>
    <row r="331" spans="3:11" x14ac:dyDescent="0.2">
      <c r="C331" s="569">
        <v>328</v>
      </c>
      <c r="D331" s="580"/>
      <c r="E331" s="581"/>
      <c r="F331" s="582"/>
      <c r="G331" s="583"/>
      <c r="H331" s="770"/>
      <c r="I331" s="773"/>
      <c r="J331" s="776"/>
      <c r="K331" s="779"/>
    </row>
    <row r="332" spans="3:11" x14ac:dyDescent="0.2">
      <c r="C332" s="569">
        <v>329</v>
      </c>
      <c r="D332" s="580"/>
      <c r="E332" s="581"/>
      <c r="F332" s="582"/>
      <c r="G332" s="583"/>
      <c r="H332" s="770"/>
      <c r="I332" s="773"/>
      <c r="J332" s="776"/>
      <c r="K332" s="779"/>
    </row>
    <row r="333" spans="3:11" x14ac:dyDescent="0.2">
      <c r="C333" s="569">
        <v>330</v>
      </c>
      <c r="D333" s="580"/>
      <c r="E333" s="581"/>
      <c r="F333" s="582"/>
      <c r="G333" s="583"/>
      <c r="H333" s="770"/>
      <c r="I333" s="773"/>
      <c r="J333" s="776"/>
      <c r="K333" s="779"/>
    </row>
    <row r="334" spans="3:11" x14ac:dyDescent="0.2">
      <c r="C334" s="569">
        <v>331</v>
      </c>
      <c r="D334" s="580"/>
      <c r="E334" s="581"/>
      <c r="F334" s="582"/>
      <c r="G334" s="583"/>
      <c r="H334" s="770"/>
      <c r="I334" s="773"/>
      <c r="J334" s="776"/>
      <c r="K334" s="779"/>
    </row>
    <row r="335" spans="3:11" x14ac:dyDescent="0.2">
      <c r="C335" s="569">
        <v>332</v>
      </c>
      <c r="D335" s="580"/>
      <c r="E335" s="581"/>
      <c r="F335" s="582"/>
      <c r="G335" s="583"/>
      <c r="H335" s="770"/>
      <c r="I335" s="773"/>
      <c r="J335" s="776"/>
      <c r="K335" s="779"/>
    </row>
    <row r="336" spans="3:11" x14ac:dyDescent="0.2">
      <c r="C336" s="569">
        <v>333</v>
      </c>
      <c r="D336" s="580"/>
      <c r="E336" s="581"/>
      <c r="F336" s="582"/>
      <c r="G336" s="583"/>
      <c r="H336" s="770"/>
      <c r="I336" s="773"/>
      <c r="J336" s="776"/>
      <c r="K336" s="779"/>
    </row>
    <row r="337" spans="3:11" x14ac:dyDescent="0.2">
      <c r="C337" s="569">
        <v>334</v>
      </c>
      <c r="D337" s="580"/>
      <c r="E337" s="581"/>
      <c r="F337" s="582"/>
      <c r="G337" s="583"/>
      <c r="H337" s="770"/>
      <c r="I337" s="773"/>
      <c r="J337" s="776"/>
      <c r="K337" s="779"/>
    </row>
    <row r="338" spans="3:11" x14ac:dyDescent="0.2">
      <c r="C338" s="569">
        <v>335</v>
      </c>
      <c r="D338" s="580"/>
      <c r="E338" s="581"/>
      <c r="F338" s="582"/>
      <c r="G338" s="583"/>
      <c r="H338" s="770"/>
      <c r="I338" s="773"/>
      <c r="J338" s="776"/>
      <c r="K338" s="779"/>
    </row>
    <row r="339" spans="3:11" x14ac:dyDescent="0.2">
      <c r="C339" s="569">
        <v>336</v>
      </c>
      <c r="D339" s="580"/>
      <c r="E339" s="581"/>
      <c r="F339" s="582"/>
      <c r="G339" s="583"/>
      <c r="H339" s="770"/>
      <c r="I339" s="773"/>
      <c r="J339" s="776"/>
      <c r="K339" s="779"/>
    </row>
    <row r="340" spans="3:11" x14ac:dyDescent="0.2">
      <c r="C340" s="569">
        <v>337</v>
      </c>
      <c r="D340" s="580"/>
      <c r="E340" s="581"/>
      <c r="F340" s="582"/>
      <c r="G340" s="583"/>
      <c r="H340" s="770"/>
      <c r="I340" s="773"/>
      <c r="J340" s="776"/>
      <c r="K340" s="779"/>
    </row>
    <row r="341" spans="3:11" x14ac:dyDescent="0.2">
      <c r="C341" s="569">
        <v>338</v>
      </c>
      <c r="D341" s="580"/>
      <c r="E341" s="581"/>
      <c r="F341" s="582"/>
      <c r="G341" s="583"/>
      <c r="H341" s="770"/>
      <c r="I341" s="773"/>
      <c r="J341" s="776"/>
      <c r="K341" s="779"/>
    </row>
    <row r="342" spans="3:11" x14ac:dyDescent="0.2">
      <c r="C342" s="569">
        <v>339</v>
      </c>
      <c r="D342" s="580"/>
      <c r="E342" s="581"/>
      <c r="F342" s="582"/>
      <c r="G342" s="583"/>
      <c r="H342" s="770"/>
      <c r="I342" s="773"/>
      <c r="J342" s="776"/>
      <c r="K342" s="779"/>
    </row>
    <row r="343" spans="3:11" x14ac:dyDescent="0.2">
      <c r="C343" s="569">
        <v>340</v>
      </c>
      <c r="D343" s="580"/>
      <c r="E343" s="581"/>
      <c r="F343" s="582"/>
      <c r="G343" s="583"/>
      <c r="H343" s="770"/>
      <c r="I343" s="773"/>
      <c r="J343" s="776"/>
      <c r="K343" s="779"/>
    </row>
    <row r="344" spans="3:11" x14ac:dyDescent="0.2">
      <c r="C344" s="569">
        <v>341</v>
      </c>
      <c r="D344" s="580"/>
      <c r="E344" s="581"/>
      <c r="F344" s="582"/>
      <c r="G344" s="583"/>
      <c r="H344" s="770"/>
      <c r="I344" s="773"/>
      <c r="J344" s="776"/>
      <c r="K344" s="779"/>
    </row>
    <row r="345" spans="3:11" x14ac:dyDescent="0.2">
      <c r="C345" s="569">
        <v>342</v>
      </c>
      <c r="D345" s="580"/>
      <c r="E345" s="581"/>
      <c r="F345" s="582"/>
      <c r="G345" s="583"/>
      <c r="H345" s="770"/>
      <c r="I345" s="773"/>
      <c r="J345" s="776"/>
      <c r="K345" s="779"/>
    </row>
    <row r="346" spans="3:11" x14ac:dyDescent="0.2">
      <c r="C346" s="569">
        <v>343</v>
      </c>
      <c r="D346" s="580"/>
      <c r="E346" s="581"/>
      <c r="F346" s="582"/>
      <c r="G346" s="583"/>
      <c r="H346" s="770"/>
      <c r="I346" s="773"/>
      <c r="J346" s="776"/>
      <c r="K346" s="779"/>
    </row>
    <row r="347" spans="3:11" x14ac:dyDescent="0.2">
      <c r="C347" s="569">
        <v>344</v>
      </c>
      <c r="D347" s="580"/>
      <c r="E347" s="581"/>
      <c r="F347" s="582"/>
      <c r="G347" s="583"/>
      <c r="H347" s="770"/>
      <c r="I347" s="773"/>
      <c r="J347" s="776"/>
      <c r="K347" s="779"/>
    </row>
    <row r="348" spans="3:11" x14ac:dyDescent="0.2">
      <c r="C348" s="569">
        <v>345</v>
      </c>
      <c r="D348" s="580"/>
      <c r="E348" s="581"/>
      <c r="F348" s="582"/>
      <c r="G348" s="583"/>
      <c r="H348" s="770"/>
      <c r="I348" s="773"/>
      <c r="J348" s="776"/>
      <c r="K348" s="779"/>
    </row>
    <row r="349" spans="3:11" x14ac:dyDescent="0.2">
      <c r="C349" s="569">
        <v>346</v>
      </c>
      <c r="D349" s="580"/>
      <c r="E349" s="581"/>
      <c r="F349" s="582"/>
      <c r="G349" s="583"/>
      <c r="H349" s="770"/>
      <c r="I349" s="773"/>
      <c r="J349" s="776"/>
      <c r="K349" s="779"/>
    </row>
    <row r="350" spans="3:11" x14ac:dyDescent="0.2">
      <c r="C350" s="569">
        <v>347</v>
      </c>
      <c r="D350" s="580"/>
      <c r="E350" s="581"/>
      <c r="F350" s="582"/>
      <c r="G350" s="583"/>
      <c r="H350" s="770"/>
      <c r="I350" s="773"/>
      <c r="J350" s="776"/>
      <c r="K350" s="779"/>
    </row>
    <row r="351" spans="3:11" x14ac:dyDescent="0.2">
      <c r="C351" s="569">
        <v>348</v>
      </c>
      <c r="D351" s="580"/>
      <c r="E351" s="581"/>
      <c r="F351" s="582"/>
      <c r="G351" s="583"/>
      <c r="H351" s="770"/>
      <c r="I351" s="773"/>
      <c r="J351" s="776"/>
      <c r="K351" s="779"/>
    </row>
    <row r="352" spans="3:11" x14ac:dyDescent="0.2">
      <c r="C352" s="569">
        <v>349</v>
      </c>
      <c r="D352" s="580"/>
      <c r="E352" s="581"/>
      <c r="F352" s="582"/>
      <c r="G352" s="583"/>
      <c r="H352" s="770"/>
      <c r="I352" s="773"/>
      <c r="J352" s="776"/>
      <c r="K352" s="779"/>
    </row>
    <row r="353" spans="3:11" x14ac:dyDescent="0.2">
      <c r="C353" s="569">
        <v>350</v>
      </c>
      <c r="D353" s="580"/>
      <c r="E353" s="581"/>
      <c r="F353" s="582"/>
      <c r="G353" s="583"/>
      <c r="H353" s="770"/>
      <c r="I353" s="773"/>
      <c r="J353" s="776"/>
      <c r="K353" s="779"/>
    </row>
    <row r="354" spans="3:11" x14ac:dyDescent="0.2">
      <c r="C354" s="569">
        <v>351</v>
      </c>
      <c r="D354" s="580"/>
      <c r="E354" s="581"/>
      <c r="F354" s="582"/>
      <c r="G354" s="583"/>
      <c r="H354" s="770"/>
      <c r="I354" s="773"/>
      <c r="J354" s="776"/>
      <c r="K354" s="779"/>
    </row>
    <row r="355" spans="3:11" x14ac:dyDescent="0.2">
      <c r="C355" s="569">
        <v>352</v>
      </c>
      <c r="D355" s="580"/>
      <c r="E355" s="581"/>
      <c r="F355" s="582"/>
      <c r="G355" s="583"/>
      <c r="H355" s="770"/>
      <c r="I355" s="773"/>
      <c r="J355" s="776"/>
      <c r="K355" s="779"/>
    </row>
    <row r="356" spans="3:11" x14ac:dyDescent="0.2">
      <c r="C356" s="569">
        <v>353</v>
      </c>
      <c r="D356" s="580"/>
      <c r="E356" s="581"/>
      <c r="F356" s="582"/>
      <c r="G356" s="583"/>
      <c r="H356" s="770"/>
      <c r="I356" s="773"/>
      <c r="J356" s="776"/>
      <c r="K356" s="779"/>
    </row>
    <row r="357" spans="3:11" x14ac:dyDescent="0.2">
      <c r="C357" s="569">
        <v>354</v>
      </c>
      <c r="D357" s="580"/>
      <c r="E357" s="581"/>
      <c r="F357" s="582"/>
      <c r="G357" s="583"/>
      <c r="H357" s="770"/>
      <c r="I357" s="773"/>
      <c r="J357" s="776"/>
      <c r="K357" s="779"/>
    </row>
    <row r="358" spans="3:11" x14ac:dyDescent="0.2">
      <c r="C358" s="569">
        <v>355</v>
      </c>
      <c r="D358" s="580"/>
      <c r="E358" s="581"/>
      <c r="F358" s="582"/>
      <c r="G358" s="583"/>
      <c r="H358" s="770"/>
      <c r="I358" s="773"/>
      <c r="J358" s="776"/>
      <c r="K358" s="779"/>
    </row>
    <row r="359" spans="3:11" x14ac:dyDescent="0.2">
      <c r="C359" s="569">
        <v>356</v>
      </c>
      <c r="D359" s="580"/>
      <c r="E359" s="581"/>
      <c r="F359" s="582"/>
      <c r="G359" s="583"/>
      <c r="H359" s="770"/>
      <c r="I359" s="773"/>
      <c r="J359" s="776"/>
      <c r="K359" s="779"/>
    </row>
    <row r="360" spans="3:11" x14ac:dyDescent="0.2">
      <c r="C360" s="569">
        <v>357</v>
      </c>
      <c r="D360" s="580"/>
      <c r="E360" s="581"/>
      <c r="F360" s="582"/>
      <c r="G360" s="583"/>
      <c r="H360" s="770"/>
      <c r="I360" s="773"/>
      <c r="J360" s="776"/>
      <c r="K360" s="779"/>
    </row>
    <row r="361" spans="3:11" x14ac:dyDescent="0.2">
      <c r="C361" s="569">
        <v>358</v>
      </c>
      <c r="D361" s="580"/>
      <c r="E361" s="581"/>
      <c r="F361" s="582"/>
      <c r="G361" s="583"/>
      <c r="H361" s="770"/>
      <c r="I361" s="773"/>
      <c r="J361" s="776"/>
      <c r="K361" s="779"/>
    </row>
    <row r="362" spans="3:11" x14ac:dyDescent="0.2">
      <c r="C362" s="569">
        <v>359</v>
      </c>
      <c r="D362" s="580"/>
      <c r="E362" s="581"/>
      <c r="F362" s="582"/>
      <c r="G362" s="583"/>
      <c r="H362" s="770"/>
      <c r="I362" s="773"/>
      <c r="J362" s="776"/>
      <c r="K362" s="779"/>
    </row>
    <row r="363" spans="3:11" x14ac:dyDescent="0.2">
      <c r="C363" s="569">
        <v>360</v>
      </c>
      <c r="D363" s="580"/>
      <c r="E363" s="581"/>
      <c r="F363" s="582"/>
      <c r="G363" s="583"/>
      <c r="H363" s="770"/>
      <c r="I363" s="773"/>
      <c r="J363" s="776"/>
      <c r="K363" s="779"/>
    </row>
    <row r="364" spans="3:11" x14ac:dyDescent="0.2">
      <c r="C364" s="569">
        <v>361</v>
      </c>
      <c r="D364" s="580"/>
      <c r="E364" s="581"/>
      <c r="F364" s="582"/>
      <c r="G364" s="583"/>
      <c r="H364" s="770"/>
      <c r="I364" s="773"/>
      <c r="J364" s="776"/>
      <c r="K364" s="779"/>
    </row>
    <row r="365" spans="3:11" x14ac:dyDescent="0.2">
      <c r="C365" s="569">
        <v>362</v>
      </c>
      <c r="D365" s="580"/>
      <c r="E365" s="581"/>
      <c r="F365" s="582"/>
      <c r="G365" s="583"/>
      <c r="H365" s="770"/>
      <c r="I365" s="773"/>
      <c r="J365" s="776"/>
      <c r="K365" s="779"/>
    </row>
    <row r="366" spans="3:11" x14ac:dyDescent="0.2">
      <c r="C366" s="569">
        <v>363</v>
      </c>
      <c r="D366" s="580"/>
      <c r="E366" s="581"/>
      <c r="F366" s="582"/>
      <c r="G366" s="583"/>
      <c r="H366" s="770"/>
      <c r="I366" s="773"/>
      <c r="J366" s="776"/>
      <c r="K366" s="779"/>
    </row>
    <row r="367" spans="3:11" x14ac:dyDescent="0.2">
      <c r="C367" s="569">
        <v>364</v>
      </c>
      <c r="D367" s="580"/>
      <c r="E367" s="581"/>
      <c r="F367" s="582"/>
      <c r="G367" s="583"/>
      <c r="H367" s="770"/>
      <c r="I367" s="773"/>
      <c r="J367" s="776"/>
      <c r="K367" s="779"/>
    </row>
    <row r="368" spans="3:11" x14ac:dyDescent="0.2">
      <c r="C368" s="569">
        <v>365</v>
      </c>
      <c r="D368" s="580"/>
      <c r="E368" s="581"/>
      <c r="F368" s="582"/>
      <c r="G368" s="583"/>
      <c r="H368" s="770"/>
      <c r="I368" s="773"/>
      <c r="J368" s="776"/>
      <c r="K368" s="779"/>
    </row>
    <row r="369" spans="3:11" x14ac:dyDescent="0.2">
      <c r="C369" s="569">
        <v>366</v>
      </c>
      <c r="D369" s="580"/>
      <c r="E369" s="581"/>
      <c r="F369" s="582"/>
      <c r="G369" s="583"/>
      <c r="H369" s="770"/>
      <c r="I369" s="773"/>
      <c r="J369" s="776"/>
      <c r="K369" s="779"/>
    </row>
    <row r="370" spans="3:11" x14ac:dyDescent="0.2">
      <c r="C370" s="569">
        <v>367</v>
      </c>
      <c r="D370" s="580"/>
      <c r="E370" s="581"/>
      <c r="F370" s="582"/>
      <c r="G370" s="583"/>
      <c r="H370" s="770"/>
      <c r="I370" s="773"/>
      <c r="J370" s="776"/>
      <c r="K370" s="779"/>
    </row>
    <row r="371" spans="3:11" x14ac:dyDescent="0.2">
      <c r="C371" s="569">
        <v>368</v>
      </c>
      <c r="D371" s="580"/>
      <c r="E371" s="581"/>
      <c r="F371" s="582"/>
      <c r="G371" s="583"/>
      <c r="H371" s="770"/>
      <c r="I371" s="773"/>
      <c r="J371" s="776"/>
      <c r="K371" s="779"/>
    </row>
    <row r="372" spans="3:11" x14ac:dyDescent="0.2">
      <c r="C372" s="569">
        <v>369</v>
      </c>
      <c r="D372" s="580"/>
      <c r="E372" s="581"/>
      <c r="F372" s="582"/>
      <c r="G372" s="583"/>
      <c r="H372" s="770"/>
      <c r="I372" s="773"/>
      <c r="J372" s="776"/>
      <c r="K372" s="779"/>
    </row>
    <row r="373" spans="3:11" x14ac:dyDescent="0.2">
      <c r="C373" s="569">
        <v>370</v>
      </c>
      <c r="D373" s="580"/>
      <c r="E373" s="581"/>
      <c r="F373" s="582"/>
      <c r="G373" s="583"/>
      <c r="H373" s="770"/>
      <c r="I373" s="773"/>
      <c r="J373" s="776"/>
      <c r="K373" s="779"/>
    </row>
    <row r="374" spans="3:11" x14ac:dyDescent="0.2">
      <c r="C374" s="569">
        <v>371</v>
      </c>
      <c r="D374" s="580"/>
      <c r="E374" s="581"/>
      <c r="F374" s="582"/>
      <c r="G374" s="583"/>
      <c r="H374" s="770"/>
      <c r="I374" s="773"/>
      <c r="J374" s="776"/>
      <c r="K374" s="779"/>
    </row>
    <row r="375" spans="3:11" x14ac:dyDescent="0.2">
      <c r="C375" s="569">
        <v>372</v>
      </c>
      <c r="D375" s="580"/>
      <c r="E375" s="581"/>
      <c r="F375" s="582"/>
      <c r="G375" s="583"/>
      <c r="H375" s="770"/>
      <c r="I375" s="773"/>
      <c r="J375" s="776"/>
      <c r="K375" s="779"/>
    </row>
    <row r="376" spans="3:11" x14ac:dyDescent="0.2">
      <c r="C376" s="569">
        <v>373</v>
      </c>
      <c r="D376" s="580"/>
      <c r="E376" s="581"/>
      <c r="F376" s="582"/>
      <c r="G376" s="583"/>
      <c r="H376" s="770"/>
      <c r="I376" s="773"/>
      <c r="J376" s="776"/>
      <c r="K376" s="779"/>
    </row>
    <row r="377" spans="3:11" x14ac:dyDescent="0.2">
      <c r="C377" s="569">
        <v>374</v>
      </c>
      <c r="D377" s="580"/>
      <c r="E377" s="581"/>
      <c r="F377" s="582"/>
      <c r="G377" s="583"/>
      <c r="H377" s="770"/>
      <c r="I377" s="773"/>
      <c r="J377" s="776"/>
      <c r="K377" s="779"/>
    </row>
    <row r="378" spans="3:11" x14ac:dyDescent="0.2">
      <c r="C378" s="569">
        <v>375</v>
      </c>
      <c r="D378" s="580"/>
      <c r="E378" s="581"/>
      <c r="F378" s="582"/>
      <c r="G378" s="583"/>
      <c r="H378" s="770"/>
      <c r="I378" s="773"/>
      <c r="J378" s="776"/>
      <c r="K378" s="779"/>
    </row>
    <row r="379" spans="3:11" x14ac:dyDescent="0.2">
      <c r="C379" s="569">
        <v>376</v>
      </c>
      <c r="D379" s="580"/>
      <c r="E379" s="581"/>
      <c r="F379" s="582"/>
      <c r="G379" s="583"/>
      <c r="H379" s="770"/>
      <c r="I379" s="773"/>
      <c r="J379" s="776"/>
      <c r="K379" s="779"/>
    </row>
    <row r="380" spans="3:11" x14ac:dyDescent="0.2">
      <c r="C380" s="569">
        <v>377</v>
      </c>
      <c r="D380" s="580"/>
      <c r="E380" s="581"/>
      <c r="F380" s="582"/>
      <c r="G380" s="583"/>
      <c r="H380" s="770"/>
      <c r="I380" s="773"/>
      <c r="J380" s="776"/>
      <c r="K380" s="779"/>
    </row>
    <row r="381" spans="3:11" x14ac:dyDescent="0.2">
      <c r="C381" s="569">
        <v>378</v>
      </c>
      <c r="D381" s="580"/>
      <c r="E381" s="581"/>
      <c r="F381" s="582"/>
      <c r="G381" s="583"/>
      <c r="H381" s="770"/>
      <c r="I381" s="773"/>
      <c r="J381" s="776"/>
      <c r="K381" s="779"/>
    </row>
    <row r="382" spans="3:11" x14ac:dyDescent="0.2">
      <c r="C382" s="569">
        <v>379</v>
      </c>
      <c r="D382" s="580"/>
      <c r="E382" s="581"/>
      <c r="F382" s="582"/>
      <c r="G382" s="583"/>
      <c r="H382" s="770"/>
      <c r="I382" s="773"/>
      <c r="J382" s="776"/>
      <c r="K382" s="779"/>
    </row>
    <row r="383" spans="3:11" x14ac:dyDescent="0.2">
      <c r="C383" s="569">
        <v>380</v>
      </c>
      <c r="D383" s="580"/>
      <c r="E383" s="581"/>
      <c r="F383" s="582"/>
      <c r="G383" s="583"/>
      <c r="H383" s="770"/>
      <c r="I383" s="773"/>
      <c r="J383" s="776"/>
      <c r="K383" s="779"/>
    </row>
    <row r="384" spans="3:11" x14ac:dyDescent="0.2">
      <c r="C384" s="569">
        <v>381</v>
      </c>
      <c r="D384" s="580"/>
      <c r="E384" s="581"/>
      <c r="F384" s="582"/>
      <c r="G384" s="583"/>
      <c r="H384" s="770"/>
      <c r="I384" s="773"/>
      <c r="J384" s="776"/>
      <c r="K384" s="779"/>
    </row>
    <row r="385" spans="3:11" x14ac:dyDescent="0.2">
      <c r="C385" s="569">
        <v>382</v>
      </c>
      <c r="D385" s="580"/>
      <c r="E385" s="581"/>
      <c r="F385" s="582"/>
      <c r="G385" s="583"/>
      <c r="H385" s="770"/>
      <c r="I385" s="773"/>
      <c r="J385" s="776"/>
      <c r="K385" s="779"/>
    </row>
    <row r="386" spans="3:11" x14ac:dyDescent="0.2">
      <c r="C386" s="569">
        <v>383</v>
      </c>
      <c r="D386" s="580"/>
      <c r="E386" s="581"/>
      <c r="F386" s="582"/>
      <c r="G386" s="583"/>
      <c r="H386" s="770"/>
      <c r="I386" s="773"/>
      <c r="J386" s="776"/>
      <c r="K386" s="779"/>
    </row>
    <row r="387" spans="3:11" x14ac:dyDescent="0.2">
      <c r="C387" s="569">
        <v>384</v>
      </c>
      <c r="D387" s="580"/>
      <c r="E387" s="581"/>
      <c r="F387" s="582"/>
      <c r="G387" s="583"/>
      <c r="H387" s="770"/>
      <c r="I387" s="773"/>
      <c r="J387" s="776"/>
      <c r="K387" s="779"/>
    </row>
    <row r="388" spans="3:11" x14ac:dyDescent="0.2">
      <c r="C388" s="569">
        <v>385</v>
      </c>
      <c r="D388" s="580"/>
      <c r="E388" s="581"/>
      <c r="F388" s="582"/>
      <c r="G388" s="583"/>
      <c r="H388" s="770"/>
      <c r="I388" s="773"/>
      <c r="J388" s="776"/>
      <c r="K388" s="779"/>
    </row>
    <row r="389" spans="3:11" x14ac:dyDescent="0.2">
      <c r="C389" s="569">
        <v>386</v>
      </c>
      <c r="D389" s="580"/>
      <c r="E389" s="581"/>
      <c r="F389" s="582"/>
      <c r="G389" s="583"/>
      <c r="H389" s="770"/>
      <c r="I389" s="773"/>
      <c r="J389" s="776"/>
      <c r="K389" s="779"/>
    </row>
    <row r="390" spans="3:11" x14ac:dyDescent="0.2">
      <c r="C390" s="569">
        <v>387</v>
      </c>
      <c r="D390" s="580"/>
      <c r="E390" s="581"/>
      <c r="F390" s="582"/>
      <c r="G390" s="583"/>
      <c r="H390" s="770"/>
      <c r="I390" s="773"/>
      <c r="J390" s="776"/>
      <c r="K390" s="779"/>
    </row>
    <row r="391" spans="3:11" x14ac:dyDescent="0.2">
      <c r="C391" s="569">
        <v>388</v>
      </c>
      <c r="D391" s="580"/>
      <c r="E391" s="581"/>
      <c r="F391" s="582"/>
      <c r="G391" s="583"/>
      <c r="H391" s="770"/>
      <c r="I391" s="773"/>
      <c r="J391" s="776"/>
      <c r="K391" s="779"/>
    </row>
    <row r="392" spans="3:11" x14ac:dyDescent="0.2">
      <c r="C392" s="569">
        <v>389</v>
      </c>
      <c r="D392" s="580"/>
      <c r="E392" s="581"/>
      <c r="F392" s="582"/>
      <c r="G392" s="583"/>
      <c r="H392" s="770"/>
      <c r="I392" s="773"/>
      <c r="J392" s="776"/>
      <c r="K392" s="779"/>
    </row>
    <row r="393" spans="3:11" x14ac:dyDescent="0.2">
      <c r="C393" s="569">
        <v>390</v>
      </c>
      <c r="D393" s="580"/>
      <c r="E393" s="581"/>
      <c r="F393" s="582"/>
      <c r="G393" s="583"/>
      <c r="H393" s="770"/>
      <c r="I393" s="773"/>
      <c r="J393" s="776"/>
      <c r="K393" s="779"/>
    </row>
    <row r="394" spans="3:11" x14ac:dyDescent="0.2">
      <c r="C394" s="569">
        <v>391</v>
      </c>
      <c r="D394" s="580"/>
      <c r="E394" s="581"/>
      <c r="F394" s="582"/>
      <c r="G394" s="583"/>
      <c r="H394" s="770"/>
      <c r="I394" s="773"/>
      <c r="J394" s="776"/>
      <c r="K394" s="779"/>
    </row>
    <row r="395" spans="3:11" x14ac:dyDescent="0.2">
      <c r="C395" s="569">
        <v>392</v>
      </c>
      <c r="D395" s="580"/>
      <c r="E395" s="581"/>
      <c r="F395" s="582"/>
      <c r="G395" s="583"/>
      <c r="H395" s="770"/>
      <c r="I395" s="773"/>
      <c r="J395" s="776"/>
      <c r="K395" s="779"/>
    </row>
    <row r="396" spans="3:11" x14ac:dyDescent="0.2">
      <c r="C396" s="569">
        <v>393</v>
      </c>
      <c r="D396" s="580"/>
      <c r="E396" s="581"/>
      <c r="F396" s="582"/>
      <c r="G396" s="583"/>
      <c r="H396" s="770"/>
      <c r="I396" s="773"/>
      <c r="J396" s="776"/>
      <c r="K396" s="779"/>
    </row>
    <row r="397" spans="3:11" x14ac:dyDescent="0.2">
      <c r="C397" s="569">
        <v>394</v>
      </c>
      <c r="D397" s="580"/>
      <c r="E397" s="581"/>
      <c r="F397" s="582"/>
      <c r="G397" s="583"/>
      <c r="H397" s="770"/>
      <c r="I397" s="773"/>
      <c r="J397" s="776"/>
      <c r="K397" s="779"/>
    </row>
    <row r="398" spans="3:11" x14ac:dyDescent="0.2">
      <c r="C398" s="569">
        <v>395</v>
      </c>
      <c r="D398" s="580"/>
      <c r="E398" s="581"/>
      <c r="F398" s="582"/>
      <c r="G398" s="583"/>
      <c r="H398" s="770"/>
      <c r="I398" s="773"/>
      <c r="J398" s="776"/>
      <c r="K398" s="779"/>
    </row>
    <row r="399" spans="3:11" x14ac:dyDescent="0.2">
      <c r="C399" s="569">
        <v>396</v>
      </c>
      <c r="D399" s="580"/>
      <c r="E399" s="581"/>
      <c r="F399" s="582"/>
      <c r="G399" s="583"/>
      <c r="H399" s="770"/>
      <c r="I399" s="773"/>
      <c r="J399" s="776"/>
      <c r="K399" s="779"/>
    </row>
    <row r="400" spans="3:11" x14ac:dyDescent="0.2">
      <c r="C400" s="569">
        <v>397</v>
      </c>
      <c r="D400" s="580"/>
      <c r="E400" s="581"/>
      <c r="F400" s="582"/>
      <c r="G400" s="583"/>
      <c r="H400" s="770"/>
      <c r="I400" s="773"/>
      <c r="J400" s="776"/>
      <c r="K400" s="779"/>
    </row>
    <row r="401" spans="3:11" x14ac:dyDescent="0.2">
      <c r="C401" s="569">
        <v>398</v>
      </c>
      <c r="D401" s="580"/>
      <c r="E401" s="581"/>
      <c r="F401" s="582"/>
      <c r="G401" s="583"/>
      <c r="H401" s="770"/>
      <c r="I401" s="773"/>
      <c r="J401" s="776"/>
      <c r="K401" s="779"/>
    </row>
    <row r="402" spans="3:11" x14ac:dyDescent="0.2">
      <c r="C402" s="569">
        <v>399</v>
      </c>
      <c r="D402" s="580"/>
      <c r="E402" s="581"/>
      <c r="F402" s="582"/>
      <c r="G402" s="583"/>
      <c r="H402" s="770"/>
      <c r="I402" s="773"/>
      <c r="J402" s="776"/>
      <c r="K402" s="779"/>
    </row>
    <row r="403" spans="3:11" x14ac:dyDescent="0.2">
      <c r="C403" s="569">
        <v>400</v>
      </c>
      <c r="D403" s="580"/>
      <c r="E403" s="581"/>
      <c r="F403" s="582"/>
      <c r="G403" s="583"/>
      <c r="H403" s="770"/>
      <c r="I403" s="773"/>
      <c r="J403" s="776"/>
      <c r="K403" s="779"/>
    </row>
    <row r="404" spans="3:11" x14ac:dyDescent="0.2">
      <c r="C404" s="569">
        <v>401</v>
      </c>
      <c r="D404" s="580"/>
      <c r="E404" s="581"/>
      <c r="F404" s="582"/>
      <c r="G404" s="583"/>
      <c r="H404" s="770"/>
      <c r="I404" s="773"/>
      <c r="J404" s="776"/>
      <c r="K404" s="779"/>
    </row>
    <row r="405" spans="3:11" x14ac:dyDescent="0.2">
      <c r="C405" s="569">
        <v>402</v>
      </c>
      <c r="D405" s="580"/>
      <c r="E405" s="581"/>
      <c r="F405" s="582"/>
      <c r="G405" s="583"/>
      <c r="H405" s="770"/>
      <c r="I405" s="773"/>
      <c r="J405" s="776"/>
      <c r="K405" s="779"/>
    </row>
    <row r="406" spans="3:11" x14ac:dyDescent="0.2">
      <c r="C406" s="569">
        <v>403</v>
      </c>
      <c r="D406" s="580"/>
      <c r="E406" s="581"/>
      <c r="F406" s="582"/>
      <c r="G406" s="583"/>
      <c r="H406" s="770"/>
      <c r="I406" s="773"/>
      <c r="J406" s="776"/>
      <c r="K406" s="779"/>
    </row>
    <row r="407" spans="3:11" x14ac:dyDescent="0.2">
      <c r="C407" s="569">
        <v>404</v>
      </c>
      <c r="D407" s="580"/>
      <c r="E407" s="581"/>
      <c r="F407" s="582"/>
      <c r="G407" s="583"/>
      <c r="H407" s="770"/>
      <c r="I407" s="773"/>
      <c r="J407" s="776"/>
      <c r="K407" s="779"/>
    </row>
    <row r="408" spans="3:11" x14ac:dyDescent="0.2">
      <c r="C408" s="569">
        <v>405</v>
      </c>
      <c r="D408" s="580"/>
      <c r="E408" s="581"/>
      <c r="F408" s="582"/>
      <c r="G408" s="583"/>
      <c r="H408" s="770"/>
      <c r="I408" s="773"/>
      <c r="J408" s="776"/>
      <c r="K408" s="779"/>
    </row>
    <row r="409" spans="3:11" x14ac:dyDescent="0.2">
      <c r="C409" s="569">
        <v>406</v>
      </c>
      <c r="D409" s="580"/>
      <c r="E409" s="581"/>
      <c r="F409" s="582"/>
      <c r="G409" s="583"/>
      <c r="H409" s="770"/>
      <c r="I409" s="773"/>
      <c r="J409" s="776"/>
      <c r="K409" s="779"/>
    </row>
    <row r="410" spans="3:11" x14ac:dyDescent="0.2">
      <c r="C410" s="569">
        <v>407</v>
      </c>
      <c r="D410" s="580"/>
      <c r="E410" s="581"/>
      <c r="F410" s="582"/>
      <c r="G410" s="583"/>
      <c r="H410" s="770"/>
      <c r="I410" s="773"/>
      <c r="J410" s="776"/>
      <c r="K410" s="779"/>
    </row>
    <row r="411" spans="3:11" x14ac:dyDescent="0.2">
      <c r="C411" s="569">
        <v>408</v>
      </c>
      <c r="D411" s="580"/>
      <c r="E411" s="581"/>
      <c r="F411" s="582"/>
      <c r="G411" s="583"/>
      <c r="H411" s="770"/>
      <c r="I411" s="773"/>
      <c r="J411" s="776"/>
      <c r="K411" s="779"/>
    </row>
    <row r="412" spans="3:11" x14ac:dyDescent="0.2">
      <c r="C412" s="569">
        <v>409</v>
      </c>
      <c r="D412" s="580"/>
      <c r="E412" s="581"/>
      <c r="F412" s="582"/>
      <c r="G412" s="583"/>
      <c r="H412" s="770"/>
      <c r="I412" s="773"/>
      <c r="J412" s="776"/>
      <c r="K412" s="779"/>
    </row>
    <row r="413" spans="3:11" x14ac:dyDescent="0.2">
      <c r="C413" s="569">
        <v>410</v>
      </c>
      <c r="D413" s="580"/>
      <c r="E413" s="581"/>
      <c r="F413" s="582"/>
      <c r="G413" s="583"/>
      <c r="H413" s="770"/>
      <c r="I413" s="773"/>
      <c r="J413" s="776"/>
      <c r="K413" s="779"/>
    </row>
    <row r="414" spans="3:11" x14ac:dyDescent="0.2">
      <c r="C414" s="569">
        <v>411</v>
      </c>
      <c r="D414" s="580"/>
      <c r="E414" s="581"/>
      <c r="F414" s="582"/>
      <c r="G414" s="583"/>
      <c r="H414" s="770"/>
      <c r="I414" s="773"/>
      <c r="J414" s="776"/>
      <c r="K414" s="779"/>
    </row>
    <row r="415" spans="3:11" x14ac:dyDescent="0.2">
      <c r="C415" s="569">
        <v>412</v>
      </c>
      <c r="D415" s="580"/>
      <c r="E415" s="581"/>
      <c r="F415" s="582"/>
      <c r="G415" s="583"/>
      <c r="H415" s="770"/>
      <c r="I415" s="773"/>
      <c r="J415" s="776"/>
      <c r="K415" s="779"/>
    </row>
    <row r="416" spans="3:11" x14ac:dyDescent="0.2">
      <c r="C416" s="569">
        <v>413</v>
      </c>
      <c r="D416" s="580"/>
      <c r="E416" s="581"/>
      <c r="F416" s="582"/>
      <c r="G416" s="583"/>
      <c r="H416" s="770"/>
      <c r="I416" s="773"/>
      <c r="J416" s="776"/>
      <c r="K416" s="779"/>
    </row>
    <row r="417" spans="3:11" x14ac:dyDescent="0.2">
      <c r="C417" s="569">
        <v>414</v>
      </c>
      <c r="D417" s="580"/>
      <c r="E417" s="581"/>
      <c r="F417" s="582"/>
      <c r="G417" s="583"/>
      <c r="H417" s="770"/>
      <c r="I417" s="773"/>
      <c r="J417" s="776"/>
      <c r="K417" s="779"/>
    </row>
    <row r="418" spans="3:11" x14ac:dyDescent="0.2">
      <c r="C418" s="569">
        <v>415</v>
      </c>
      <c r="D418" s="580"/>
      <c r="E418" s="581"/>
      <c r="F418" s="582"/>
      <c r="G418" s="583"/>
      <c r="H418" s="770"/>
      <c r="I418" s="773"/>
      <c r="J418" s="776"/>
      <c r="K418" s="779"/>
    </row>
    <row r="419" spans="3:11" x14ac:dyDescent="0.2">
      <c r="C419" s="569">
        <v>416</v>
      </c>
      <c r="D419" s="580"/>
      <c r="E419" s="581"/>
      <c r="F419" s="582"/>
      <c r="G419" s="583"/>
      <c r="H419" s="770"/>
      <c r="I419" s="773"/>
      <c r="J419" s="776"/>
      <c r="K419" s="779"/>
    </row>
    <row r="420" spans="3:11" x14ac:dyDescent="0.2">
      <c r="C420" s="569">
        <v>417</v>
      </c>
      <c r="D420" s="580"/>
      <c r="E420" s="581"/>
      <c r="F420" s="582"/>
      <c r="G420" s="583"/>
      <c r="H420" s="770"/>
      <c r="I420" s="773"/>
      <c r="J420" s="776"/>
      <c r="K420" s="779"/>
    </row>
    <row r="421" spans="3:11" x14ac:dyDescent="0.2">
      <c r="C421" s="569">
        <v>418</v>
      </c>
      <c r="D421" s="580"/>
      <c r="E421" s="581"/>
      <c r="F421" s="582"/>
      <c r="G421" s="583"/>
      <c r="H421" s="770"/>
      <c r="I421" s="773"/>
      <c r="J421" s="776"/>
      <c r="K421" s="779"/>
    </row>
    <row r="422" spans="3:11" x14ac:dyDescent="0.2">
      <c r="C422" s="569">
        <v>419</v>
      </c>
      <c r="D422" s="580"/>
      <c r="E422" s="581"/>
      <c r="F422" s="582"/>
      <c r="G422" s="583"/>
      <c r="H422" s="770"/>
      <c r="I422" s="773"/>
      <c r="J422" s="776"/>
      <c r="K422" s="779"/>
    </row>
    <row r="423" spans="3:11" x14ac:dyDescent="0.2">
      <c r="C423" s="569">
        <v>420</v>
      </c>
      <c r="D423" s="580"/>
      <c r="E423" s="581"/>
      <c r="F423" s="582"/>
      <c r="G423" s="583"/>
      <c r="H423" s="770"/>
      <c r="I423" s="773"/>
      <c r="J423" s="776"/>
      <c r="K423" s="779"/>
    </row>
    <row r="424" spans="3:11" x14ac:dyDescent="0.2">
      <c r="C424" s="569">
        <v>421</v>
      </c>
      <c r="D424" s="580"/>
      <c r="E424" s="581"/>
      <c r="F424" s="582"/>
      <c r="G424" s="583"/>
      <c r="H424" s="770"/>
      <c r="I424" s="773"/>
      <c r="J424" s="776"/>
      <c r="K424" s="779"/>
    </row>
    <row r="425" spans="3:11" x14ac:dyDescent="0.2">
      <c r="C425" s="569">
        <v>422</v>
      </c>
      <c r="D425" s="580"/>
      <c r="E425" s="581"/>
      <c r="F425" s="582"/>
      <c r="G425" s="583"/>
      <c r="H425" s="770"/>
      <c r="I425" s="773"/>
      <c r="J425" s="776"/>
      <c r="K425" s="779"/>
    </row>
    <row r="426" spans="3:11" x14ac:dyDescent="0.2">
      <c r="C426" s="569">
        <v>423</v>
      </c>
      <c r="D426" s="580"/>
      <c r="E426" s="581"/>
      <c r="F426" s="582"/>
      <c r="G426" s="583"/>
      <c r="H426" s="770"/>
      <c r="I426" s="773"/>
      <c r="J426" s="776"/>
      <c r="K426" s="779"/>
    </row>
    <row r="427" spans="3:11" x14ac:dyDescent="0.2">
      <c r="C427" s="569">
        <v>424</v>
      </c>
      <c r="D427" s="580"/>
      <c r="E427" s="581"/>
      <c r="F427" s="582"/>
      <c r="G427" s="583"/>
      <c r="H427" s="770"/>
      <c r="I427" s="773"/>
      <c r="J427" s="776"/>
      <c r="K427" s="779"/>
    </row>
    <row r="428" spans="3:11" x14ac:dyDescent="0.2">
      <c r="C428" s="569">
        <v>425</v>
      </c>
      <c r="D428" s="580"/>
      <c r="E428" s="581"/>
      <c r="F428" s="582"/>
      <c r="G428" s="583"/>
      <c r="H428" s="770"/>
      <c r="I428" s="773"/>
      <c r="J428" s="776"/>
      <c r="K428" s="779"/>
    </row>
    <row r="429" spans="3:11" x14ac:dyDescent="0.2">
      <c r="C429" s="569">
        <v>426</v>
      </c>
      <c r="D429" s="580"/>
      <c r="E429" s="581"/>
      <c r="F429" s="582"/>
      <c r="G429" s="583"/>
      <c r="H429" s="770"/>
      <c r="I429" s="773"/>
      <c r="J429" s="776"/>
      <c r="K429" s="779"/>
    </row>
    <row r="430" spans="3:11" x14ac:dyDescent="0.2">
      <c r="C430" s="569">
        <v>427</v>
      </c>
      <c r="D430" s="580"/>
      <c r="E430" s="581"/>
      <c r="F430" s="582"/>
      <c r="G430" s="583"/>
      <c r="H430" s="770"/>
      <c r="I430" s="773"/>
      <c r="J430" s="776"/>
      <c r="K430" s="779"/>
    </row>
    <row r="431" spans="3:11" x14ac:dyDescent="0.2">
      <c r="C431" s="569">
        <v>428</v>
      </c>
      <c r="D431" s="580"/>
      <c r="E431" s="581"/>
      <c r="F431" s="582"/>
      <c r="G431" s="583"/>
      <c r="H431" s="770"/>
      <c r="I431" s="773"/>
      <c r="J431" s="776"/>
      <c r="K431" s="779"/>
    </row>
    <row r="432" spans="3:11" x14ac:dyDescent="0.2">
      <c r="C432" s="569">
        <v>429</v>
      </c>
      <c r="D432" s="580"/>
      <c r="E432" s="581"/>
      <c r="F432" s="582"/>
      <c r="G432" s="583"/>
      <c r="H432" s="770"/>
      <c r="I432" s="773"/>
      <c r="J432" s="776"/>
      <c r="K432" s="779"/>
    </row>
    <row r="433" spans="3:11" x14ac:dyDescent="0.2">
      <c r="C433" s="569">
        <v>430</v>
      </c>
      <c r="D433" s="580"/>
      <c r="E433" s="581"/>
      <c r="F433" s="582"/>
      <c r="G433" s="583"/>
      <c r="H433" s="770"/>
      <c r="I433" s="773"/>
      <c r="J433" s="776"/>
      <c r="K433" s="779"/>
    </row>
    <row r="434" spans="3:11" x14ac:dyDescent="0.2">
      <c r="C434" s="569">
        <v>431</v>
      </c>
      <c r="D434" s="580"/>
      <c r="E434" s="581"/>
      <c r="F434" s="582"/>
      <c r="G434" s="583"/>
      <c r="H434" s="770"/>
      <c r="I434" s="773"/>
      <c r="J434" s="776"/>
      <c r="K434" s="779"/>
    </row>
    <row r="435" spans="3:11" x14ac:dyDescent="0.2">
      <c r="C435" s="569">
        <v>432</v>
      </c>
      <c r="D435" s="580"/>
      <c r="E435" s="581"/>
      <c r="F435" s="582"/>
      <c r="G435" s="583"/>
      <c r="H435" s="770"/>
      <c r="I435" s="773"/>
      <c r="J435" s="776"/>
      <c r="K435" s="779"/>
    </row>
    <row r="436" spans="3:11" x14ac:dyDescent="0.2">
      <c r="C436" s="569">
        <v>433</v>
      </c>
      <c r="D436" s="580"/>
      <c r="E436" s="581"/>
      <c r="F436" s="582"/>
      <c r="G436" s="583"/>
      <c r="H436" s="770"/>
      <c r="I436" s="773"/>
      <c r="J436" s="776"/>
      <c r="K436" s="779"/>
    </row>
    <row r="437" spans="3:11" x14ac:dyDescent="0.2">
      <c r="C437" s="569">
        <v>434</v>
      </c>
      <c r="D437" s="580"/>
      <c r="E437" s="581"/>
      <c r="F437" s="582"/>
      <c r="G437" s="583"/>
      <c r="H437" s="770"/>
      <c r="I437" s="773"/>
      <c r="J437" s="776"/>
      <c r="K437" s="779"/>
    </row>
    <row r="438" spans="3:11" x14ac:dyDescent="0.2">
      <c r="C438" s="569">
        <v>435</v>
      </c>
      <c r="D438" s="580"/>
      <c r="E438" s="581"/>
      <c r="F438" s="582"/>
      <c r="G438" s="583"/>
      <c r="H438" s="770"/>
      <c r="I438" s="773"/>
      <c r="J438" s="776"/>
      <c r="K438" s="779"/>
    </row>
    <row r="439" spans="3:11" x14ac:dyDescent="0.2">
      <c r="C439" s="569">
        <v>436</v>
      </c>
      <c r="D439" s="580"/>
      <c r="E439" s="581"/>
      <c r="F439" s="582"/>
      <c r="G439" s="583"/>
      <c r="H439" s="770"/>
      <c r="I439" s="773"/>
      <c r="J439" s="776"/>
      <c r="K439" s="779"/>
    </row>
    <row r="440" spans="3:11" x14ac:dyDescent="0.2">
      <c r="C440" s="569">
        <v>437</v>
      </c>
      <c r="D440" s="580"/>
      <c r="E440" s="581"/>
      <c r="F440" s="582"/>
      <c r="G440" s="583"/>
      <c r="H440" s="770"/>
      <c r="I440" s="773"/>
      <c r="J440" s="776"/>
      <c r="K440" s="779"/>
    </row>
    <row r="441" spans="3:11" x14ac:dyDescent="0.2">
      <c r="C441" s="569">
        <v>438</v>
      </c>
      <c r="D441" s="580"/>
      <c r="E441" s="581"/>
      <c r="F441" s="582"/>
      <c r="G441" s="583"/>
      <c r="H441" s="770"/>
      <c r="I441" s="773"/>
      <c r="J441" s="776"/>
      <c r="K441" s="779"/>
    </row>
    <row r="442" spans="3:11" x14ac:dyDescent="0.2">
      <c r="C442" s="569">
        <v>439</v>
      </c>
      <c r="D442" s="580"/>
      <c r="E442" s="581"/>
      <c r="F442" s="582"/>
      <c r="G442" s="583"/>
      <c r="H442" s="770"/>
      <c r="I442" s="773"/>
      <c r="J442" s="776"/>
      <c r="K442" s="779"/>
    </row>
    <row r="443" spans="3:11" x14ac:dyDescent="0.2">
      <c r="C443" s="569">
        <v>440</v>
      </c>
      <c r="D443" s="580"/>
      <c r="E443" s="581"/>
      <c r="F443" s="582"/>
      <c r="G443" s="583"/>
      <c r="H443" s="770"/>
      <c r="I443" s="773"/>
      <c r="J443" s="776"/>
      <c r="K443" s="779"/>
    </row>
    <row r="444" spans="3:11" x14ac:dyDescent="0.2">
      <c r="C444" s="569">
        <v>441</v>
      </c>
      <c r="D444" s="580"/>
      <c r="E444" s="581"/>
      <c r="F444" s="582"/>
      <c r="G444" s="583"/>
      <c r="H444" s="770"/>
      <c r="I444" s="773"/>
      <c r="J444" s="776"/>
      <c r="K444" s="779"/>
    </row>
    <row r="445" spans="3:11" x14ac:dyDescent="0.2">
      <c r="C445" s="569">
        <v>442</v>
      </c>
      <c r="D445" s="580"/>
      <c r="E445" s="581"/>
      <c r="F445" s="582"/>
      <c r="G445" s="583"/>
      <c r="H445" s="770"/>
      <c r="I445" s="773"/>
      <c r="J445" s="776"/>
      <c r="K445" s="779"/>
    </row>
    <row r="446" spans="3:11" x14ac:dyDescent="0.2">
      <c r="C446" s="569">
        <v>443</v>
      </c>
      <c r="D446" s="580"/>
      <c r="E446" s="581"/>
      <c r="F446" s="582"/>
      <c r="G446" s="583"/>
      <c r="H446" s="770"/>
      <c r="I446" s="773"/>
      <c r="J446" s="776"/>
      <c r="K446" s="779"/>
    </row>
    <row r="447" spans="3:11" x14ac:dyDescent="0.2">
      <c r="C447" s="569">
        <v>444</v>
      </c>
      <c r="D447" s="580"/>
      <c r="E447" s="581"/>
      <c r="F447" s="582"/>
      <c r="G447" s="583"/>
      <c r="H447" s="770"/>
      <c r="I447" s="773"/>
      <c r="J447" s="776"/>
      <c r="K447" s="779"/>
    </row>
    <row r="448" spans="3:11" x14ac:dyDescent="0.2">
      <c r="C448" s="569">
        <v>445</v>
      </c>
      <c r="D448" s="580"/>
      <c r="E448" s="581"/>
      <c r="F448" s="582"/>
      <c r="G448" s="583"/>
      <c r="H448" s="770"/>
      <c r="I448" s="773"/>
      <c r="J448" s="776"/>
      <c r="K448" s="779"/>
    </row>
    <row r="449" spans="3:11" x14ac:dyDescent="0.2">
      <c r="C449" s="569">
        <v>446</v>
      </c>
      <c r="D449" s="580"/>
      <c r="E449" s="581"/>
      <c r="F449" s="582"/>
      <c r="G449" s="583"/>
      <c r="H449" s="770"/>
      <c r="I449" s="773"/>
      <c r="J449" s="776"/>
      <c r="K449" s="779"/>
    </row>
    <row r="450" spans="3:11" x14ac:dyDescent="0.2">
      <c r="C450" s="569">
        <v>447</v>
      </c>
      <c r="D450" s="580"/>
      <c r="E450" s="581"/>
      <c r="F450" s="582"/>
      <c r="G450" s="583"/>
      <c r="H450" s="770"/>
      <c r="I450" s="773"/>
      <c r="J450" s="776"/>
      <c r="K450" s="779"/>
    </row>
    <row r="451" spans="3:11" x14ac:dyDescent="0.2">
      <c r="C451" s="569">
        <v>448</v>
      </c>
      <c r="D451" s="580"/>
      <c r="E451" s="581"/>
      <c r="F451" s="582"/>
      <c r="G451" s="583"/>
      <c r="H451" s="770"/>
      <c r="I451" s="773"/>
      <c r="J451" s="776"/>
      <c r="K451" s="779"/>
    </row>
    <row r="452" spans="3:11" x14ac:dyDescent="0.2">
      <c r="C452" s="569">
        <v>449</v>
      </c>
      <c r="D452" s="580"/>
      <c r="E452" s="581"/>
      <c r="F452" s="582"/>
      <c r="G452" s="583"/>
      <c r="H452" s="770"/>
      <c r="I452" s="773"/>
      <c r="J452" s="776"/>
      <c r="K452" s="779"/>
    </row>
    <row r="453" spans="3:11" x14ac:dyDescent="0.2">
      <c r="C453" s="569">
        <v>450</v>
      </c>
      <c r="D453" s="580"/>
      <c r="E453" s="581"/>
      <c r="F453" s="582"/>
      <c r="G453" s="583"/>
      <c r="H453" s="770"/>
      <c r="I453" s="773"/>
      <c r="J453" s="776"/>
      <c r="K453" s="779"/>
    </row>
    <row r="454" spans="3:11" x14ac:dyDescent="0.2">
      <c r="C454" s="569">
        <v>451</v>
      </c>
      <c r="D454" s="580"/>
      <c r="E454" s="581"/>
      <c r="F454" s="582"/>
      <c r="G454" s="583"/>
      <c r="H454" s="770"/>
      <c r="I454" s="773"/>
      <c r="J454" s="776"/>
      <c r="K454" s="779"/>
    </row>
    <row r="455" spans="3:11" x14ac:dyDescent="0.2">
      <c r="C455" s="569">
        <v>452</v>
      </c>
      <c r="D455" s="580"/>
      <c r="E455" s="581"/>
      <c r="F455" s="582"/>
      <c r="G455" s="583"/>
      <c r="H455" s="770"/>
      <c r="I455" s="773"/>
      <c r="J455" s="776"/>
      <c r="K455" s="779"/>
    </row>
    <row r="456" spans="3:11" x14ac:dyDescent="0.2">
      <c r="C456" s="569">
        <v>453</v>
      </c>
      <c r="D456" s="580"/>
      <c r="E456" s="581"/>
      <c r="F456" s="582"/>
      <c r="G456" s="583"/>
      <c r="H456" s="770"/>
      <c r="I456" s="773"/>
      <c r="J456" s="776"/>
      <c r="K456" s="779"/>
    </row>
    <row r="457" spans="3:11" x14ac:dyDescent="0.2">
      <c r="C457" s="569">
        <v>454</v>
      </c>
      <c r="D457" s="580"/>
      <c r="E457" s="581"/>
      <c r="F457" s="582"/>
      <c r="G457" s="583"/>
      <c r="H457" s="770"/>
      <c r="I457" s="773"/>
      <c r="J457" s="776"/>
      <c r="K457" s="779"/>
    </row>
    <row r="458" spans="3:11" x14ac:dyDescent="0.2">
      <c r="C458" s="569">
        <v>455</v>
      </c>
      <c r="D458" s="580"/>
      <c r="E458" s="581"/>
      <c r="F458" s="582"/>
      <c r="G458" s="583"/>
      <c r="H458" s="770"/>
      <c r="I458" s="773"/>
      <c r="J458" s="776"/>
      <c r="K458" s="779"/>
    </row>
    <row r="459" spans="3:11" x14ac:dyDescent="0.2">
      <c r="C459" s="569">
        <v>456</v>
      </c>
      <c r="D459" s="580"/>
      <c r="E459" s="581"/>
      <c r="F459" s="582"/>
      <c r="G459" s="583"/>
      <c r="H459" s="770"/>
      <c r="I459" s="773"/>
      <c r="J459" s="776"/>
      <c r="K459" s="779"/>
    </row>
    <row r="460" spans="3:11" x14ac:dyDescent="0.2">
      <c r="C460" s="569">
        <v>457</v>
      </c>
      <c r="D460" s="580"/>
      <c r="E460" s="581"/>
      <c r="F460" s="582"/>
      <c r="G460" s="583"/>
      <c r="H460" s="770"/>
      <c r="I460" s="773"/>
      <c r="J460" s="776"/>
      <c r="K460" s="779"/>
    </row>
    <row r="461" spans="3:11" x14ac:dyDescent="0.2">
      <c r="C461" s="569">
        <v>458</v>
      </c>
      <c r="D461" s="580"/>
      <c r="E461" s="581"/>
      <c r="F461" s="582"/>
      <c r="G461" s="583"/>
      <c r="H461" s="770"/>
      <c r="I461" s="773"/>
      <c r="J461" s="776"/>
      <c r="K461" s="779"/>
    </row>
    <row r="462" spans="3:11" x14ac:dyDescent="0.2">
      <c r="C462" s="569">
        <v>459</v>
      </c>
      <c r="D462" s="580"/>
      <c r="E462" s="581"/>
      <c r="F462" s="582"/>
      <c r="G462" s="583"/>
      <c r="H462" s="770"/>
      <c r="I462" s="773"/>
      <c r="J462" s="776"/>
      <c r="K462" s="779"/>
    </row>
    <row r="463" spans="3:11" x14ac:dyDescent="0.2">
      <c r="C463" s="569">
        <v>460</v>
      </c>
      <c r="D463" s="580"/>
      <c r="E463" s="581"/>
      <c r="F463" s="582"/>
      <c r="G463" s="583"/>
      <c r="H463" s="770"/>
      <c r="I463" s="773"/>
      <c r="J463" s="776"/>
      <c r="K463" s="779"/>
    </row>
    <row r="464" spans="3:11" x14ac:dyDescent="0.2">
      <c r="C464" s="569">
        <v>461</v>
      </c>
      <c r="D464" s="580"/>
      <c r="E464" s="581"/>
      <c r="F464" s="582"/>
      <c r="G464" s="583"/>
      <c r="H464" s="770"/>
      <c r="I464" s="773"/>
      <c r="J464" s="776"/>
      <c r="K464" s="779"/>
    </row>
    <row r="465" spans="3:11" x14ac:dyDescent="0.2">
      <c r="C465" s="569">
        <v>462</v>
      </c>
      <c r="D465" s="580"/>
      <c r="E465" s="581"/>
      <c r="F465" s="582"/>
      <c r="G465" s="583"/>
      <c r="H465" s="770"/>
      <c r="I465" s="773"/>
      <c r="J465" s="776"/>
      <c r="K465" s="779"/>
    </row>
    <row r="466" spans="3:11" x14ac:dyDescent="0.2">
      <c r="C466" s="569">
        <v>463</v>
      </c>
      <c r="D466" s="580"/>
      <c r="E466" s="581"/>
      <c r="F466" s="582"/>
      <c r="G466" s="583"/>
      <c r="H466" s="770"/>
      <c r="I466" s="773"/>
      <c r="J466" s="776"/>
      <c r="K466" s="779"/>
    </row>
    <row r="467" spans="3:11" x14ac:dyDescent="0.2">
      <c r="C467" s="569">
        <v>464</v>
      </c>
      <c r="D467" s="580"/>
      <c r="E467" s="581"/>
      <c r="F467" s="582"/>
      <c r="G467" s="583"/>
      <c r="H467" s="770"/>
      <c r="I467" s="773"/>
      <c r="J467" s="776"/>
      <c r="K467" s="779"/>
    </row>
    <row r="468" spans="3:11" x14ac:dyDescent="0.2">
      <c r="C468" s="569">
        <v>465</v>
      </c>
      <c r="D468" s="580"/>
      <c r="E468" s="581"/>
      <c r="F468" s="582"/>
      <c r="G468" s="583"/>
      <c r="H468" s="770"/>
      <c r="I468" s="773"/>
      <c r="J468" s="776"/>
      <c r="K468" s="779"/>
    </row>
    <row r="469" spans="3:11" x14ac:dyDescent="0.2">
      <c r="C469" s="569">
        <v>466</v>
      </c>
      <c r="D469" s="580"/>
      <c r="E469" s="581"/>
      <c r="F469" s="582"/>
      <c r="G469" s="583"/>
      <c r="H469" s="770"/>
      <c r="I469" s="773"/>
      <c r="J469" s="776"/>
      <c r="K469" s="779"/>
    </row>
    <row r="470" spans="3:11" x14ac:dyDescent="0.2">
      <c r="C470" s="569">
        <v>467</v>
      </c>
      <c r="D470" s="580"/>
      <c r="E470" s="581"/>
      <c r="F470" s="582"/>
      <c r="G470" s="583"/>
      <c r="H470" s="770"/>
      <c r="I470" s="773"/>
      <c r="J470" s="776"/>
      <c r="K470" s="779"/>
    </row>
    <row r="471" spans="3:11" x14ac:dyDescent="0.2">
      <c r="C471" s="569">
        <v>468</v>
      </c>
      <c r="D471" s="580"/>
      <c r="E471" s="581"/>
      <c r="F471" s="582"/>
      <c r="G471" s="583"/>
      <c r="H471" s="770"/>
      <c r="I471" s="773"/>
      <c r="J471" s="776"/>
      <c r="K471" s="779"/>
    </row>
    <row r="472" spans="3:11" x14ac:dyDescent="0.2">
      <c r="C472" s="569">
        <v>469</v>
      </c>
      <c r="D472" s="580"/>
      <c r="E472" s="581"/>
      <c r="F472" s="582"/>
      <c r="G472" s="583"/>
      <c r="H472" s="770"/>
      <c r="I472" s="773"/>
      <c r="J472" s="776"/>
      <c r="K472" s="779"/>
    </row>
    <row r="473" spans="3:11" x14ac:dyDescent="0.2">
      <c r="C473" s="569">
        <v>470</v>
      </c>
      <c r="D473" s="580"/>
      <c r="E473" s="581"/>
      <c r="F473" s="582"/>
      <c r="G473" s="583"/>
      <c r="H473" s="770"/>
      <c r="I473" s="773"/>
      <c r="J473" s="776"/>
      <c r="K473" s="779"/>
    </row>
    <row r="474" spans="3:11" x14ac:dyDescent="0.2">
      <c r="C474" s="569">
        <v>471</v>
      </c>
      <c r="D474" s="580"/>
      <c r="E474" s="581"/>
      <c r="F474" s="582"/>
      <c r="G474" s="583"/>
      <c r="H474" s="770"/>
      <c r="I474" s="773"/>
      <c r="J474" s="776"/>
      <c r="K474" s="779"/>
    </row>
    <row r="475" spans="3:11" x14ac:dyDescent="0.2">
      <c r="C475" s="569">
        <v>472</v>
      </c>
      <c r="D475" s="580"/>
      <c r="E475" s="581"/>
      <c r="F475" s="582"/>
      <c r="G475" s="583"/>
      <c r="H475" s="770"/>
      <c r="I475" s="773"/>
      <c r="J475" s="776"/>
      <c r="K475" s="779"/>
    </row>
    <row r="476" spans="3:11" x14ac:dyDescent="0.2">
      <c r="C476" s="569">
        <v>473</v>
      </c>
      <c r="D476" s="580"/>
      <c r="E476" s="581"/>
      <c r="F476" s="582"/>
      <c r="G476" s="583"/>
      <c r="H476" s="770"/>
      <c r="I476" s="773"/>
      <c r="J476" s="776"/>
      <c r="K476" s="779"/>
    </row>
    <row r="477" spans="3:11" x14ac:dyDescent="0.2">
      <c r="C477" s="569">
        <v>474</v>
      </c>
      <c r="D477" s="580"/>
      <c r="E477" s="581"/>
      <c r="F477" s="582"/>
      <c r="G477" s="583"/>
      <c r="H477" s="770"/>
      <c r="I477" s="773"/>
      <c r="J477" s="776"/>
      <c r="K477" s="779"/>
    </row>
    <row r="478" spans="3:11" x14ac:dyDescent="0.2">
      <c r="C478" s="569">
        <v>475</v>
      </c>
      <c r="D478" s="580"/>
      <c r="E478" s="581"/>
      <c r="F478" s="582"/>
      <c r="G478" s="583"/>
      <c r="H478" s="770"/>
      <c r="I478" s="773"/>
      <c r="J478" s="776"/>
      <c r="K478" s="779"/>
    </row>
    <row r="479" spans="3:11" x14ac:dyDescent="0.2">
      <c r="C479" s="569">
        <v>476</v>
      </c>
      <c r="D479" s="580"/>
      <c r="E479" s="581"/>
      <c r="F479" s="582"/>
      <c r="G479" s="583"/>
      <c r="H479" s="770"/>
      <c r="I479" s="773"/>
      <c r="J479" s="776"/>
      <c r="K479" s="779"/>
    </row>
    <row r="480" spans="3:11" x14ac:dyDescent="0.2">
      <c r="C480" s="569">
        <v>477</v>
      </c>
      <c r="D480" s="580"/>
      <c r="E480" s="581"/>
      <c r="F480" s="582"/>
      <c r="G480" s="583"/>
      <c r="H480" s="770"/>
      <c r="I480" s="773"/>
      <c r="J480" s="776"/>
      <c r="K480" s="779"/>
    </row>
    <row r="481" spans="3:11" x14ac:dyDescent="0.2">
      <c r="C481" s="569">
        <v>478</v>
      </c>
      <c r="D481" s="580"/>
      <c r="E481" s="581"/>
      <c r="F481" s="582"/>
      <c r="G481" s="583"/>
      <c r="H481" s="770"/>
      <c r="I481" s="773"/>
      <c r="J481" s="776"/>
      <c r="K481" s="779"/>
    </row>
    <row r="482" spans="3:11" x14ac:dyDescent="0.2">
      <c r="C482" s="569">
        <v>479</v>
      </c>
      <c r="D482" s="580"/>
      <c r="E482" s="581"/>
      <c r="F482" s="582"/>
      <c r="G482" s="583"/>
      <c r="H482" s="770"/>
      <c r="I482" s="773"/>
      <c r="J482" s="776"/>
      <c r="K482" s="779"/>
    </row>
    <row r="483" spans="3:11" x14ac:dyDescent="0.2">
      <c r="C483" s="569">
        <v>480</v>
      </c>
      <c r="D483" s="580"/>
      <c r="E483" s="581"/>
      <c r="F483" s="582"/>
      <c r="G483" s="583"/>
      <c r="H483" s="770"/>
      <c r="I483" s="773"/>
      <c r="J483" s="776"/>
      <c r="K483" s="779"/>
    </row>
    <row r="484" spans="3:11" x14ac:dyDescent="0.2">
      <c r="C484" s="569">
        <v>481</v>
      </c>
      <c r="D484" s="580"/>
      <c r="E484" s="581"/>
      <c r="F484" s="582"/>
      <c r="G484" s="583"/>
      <c r="H484" s="770"/>
      <c r="I484" s="773"/>
      <c r="J484" s="776"/>
      <c r="K484" s="779"/>
    </row>
    <row r="485" spans="3:11" x14ac:dyDescent="0.2">
      <c r="C485" s="569">
        <v>482</v>
      </c>
      <c r="D485" s="580"/>
      <c r="E485" s="581"/>
      <c r="F485" s="582"/>
      <c r="G485" s="583"/>
      <c r="H485" s="770"/>
      <c r="I485" s="773"/>
      <c r="J485" s="776"/>
      <c r="K485" s="779"/>
    </row>
    <row r="486" spans="3:11" x14ac:dyDescent="0.2">
      <c r="C486" s="569">
        <v>483</v>
      </c>
      <c r="D486" s="580"/>
      <c r="E486" s="581"/>
      <c r="F486" s="582"/>
      <c r="G486" s="583"/>
      <c r="H486" s="770"/>
      <c r="I486" s="773"/>
      <c r="J486" s="776"/>
      <c r="K486" s="779"/>
    </row>
    <row r="487" spans="3:11" x14ac:dyDescent="0.2">
      <c r="C487" s="569">
        <v>484</v>
      </c>
      <c r="D487" s="580"/>
      <c r="E487" s="581"/>
      <c r="F487" s="582"/>
      <c r="G487" s="583"/>
      <c r="H487" s="770"/>
      <c r="I487" s="773"/>
      <c r="J487" s="776"/>
      <c r="K487" s="779"/>
    </row>
    <row r="488" spans="3:11" x14ac:dyDescent="0.2">
      <c r="C488" s="569">
        <v>485</v>
      </c>
      <c r="D488" s="580"/>
      <c r="E488" s="581"/>
      <c r="F488" s="582"/>
      <c r="G488" s="583"/>
      <c r="H488" s="770"/>
      <c r="I488" s="773"/>
      <c r="J488" s="776"/>
      <c r="K488" s="779"/>
    </row>
    <row r="489" spans="3:11" x14ac:dyDescent="0.2">
      <c r="C489" s="569">
        <v>486</v>
      </c>
      <c r="D489" s="580"/>
      <c r="E489" s="581"/>
      <c r="F489" s="582"/>
      <c r="G489" s="583"/>
      <c r="H489" s="770"/>
      <c r="I489" s="773"/>
      <c r="J489" s="776"/>
      <c r="K489" s="779"/>
    </row>
    <row r="490" spans="3:11" x14ac:dyDescent="0.2">
      <c r="C490" s="569">
        <v>487</v>
      </c>
      <c r="D490" s="580"/>
      <c r="E490" s="581"/>
      <c r="F490" s="582"/>
      <c r="G490" s="583"/>
      <c r="H490" s="770"/>
      <c r="I490" s="773"/>
      <c r="J490" s="776"/>
      <c r="K490" s="779"/>
    </row>
    <row r="491" spans="3:11" x14ac:dyDescent="0.2">
      <c r="C491" s="569">
        <v>488</v>
      </c>
      <c r="D491" s="580"/>
      <c r="E491" s="581"/>
      <c r="F491" s="582"/>
      <c r="G491" s="583"/>
      <c r="H491" s="770"/>
      <c r="I491" s="773"/>
      <c r="J491" s="776"/>
      <c r="K491" s="779"/>
    </row>
    <row r="492" spans="3:11" x14ac:dyDescent="0.2">
      <c r="C492" s="569">
        <v>489</v>
      </c>
      <c r="D492" s="580"/>
      <c r="E492" s="581"/>
      <c r="F492" s="582"/>
      <c r="G492" s="583"/>
      <c r="H492" s="770"/>
      <c r="I492" s="773"/>
      <c r="J492" s="776"/>
      <c r="K492" s="779"/>
    </row>
    <row r="493" spans="3:11" x14ac:dyDescent="0.2">
      <c r="C493" s="569">
        <v>490</v>
      </c>
      <c r="D493" s="580"/>
      <c r="E493" s="581"/>
      <c r="F493" s="582"/>
      <c r="G493" s="583"/>
      <c r="H493" s="770"/>
      <c r="I493" s="773"/>
      <c r="J493" s="776"/>
      <c r="K493" s="779"/>
    </row>
    <row r="494" spans="3:11" x14ac:dyDescent="0.2">
      <c r="C494" s="569">
        <v>491</v>
      </c>
      <c r="D494" s="580"/>
      <c r="E494" s="581"/>
      <c r="F494" s="582"/>
      <c r="G494" s="583"/>
      <c r="H494" s="770"/>
      <c r="I494" s="773"/>
      <c r="J494" s="776"/>
      <c r="K494" s="779"/>
    </row>
    <row r="495" spans="3:11" x14ac:dyDescent="0.2">
      <c r="C495" s="569">
        <v>492</v>
      </c>
      <c r="D495" s="580"/>
      <c r="E495" s="581"/>
      <c r="F495" s="582"/>
      <c r="G495" s="583"/>
      <c r="H495" s="770"/>
      <c r="I495" s="773"/>
      <c r="J495" s="776"/>
      <c r="K495" s="779"/>
    </row>
    <row r="496" spans="3:11" x14ac:dyDescent="0.2">
      <c r="C496" s="569">
        <v>493</v>
      </c>
      <c r="D496" s="580"/>
      <c r="E496" s="581"/>
      <c r="F496" s="582"/>
      <c r="G496" s="583"/>
      <c r="H496" s="770"/>
      <c r="I496" s="773"/>
      <c r="J496" s="776"/>
      <c r="K496" s="779"/>
    </row>
    <row r="497" spans="3:11" x14ac:dyDescent="0.2">
      <c r="C497" s="569">
        <v>494</v>
      </c>
      <c r="D497" s="580"/>
      <c r="E497" s="581"/>
      <c r="F497" s="582"/>
      <c r="G497" s="583"/>
      <c r="H497" s="770"/>
      <c r="I497" s="773"/>
      <c r="J497" s="776"/>
      <c r="K497" s="779"/>
    </row>
    <row r="498" spans="3:11" x14ac:dyDescent="0.2">
      <c r="C498" s="569">
        <v>495</v>
      </c>
      <c r="D498" s="580"/>
      <c r="E498" s="581"/>
      <c r="F498" s="582"/>
      <c r="G498" s="583"/>
      <c r="H498" s="770"/>
      <c r="I498" s="773"/>
      <c r="J498" s="776"/>
      <c r="K498" s="779"/>
    </row>
    <row r="499" spans="3:11" x14ac:dyDescent="0.2">
      <c r="C499" s="569">
        <v>496</v>
      </c>
      <c r="D499" s="580"/>
      <c r="E499" s="581"/>
      <c r="F499" s="582"/>
      <c r="G499" s="583"/>
      <c r="H499" s="770"/>
      <c r="I499" s="773"/>
      <c r="J499" s="776"/>
      <c r="K499" s="779"/>
    </row>
    <row r="500" spans="3:11" x14ac:dyDescent="0.2">
      <c r="C500" s="569">
        <v>497</v>
      </c>
      <c r="D500" s="580"/>
      <c r="E500" s="581"/>
      <c r="F500" s="582"/>
      <c r="G500" s="583"/>
      <c r="H500" s="770"/>
      <c r="I500" s="773"/>
      <c r="J500" s="776"/>
      <c r="K500" s="779"/>
    </row>
    <row r="501" spans="3:11" x14ac:dyDescent="0.2">
      <c r="C501" s="569">
        <v>498</v>
      </c>
      <c r="D501" s="580"/>
      <c r="E501" s="581"/>
      <c r="F501" s="582"/>
      <c r="G501" s="583"/>
      <c r="H501" s="770"/>
      <c r="I501" s="773"/>
      <c r="J501" s="776"/>
      <c r="K501" s="779"/>
    </row>
    <row r="502" spans="3:11" x14ac:dyDescent="0.2">
      <c r="C502" s="569">
        <v>499</v>
      </c>
      <c r="D502" s="580"/>
      <c r="E502" s="581"/>
      <c r="F502" s="582"/>
      <c r="G502" s="583"/>
      <c r="H502" s="770"/>
      <c r="I502" s="773"/>
      <c r="J502" s="776"/>
      <c r="K502" s="779"/>
    </row>
    <row r="503" spans="3:11" x14ac:dyDescent="0.2">
      <c r="C503" s="569">
        <v>500</v>
      </c>
      <c r="D503" s="580"/>
      <c r="E503" s="581"/>
      <c r="F503" s="582"/>
      <c r="G503" s="583"/>
      <c r="H503" s="770"/>
      <c r="I503" s="773"/>
      <c r="J503" s="776"/>
      <c r="K503" s="779"/>
    </row>
    <row r="504" spans="3:11" x14ac:dyDescent="0.2">
      <c r="C504" s="569">
        <v>501</v>
      </c>
      <c r="D504" s="580"/>
      <c r="E504" s="581"/>
      <c r="F504" s="582"/>
      <c r="G504" s="583"/>
      <c r="H504" s="770"/>
      <c r="I504" s="773"/>
      <c r="J504" s="776"/>
      <c r="K504" s="779"/>
    </row>
    <row r="505" spans="3:11" x14ac:dyDescent="0.2">
      <c r="C505" s="569">
        <v>502</v>
      </c>
      <c r="D505" s="580"/>
      <c r="E505" s="581"/>
      <c r="F505" s="582"/>
      <c r="G505" s="583"/>
      <c r="H505" s="770"/>
      <c r="I505" s="773"/>
      <c r="J505" s="776"/>
      <c r="K505" s="779"/>
    </row>
    <row r="506" spans="3:11" x14ac:dyDescent="0.2">
      <c r="C506" s="569">
        <v>503</v>
      </c>
      <c r="D506" s="580"/>
      <c r="E506" s="581"/>
      <c r="F506" s="582"/>
      <c r="G506" s="583"/>
      <c r="H506" s="770"/>
      <c r="I506" s="773"/>
      <c r="J506" s="776"/>
      <c r="K506" s="779"/>
    </row>
    <row r="507" spans="3:11" x14ac:dyDescent="0.2">
      <c r="C507" s="569">
        <v>504</v>
      </c>
      <c r="D507" s="580"/>
      <c r="E507" s="581"/>
      <c r="F507" s="582"/>
      <c r="G507" s="583"/>
      <c r="H507" s="770"/>
      <c r="I507" s="773"/>
      <c r="J507" s="776"/>
      <c r="K507" s="779"/>
    </row>
    <row r="508" spans="3:11" x14ac:dyDescent="0.2">
      <c r="C508" s="569">
        <v>505</v>
      </c>
      <c r="D508" s="580"/>
      <c r="E508" s="581"/>
      <c r="F508" s="582"/>
      <c r="G508" s="583"/>
      <c r="H508" s="770"/>
      <c r="I508" s="773"/>
      <c r="J508" s="776"/>
      <c r="K508" s="779"/>
    </row>
    <row r="509" spans="3:11" x14ac:dyDescent="0.2">
      <c r="C509" s="569">
        <v>506</v>
      </c>
      <c r="D509" s="580"/>
      <c r="E509" s="581"/>
      <c r="F509" s="582"/>
      <c r="G509" s="583"/>
      <c r="H509" s="770"/>
      <c r="I509" s="773"/>
      <c r="J509" s="776"/>
      <c r="K509" s="779"/>
    </row>
    <row r="510" spans="3:11" x14ac:dyDescent="0.2">
      <c r="C510" s="569">
        <v>507</v>
      </c>
      <c r="D510" s="580"/>
      <c r="E510" s="581"/>
      <c r="F510" s="582"/>
      <c r="G510" s="583"/>
      <c r="H510" s="770"/>
      <c r="I510" s="773"/>
      <c r="J510" s="776"/>
      <c r="K510" s="779"/>
    </row>
    <row r="511" spans="3:11" x14ac:dyDescent="0.2">
      <c r="C511" s="569">
        <v>508</v>
      </c>
      <c r="D511" s="580"/>
      <c r="E511" s="581"/>
      <c r="F511" s="582"/>
      <c r="G511" s="583"/>
      <c r="H511" s="770"/>
      <c r="I511" s="773"/>
      <c r="J511" s="776"/>
      <c r="K511" s="779"/>
    </row>
    <row r="512" spans="3:11" x14ac:dyDescent="0.2">
      <c r="C512" s="569">
        <v>509</v>
      </c>
      <c r="D512" s="580"/>
      <c r="E512" s="581"/>
      <c r="F512" s="582"/>
      <c r="G512" s="583"/>
      <c r="H512" s="770"/>
      <c r="I512" s="773"/>
      <c r="J512" s="776"/>
      <c r="K512" s="779"/>
    </row>
    <row r="513" spans="3:11" x14ac:dyDescent="0.2">
      <c r="C513" s="569">
        <v>510</v>
      </c>
      <c r="D513" s="580"/>
      <c r="E513" s="581"/>
      <c r="F513" s="582"/>
      <c r="G513" s="583"/>
      <c r="H513" s="770"/>
      <c r="I513" s="773"/>
      <c r="J513" s="776"/>
      <c r="K513" s="779"/>
    </row>
    <row r="514" spans="3:11" x14ac:dyDescent="0.2">
      <c r="C514" s="569">
        <v>511</v>
      </c>
      <c r="D514" s="580"/>
      <c r="E514" s="581"/>
      <c r="F514" s="582"/>
      <c r="G514" s="583"/>
      <c r="H514" s="770"/>
      <c r="I514" s="773"/>
      <c r="J514" s="776"/>
      <c r="K514" s="779"/>
    </row>
    <row r="515" spans="3:11" x14ac:dyDescent="0.2">
      <c r="C515" s="569">
        <v>512</v>
      </c>
      <c r="D515" s="580"/>
      <c r="E515" s="581"/>
      <c r="F515" s="582"/>
      <c r="G515" s="583"/>
      <c r="H515" s="770"/>
      <c r="I515" s="773"/>
      <c r="J515" s="776"/>
      <c r="K515" s="779"/>
    </row>
    <row r="516" spans="3:11" x14ac:dyDescent="0.2">
      <c r="C516" s="569">
        <v>513</v>
      </c>
      <c r="D516" s="580"/>
      <c r="E516" s="581"/>
      <c r="F516" s="582"/>
      <c r="G516" s="583"/>
      <c r="H516" s="770"/>
      <c r="I516" s="773"/>
      <c r="J516" s="776"/>
      <c r="K516" s="779"/>
    </row>
    <row r="517" spans="3:11" x14ac:dyDescent="0.2">
      <c r="C517" s="569">
        <v>514</v>
      </c>
      <c r="D517" s="580"/>
      <c r="E517" s="581"/>
      <c r="F517" s="582"/>
      <c r="G517" s="583"/>
      <c r="H517" s="770"/>
      <c r="I517" s="773"/>
      <c r="J517" s="776"/>
      <c r="K517" s="779"/>
    </row>
    <row r="518" spans="3:11" x14ac:dyDescent="0.2">
      <c r="C518" s="569">
        <v>515</v>
      </c>
      <c r="D518" s="580"/>
      <c r="E518" s="581"/>
      <c r="F518" s="582"/>
      <c r="G518" s="583"/>
      <c r="H518" s="770"/>
      <c r="I518" s="773"/>
      <c r="J518" s="776"/>
      <c r="K518" s="779"/>
    </row>
    <row r="519" spans="3:11" x14ac:dyDescent="0.2">
      <c r="C519" s="569">
        <v>516</v>
      </c>
      <c r="D519" s="580"/>
      <c r="E519" s="581"/>
      <c r="F519" s="582"/>
      <c r="G519" s="583"/>
      <c r="H519" s="770"/>
      <c r="I519" s="773"/>
      <c r="J519" s="776"/>
      <c r="K519" s="779"/>
    </row>
    <row r="520" spans="3:11" x14ac:dyDescent="0.2">
      <c r="C520" s="569">
        <v>517</v>
      </c>
      <c r="D520" s="580"/>
      <c r="E520" s="581"/>
      <c r="F520" s="582"/>
      <c r="G520" s="583"/>
      <c r="H520" s="770"/>
      <c r="I520" s="773"/>
      <c r="J520" s="776"/>
      <c r="K520" s="779"/>
    </row>
    <row r="521" spans="3:11" x14ac:dyDescent="0.2">
      <c r="C521" s="569">
        <v>518</v>
      </c>
      <c r="D521" s="580"/>
      <c r="E521" s="581"/>
      <c r="F521" s="582"/>
      <c r="G521" s="583"/>
      <c r="H521" s="770"/>
      <c r="I521" s="773"/>
      <c r="J521" s="776"/>
      <c r="K521" s="779"/>
    </row>
    <row r="522" spans="3:11" x14ac:dyDescent="0.2">
      <c r="C522" s="569">
        <v>519</v>
      </c>
      <c r="D522" s="580"/>
      <c r="E522" s="581"/>
      <c r="F522" s="582"/>
      <c r="G522" s="583"/>
      <c r="H522" s="770"/>
      <c r="I522" s="773"/>
      <c r="J522" s="776"/>
      <c r="K522" s="779"/>
    </row>
    <row r="523" spans="3:11" x14ac:dyDescent="0.2">
      <c r="C523" s="569">
        <v>520</v>
      </c>
      <c r="D523" s="580"/>
      <c r="E523" s="581"/>
      <c r="F523" s="582"/>
      <c r="G523" s="583"/>
      <c r="H523" s="770"/>
      <c r="I523" s="773"/>
      <c r="J523" s="776"/>
      <c r="K523" s="779"/>
    </row>
    <row r="524" spans="3:11" x14ac:dyDescent="0.2">
      <c r="C524" s="569">
        <v>521</v>
      </c>
      <c r="D524" s="580"/>
      <c r="E524" s="581"/>
      <c r="F524" s="582"/>
      <c r="G524" s="583"/>
      <c r="H524" s="770"/>
      <c r="I524" s="773"/>
      <c r="J524" s="776"/>
      <c r="K524" s="779"/>
    </row>
    <row r="525" spans="3:11" x14ac:dyDescent="0.2">
      <c r="C525" s="569">
        <v>522</v>
      </c>
      <c r="D525" s="580"/>
      <c r="E525" s="581"/>
      <c r="F525" s="582"/>
      <c r="G525" s="583"/>
      <c r="H525" s="770"/>
      <c r="I525" s="773"/>
      <c r="J525" s="776"/>
      <c r="K525" s="779"/>
    </row>
    <row r="526" spans="3:11" x14ac:dyDescent="0.2">
      <c r="C526" s="569">
        <v>523</v>
      </c>
      <c r="D526" s="580"/>
      <c r="E526" s="581"/>
      <c r="F526" s="582"/>
      <c r="G526" s="583"/>
      <c r="H526" s="770"/>
      <c r="I526" s="773"/>
      <c r="J526" s="776"/>
      <c r="K526" s="779"/>
    </row>
    <row r="527" spans="3:11" x14ac:dyDescent="0.2">
      <c r="C527" s="569">
        <v>524</v>
      </c>
      <c r="D527" s="580"/>
      <c r="E527" s="581"/>
      <c r="F527" s="582"/>
      <c r="G527" s="583"/>
      <c r="H527" s="770"/>
      <c r="I527" s="773"/>
      <c r="J527" s="776"/>
      <c r="K527" s="779"/>
    </row>
    <row r="528" spans="3:11" x14ac:dyDescent="0.2">
      <c r="C528" s="569">
        <v>525</v>
      </c>
      <c r="D528" s="580"/>
      <c r="E528" s="581"/>
      <c r="F528" s="582"/>
      <c r="G528" s="583"/>
      <c r="H528" s="770"/>
      <c r="I528" s="773"/>
      <c r="J528" s="776"/>
      <c r="K528" s="779"/>
    </row>
    <row r="529" spans="3:11" x14ac:dyDescent="0.2">
      <c r="C529" s="569">
        <v>526</v>
      </c>
      <c r="D529" s="580"/>
      <c r="E529" s="581"/>
      <c r="F529" s="582"/>
      <c r="G529" s="583"/>
      <c r="H529" s="770"/>
      <c r="I529" s="773"/>
      <c r="J529" s="776"/>
      <c r="K529" s="779"/>
    </row>
    <row r="530" spans="3:11" x14ac:dyDescent="0.2">
      <c r="C530" s="569">
        <v>527</v>
      </c>
      <c r="D530" s="580"/>
      <c r="E530" s="581"/>
      <c r="F530" s="582"/>
      <c r="G530" s="583"/>
      <c r="H530" s="770"/>
      <c r="I530" s="773"/>
      <c r="J530" s="776"/>
      <c r="K530" s="779"/>
    </row>
    <row r="531" spans="3:11" x14ac:dyDescent="0.2">
      <c r="C531" s="569">
        <v>528</v>
      </c>
      <c r="D531" s="580"/>
      <c r="E531" s="581"/>
      <c r="F531" s="582"/>
      <c r="G531" s="583"/>
      <c r="H531" s="770"/>
      <c r="I531" s="773"/>
      <c r="J531" s="776"/>
      <c r="K531" s="779"/>
    </row>
    <row r="532" spans="3:11" x14ac:dyDescent="0.2">
      <c r="C532" s="569">
        <v>529</v>
      </c>
      <c r="D532" s="580"/>
      <c r="E532" s="581"/>
      <c r="F532" s="582"/>
      <c r="G532" s="583"/>
      <c r="H532" s="770"/>
      <c r="I532" s="773"/>
      <c r="J532" s="776"/>
      <c r="K532" s="779"/>
    </row>
    <row r="533" spans="3:11" x14ac:dyDescent="0.2">
      <c r="C533" s="569">
        <v>530</v>
      </c>
      <c r="D533" s="580"/>
      <c r="E533" s="581"/>
      <c r="F533" s="582"/>
      <c r="G533" s="583"/>
      <c r="H533" s="770"/>
      <c r="I533" s="773"/>
      <c r="J533" s="776"/>
      <c r="K533" s="779"/>
    </row>
    <row r="534" spans="3:11" x14ac:dyDescent="0.2">
      <c r="C534" s="569">
        <v>531</v>
      </c>
      <c r="D534" s="580"/>
      <c r="E534" s="581"/>
      <c r="F534" s="582"/>
      <c r="G534" s="583"/>
      <c r="H534" s="770"/>
      <c r="I534" s="773"/>
      <c r="J534" s="776"/>
      <c r="K534" s="779"/>
    </row>
    <row r="535" spans="3:11" x14ac:dyDescent="0.2">
      <c r="C535" s="569">
        <v>532</v>
      </c>
      <c r="D535" s="580"/>
      <c r="E535" s="581"/>
      <c r="F535" s="582"/>
      <c r="G535" s="583"/>
      <c r="H535" s="770"/>
      <c r="I535" s="773"/>
      <c r="J535" s="776"/>
      <c r="K535" s="779"/>
    </row>
    <row r="536" spans="3:11" x14ac:dyDescent="0.2">
      <c r="C536" s="569">
        <v>533</v>
      </c>
      <c r="D536" s="580"/>
      <c r="E536" s="581"/>
      <c r="F536" s="582"/>
      <c r="G536" s="583"/>
      <c r="H536" s="770"/>
      <c r="I536" s="773"/>
      <c r="J536" s="776"/>
      <c r="K536" s="779"/>
    </row>
    <row r="537" spans="3:11" x14ac:dyDescent="0.2">
      <c r="C537" s="569">
        <v>534</v>
      </c>
      <c r="D537" s="580"/>
      <c r="E537" s="581"/>
      <c r="F537" s="582"/>
      <c r="G537" s="583"/>
      <c r="H537" s="770"/>
      <c r="I537" s="773"/>
      <c r="J537" s="776"/>
      <c r="K537" s="779"/>
    </row>
    <row r="538" spans="3:11" x14ac:dyDescent="0.2">
      <c r="C538" s="569">
        <v>535</v>
      </c>
      <c r="D538" s="580"/>
      <c r="E538" s="581"/>
      <c r="F538" s="582"/>
      <c r="G538" s="583"/>
      <c r="H538" s="770"/>
      <c r="I538" s="773"/>
      <c r="J538" s="776"/>
      <c r="K538" s="779"/>
    </row>
    <row r="539" spans="3:11" x14ac:dyDescent="0.2">
      <c r="C539" s="569">
        <v>536</v>
      </c>
      <c r="D539" s="580"/>
      <c r="E539" s="581"/>
      <c r="F539" s="582"/>
      <c r="G539" s="583"/>
      <c r="H539" s="770"/>
      <c r="I539" s="773"/>
      <c r="J539" s="776"/>
      <c r="K539" s="779"/>
    </row>
    <row r="540" spans="3:11" x14ac:dyDescent="0.2">
      <c r="C540" s="569">
        <v>537</v>
      </c>
      <c r="D540" s="580"/>
      <c r="E540" s="581"/>
      <c r="F540" s="582"/>
      <c r="G540" s="583"/>
      <c r="H540" s="770"/>
      <c r="I540" s="773"/>
      <c r="J540" s="776"/>
      <c r="K540" s="779"/>
    </row>
    <row r="541" spans="3:11" x14ac:dyDescent="0.2">
      <c r="C541" s="569">
        <v>538</v>
      </c>
      <c r="D541" s="580"/>
      <c r="E541" s="581"/>
      <c r="F541" s="582"/>
      <c r="G541" s="583"/>
      <c r="H541" s="770"/>
      <c r="I541" s="773"/>
      <c r="J541" s="776"/>
      <c r="K541" s="779"/>
    </row>
    <row r="542" spans="3:11" x14ac:dyDescent="0.2">
      <c r="C542" s="569">
        <v>539</v>
      </c>
      <c r="D542" s="580"/>
      <c r="E542" s="581"/>
      <c r="F542" s="582"/>
      <c r="G542" s="583"/>
      <c r="H542" s="770"/>
      <c r="I542" s="773"/>
      <c r="J542" s="776"/>
      <c r="K542" s="779"/>
    </row>
    <row r="543" spans="3:11" x14ac:dyDescent="0.2">
      <c r="C543" s="569">
        <v>540</v>
      </c>
      <c r="D543" s="580"/>
      <c r="E543" s="581"/>
      <c r="F543" s="582"/>
      <c r="G543" s="583"/>
      <c r="H543" s="770"/>
      <c r="I543" s="773"/>
      <c r="J543" s="776"/>
      <c r="K543" s="779"/>
    </row>
    <row r="544" spans="3:11" x14ac:dyDescent="0.2">
      <c r="C544" s="569">
        <v>541</v>
      </c>
      <c r="D544" s="580"/>
      <c r="E544" s="581"/>
      <c r="F544" s="582"/>
      <c r="G544" s="583"/>
      <c r="H544" s="770"/>
      <c r="I544" s="773"/>
      <c r="J544" s="776"/>
      <c r="K544" s="779"/>
    </row>
    <row r="545" spans="3:11" x14ac:dyDescent="0.2">
      <c r="C545" s="569">
        <v>542</v>
      </c>
      <c r="D545" s="580"/>
      <c r="E545" s="581"/>
      <c r="F545" s="582"/>
      <c r="G545" s="583"/>
      <c r="H545" s="770"/>
      <c r="I545" s="773"/>
      <c r="J545" s="776"/>
      <c r="K545" s="779"/>
    </row>
    <row r="546" spans="3:11" x14ac:dyDescent="0.2">
      <c r="C546" s="569">
        <v>543</v>
      </c>
      <c r="D546" s="580"/>
      <c r="E546" s="581"/>
      <c r="F546" s="582"/>
      <c r="G546" s="583"/>
      <c r="H546" s="770"/>
      <c r="I546" s="773"/>
      <c r="J546" s="776"/>
      <c r="K546" s="779"/>
    </row>
    <row r="547" spans="3:11" x14ac:dyDescent="0.2">
      <c r="C547" s="569">
        <v>544</v>
      </c>
      <c r="D547" s="580"/>
      <c r="E547" s="581"/>
      <c r="F547" s="582"/>
      <c r="G547" s="583"/>
      <c r="H547" s="770"/>
      <c r="I547" s="773"/>
      <c r="J547" s="776"/>
      <c r="K547" s="779"/>
    </row>
    <row r="548" spans="3:11" x14ac:dyDescent="0.2">
      <c r="C548" s="569">
        <v>545</v>
      </c>
      <c r="D548" s="580"/>
      <c r="E548" s="581"/>
      <c r="F548" s="582"/>
      <c r="G548" s="583"/>
      <c r="H548" s="770"/>
      <c r="I548" s="773"/>
      <c r="J548" s="776"/>
      <c r="K548" s="779"/>
    </row>
    <row r="549" spans="3:11" x14ac:dyDescent="0.2">
      <c r="C549" s="569">
        <v>546</v>
      </c>
      <c r="D549" s="580"/>
      <c r="E549" s="581"/>
      <c r="F549" s="582"/>
      <c r="G549" s="583"/>
      <c r="H549" s="770"/>
      <c r="I549" s="773"/>
      <c r="J549" s="776"/>
      <c r="K549" s="779"/>
    </row>
    <row r="550" spans="3:11" x14ac:dyDescent="0.2">
      <c r="C550" s="569">
        <v>547</v>
      </c>
      <c r="D550" s="580"/>
      <c r="E550" s="581"/>
      <c r="F550" s="582"/>
      <c r="G550" s="583"/>
      <c r="H550" s="770"/>
      <c r="I550" s="773"/>
      <c r="J550" s="776"/>
      <c r="K550" s="779"/>
    </row>
    <row r="551" spans="3:11" x14ac:dyDescent="0.2">
      <c r="C551" s="569">
        <v>548</v>
      </c>
      <c r="D551" s="580"/>
      <c r="E551" s="581"/>
      <c r="F551" s="582"/>
      <c r="G551" s="583"/>
      <c r="H551" s="770"/>
      <c r="I551" s="773"/>
      <c r="J551" s="776"/>
      <c r="K551" s="779"/>
    </row>
    <row r="552" spans="3:11" x14ac:dyDescent="0.2">
      <c r="C552" s="569">
        <v>549</v>
      </c>
      <c r="D552" s="580"/>
      <c r="E552" s="581"/>
      <c r="F552" s="582"/>
      <c r="G552" s="583"/>
      <c r="H552" s="770"/>
      <c r="I552" s="773"/>
      <c r="J552" s="776"/>
      <c r="K552" s="779"/>
    </row>
    <row r="553" spans="3:11" x14ac:dyDescent="0.2">
      <c r="C553" s="569">
        <v>550</v>
      </c>
      <c r="D553" s="580"/>
      <c r="E553" s="581"/>
      <c r="F553" s="582"/>
      <c r="G553" s="583"/>
      <c r="H553" s="770"/>
      <c r="I553" s="773"/>
      <c r="J553" s="776"/>
      <c r="K553" s="779"/>
    </row>
    <row r="554" spans="3:11" x14ac:dyDescent="0.2">
      <c r="C554" s="569">
        <v>551</v>
      </c>
      <c r="D554" s="580"/>
      <c r="E554" s="581"/>
      <c r="F554" s="582"/>
      <c r="G554" s="583"/>
      <c r="H554" s="770"/>
      <c r="I554" s="773"/>
      <c r="J554" s="776"/>
      <c r="K554" s="779"/>
    </row>
    <row r="555" spans="3:11" x14ac:dyDescent="0.2">
      <c r="C555" s="569">
        <v>552</v>
      </c>
      <c r="D555" s="580"/>
      <c r="E555" s="581"/>
      <c r="F555" s="582"/>
      <c r="G555" s="583"/>
      <c r="H555" s="770"/>
      <c r="I555" s="773"/>
      <c r="J555" s="776"/>
      <c r="K555" s="779"/>
    </row>
    <row r="556" spans="3:11" x14ac:dyDescent="0.2">
      <c r="C556" s="569">
        <v>553</v>
      </c>
      <c r="D556" s="580"/>
      <c r="E556" s="581"/>
      <c r="F556" s="582"/>
      <c r="G556" s="583"/>
      <c r="H556" s="770"/>
      <c r="I556" s="773"/>
      <c r="J556" s="776"/>
      <c r="K556" s="779"/>
    </row>
    <row r="557" spans="3:11" x14ac:dyDescent="0.2">
      <c r="C557" s="569">
        <v>554</v>
      </c>
      <c r="D557" s="580"/>
      <c r="E557" s="581"/>
      <c r="F557" s="582"/>
      <c r="G557" s="583"/>
      <c r="H557" s="770"/>
      <c r="I557" s="773"/>
      <c r="J557" s="776"/>
      <c r="K557" s="779"/>
    </row>
    <row r="558" spans="3:11" x14ac:dyDescent="0.2">
      <c r="C558" s="569">
        <v>555</v>
      </c>
      <c r="D558" s="580"/>
      <c r="E558" s="581"/>
      <c r="F558" s="582"/>
      <c r="G558" s="583"/>
      <c r="H558" s="770"/>
      <c r="I558" s="773"/>
      <c r="J558" s="776"/>
      <c r="K558" s="779"/>
    </row>
    <row r="559" spans="3:11" x14ac:dyDescent="0.2">
      <c r="C559" s="569">
        <v>556</v>
      </c>
      <c r="D559" s="580"/>
      <c r="E559" s="581"/>
      <c r="F559" s="582"/>
      <c r="G559" s="583"/>
      <c r="H559" s="770"/>
      <c r="I559" s="773"/>
      <c r="J559" s="776"/>
      <c r="K559" s="779"/>
    </row>
    <row r="560" spans="3:11" x14ac:dyDescent="0.2">
      <c r="C560" s="569">
        <v>557</v>
      </c>
      <c r="D560" s="580"/>
      <c r="E560" s="581"/>
      <c r="F560" s="582"/>
      <c r="G560" s="583"/>
      <c r="H560" s="770"/>
      <c r="I560" s="773"/>
      <c r="J560" s="776"/>
      <c r="K560" s="779"/>
    </row>
    <row r="561" spans="3:11" x14ac:dyDescent="0.2">
      <c r="C561" s="569">
        <v>558</v>
      </c>
      <c r="D561" s="580"/>
      <c r="E561" s="581"/>
      <c r="F561" s="582"/>
      <c r="G561" s="583"/>
      <c r="H561" s="770"/>
      <c r="I561" s="773"/>
      <c r="J561" s="776"/>
      <c r="K561" s="779"/>
    </row>
    <row r="562" spans="3:11" x14ac:dyDescent="0.2">
      <c r="C562" s="569">
        <v>559</v>
      </c>
      <c r="D562" s="580"/>
      <c r="E562" s="581"/>
      <c r="F562" s="582"/>
      <c r="G562" s="583"/>
      <c r="H562" s="770"/>
      <c r="I562" s="773"/>
      <c r="J562" s="776"/>
      <c r="K562" s="779"/>
    </row>
    <row r="563" spans="3:11" x14ac:dyDescent="0.2">
      <c r="C563" s="569">
        <v>560</v>
      </c>
      <c r="D563" s="580"/>
      <c r="E563" s="581"/>
      <c r="F563" s="582"/>
      <c r="G563" s="583"/>
      <c r="H563" s="770"/>
      <c r="I563" s="773"/>
      <c r="J563" s="776"/>
      <c r="K563" s="779"/>
    </row>
    <row r="564" spans="3:11" x14ac:dyDescent="0.2">
      <c r="C564" s="569">
        <v>561</v>
      </c>
      <c r="D564" s="580"/>
      <c r="E564" s="581"/>
      <c r="F564" s="582"/>
      <c r="G564" s="583"/>
      <c r="H564" s="770"/>
      <c r="I564" s="773"/>
      <c r="J564" s="776"/>
      <c r="K564" s="779"/>
    </row>
    <row r="565" spans="3:11" x14ac:dyDescent="0.2">
      <c r="C565" s="569">
        <v>562</v>
      </c>
      <c r="D565" s="580"/>
      <c r="E565" s="581"/>
      <c r="F565" s="582"/>
      <c r="G565" s="583"/>
      <c r="H565" s="770"/>
      <c r="I565" s="773"/>
      <c r="J565" s="776"/>
      <c r="K565" s="779"/>
    </row>
    <row r="566" spans="3:11" x14ac:dyDescent="0.2">
      <c r="C566" s="569">
        <v>563</v>
      </c>
      <c r="D566" s="580"/>
      <c r="E566" s="581"/>
      <c r="F566" s="582"/>
      <c r="G566" s="583"/>
      <c r="H566" s="770"/>
      <c r="I566" s="773"/>
      <c r="J566" s="776"/>
      <c r="K566" s="779"/>
    </row>
    <row r="567" spans="3:11" x14ac:dyDescent="0.2">
      <c r="C567" s="569">
        <v>564</v>
      </c>
      <c r="D567" s="580"/>
      <c r="E567" s="581"/>
      <c r="F567" s="582"/>
      <c r="G567" s="583"/>
      <c r="H567" s="770"/>
      <c r="I567" s="773"/>
      <c r="J567" s="776"/>
      <c r="K567" s="779"/>
    </row>
    <row r="568" spans="3:11" x14ac:dyDescent="0.2">
      <c r="C568" s="569">
        <v>565</v>
      </c>
      <c r="D568" s="580"/>
      <c r="E568" s="581"/>
      <c r="F568" s="582"/>
      <c r="G568" s="583"/>
      <c r="H568" s="770"/>
      <c r="I568" s="773"/>
      <c r="J568" s="776"/>
      <c r="K568" s="779"/>
    </row>
    <row r="569" spans="3:11" x14ac:dyDescent="0.2">
      <c r="C569" s="569">
        <v>566</v>
      </c>
      <c r="D569" s="580"/>
      <c r="E569" s="581"/>
      <c r="F569" s="582"/>
      <c r="G569" s="583"/>
      <c r="H569" s="770"/>
      <c r="I569" s="773"/>
      <c r="J569" s="776"/>
      <c r="K569" s="779"/>
    </row>
    <row r="570" spans="3:11" x14ac:dyDescent="0.2">
      <c r="C570" s="569">
        <v>567</v>
      </c>
      <c r="D570" s="580"/>
      <c r="E570" s="581"/>
      <c r="F570" s="582"/>
      <c r="G570" s="583"/>
      <c r="H570" s="770"/>
      <c r="I570" s="773"/>
      <c r="J570" s="776"/>
      <c r="K570" s="779"/>
    </row>
    <row r="571" spans="3:11" x14ac:dyDescent="0.2">
      <c r="C571" s="569">
        <v>568</v>
      </c>
      <c r="D571" s="580"/>
      <c r="E571" s="581"/>
      <c r="F571" s="582"/>
      <c r="G571" s="583"/>
      <c r="H571" s="770"/>
      <c r="I571" s="773"/>
      <c r="J571" s="776"/>
      <c r="K571" s="779"/>
    </row>
    <row r="572" spans="3:11" x14ac:dyDescent="0.2">
      <c r="C572" s="569">
        <v>569</v>
      </c>
      <c r="D572" s="580"/>
      <c r="E572" s="581"/>
      <c r="F572" s="582"/>
      <c r="G572" s="583"/>
      <c r="H572" s="770"/>
      <c r="I572" s="773"/>
      <c r="J572" s="776"/>
      <c r="K572" s="779"/>
    </row>
    <row r="573" spans="3:11" x14ac:dyDescent="0.2">
      <c r="C573" s="569">
        <v>570</v>
      </c>
      <c r="D573" s="580"/>
      <c r="E573" s="581"/>
      <c r="F573" s="582"/>
      <c r="G573" s="583"/>
      <c r="H573" s="770"/>
      <c r="I573" s="773"/>
      <c r="J573" s="776"/>
      <c r="K573" s="779"/>
    </row>
    <row r="574" spans="3:11" x14ac:dyDescent="0.2">
      <c r="C574" s="569">
        <v>571</v>
      </c>
      <c r="D574" s="580"/>
      <c r="E574" s="581"/>
      <c r="F574" s="582"/>
      <c r="G574" s="583"/>
      <c r="H574" s="770"/>
      <c r="I574" s="773"/>
      <c r="J574" s="776"/>
      <c r="K574" s="779"/>
    </row>
    <row r="575" spans="3:11" x14ac:dyDescent="0.2">
      <c r="C575" s="569">
        <v>572</v>
      </c>
      <c r="D575" s="580"/>
      <c r="E575" s="581"/>
      <c r="F575" s="582"/>
      <c r="G575" s="583"/>
      <c r="H575" s="770"/>
      <c r="I575" s="773"/>
      <c r="J575" s="776"/>
      <c r="K575" s="779"/>
    </row>
    <row r="576" spans="3:11" x14ac:dyDescent="0.2">
      <c r="C576" s="569">
        <v>573</v>
      </c>
      <c r="D576" s="580"/>
      <c r="E576" s="581"/>
      <c r="F576" s="582"/>
      <c r="G576" s="583"/>
      <c r="H576" s="770"/>
      <c r="I576" s="773"/>
      <c r="J576" s="776"/>
      <c r="K576" s="779"/>
    </row>
    <row r="577" spans="3:11" x14ac:dyDescent="0.2">
      <c r="C577" s="569">
        <v>574</v>
      </c>
      <c r="D577" s="580"/>
      <c r="E577" s="581"/>
      <c r="F577" s="582"/>
      <c r="G577" s="583"/>
      <c r="H577" s="770"/>
      <c r="I577" s="773"/>
      <c r="J577" s="776"/>
      <c r="K577" s="779"/>
    </row>
    <row r="578" spans="3:11" x14ac:dyDescent="0.2">
      <c r="C578" s="569">
        <v>575</v>
      </c>
      <c r="D578" s="580"/>
      <c r="E578" s="581"/>
      <c r="F578" s="582"/>
      <c r="G578" s="583"/>
      <c r="H578" s="770"/>
      <c r="I578" s="773"/>
      <c r="J578" s="776"/>
      <c r="K578" s="779"/>
    </row>
    <row r="579" spans="3:11" x14ac:dyDescent="0.2">
      <c r="C579" s="569">
        <v>576</v>
      </c>
      <c r="D579" s="580"/>
      <c r="E579" s="581"/>
      <c r="F579" s="582"/>
      <c r="G579" s="583"/>
      <c r="H579" s="770"/>
      <c r="I579" s="773"/>
      <c r="J579" s="776"/>
      <c r="K579" s="779"/>
    </row>
    <row r="580" spans="3:11" x14ac:dyDescent="0.2">
      <c r="C580" s="569">
        <v>577</v>
      </c>
      <c r="D580" s="580"/>
      <c r="E580" s="581"/>
      <c r="F580" s="582"/>
      <c r="G580" s="583"/>
      <c r="H580" s="770"/>
      <c r="I580" s="773"/>
      <c r="J580" s="776"/>
      <c r="K580" s="779"/>
    </row>
    <row r="581" spans="3:11" x14ac:dyDescent="0.2">
      <c r="C581" s="569">
        <v>578</v>
      </c>
      <c r="D581" s="580"/>
      <c r="E581" s="581"/>
      <c r="F581" s="582"/>
      <c r="G581" s="583"/>
      <c r="H581" s="770"/>
      <c r="I581" s="773"/>
      <c r="J581" s="776"/>
      <c r="K581" s="779"/>
    </row>
    <row r="582" spans="3:11" x14ac:dyDescent="0.2">
      <c r="C582" s="569">
        <v>579</v>
      </c>
      <c r="D582" s="580"/>
      <c r="E582" s="581"/>
      <c r="F582" s="582"/>
      <c r="G582" s="583"/>
      <c r="H582" s="770"/>
      <c r="I582" s="773"/>
      <c r="J582" s="776"/>
      <c r="K582" s="779"/>
    </row>
    <row r="583" spans="3:11" x14ac:dyDescent="0.2">
      <c r="C583" s="569">
        <v>580</v>
      </c>
      <c r="D583" s="580"/>
      <c r="E583" s="581"/>
      <c r="F583" s="582"/>
      <c r="G583" s="583"/>
      <c r="H583" s="770"/>
      <c r="I583" s="773"/>
      <c r="J583" s="776"/>
      <c r="K583" s="779"/>
    </row>
    <row r="584" spans="3:11" x14ac:dyDescent="0.2">
      <c r="C584" s="569">
        <v>581</v>
      </c>
      <c r="D584" s="580"/>
      <c r="E584" s="581"/>
      <c r="F584" s="582"/>
      <c r="G584" s="583"/>
      <c r="H584" s="770"/>
      <c r="I584" s="773"/>
      <c r="J584" s="776"/>
      <c r="K584" s="779"/>
    </row>
    <row r="585" spans="3:11" x14ac:dyDescent="0.2">
      <c r="C585" s="569">
        <v>582</v>
      </c>
      <c r="D585" s="580"/>
      <c r="E585" s="581"/>
      <c r="F585" s="582"/>
      <c r="G585" s="583"/>
      <c r="H585" s="770"/>
      <c r="I585" s="773"/>
      <c r="J585" s="776"/>
      <c r="K585" s="779"/>
    </row>
    <row r="586" spans="3:11" x14ac:dyDescent="0.2">
      <c r="C586" s="569">
        <v>583</v>
      </c>
      <c r="D586" s="580"/>
      <c r="E586" s="581"/>
      <c r="F586" s="582"/>
      <c r="G586" s="583"/>
      <c r="H586" s="770"/>
      <c r="I586" s="773"/>
      <c r="J586" s="776"/>
      <c r="K586" s="779"/>
    </row>
    <row r="587" spans="3:11" x14ac:dyDescent="0.2">
      <c r="C587" s="569">
        <v>584</v>
      </c>
      <c r="D587" s="580"/>
      <c r="E587" s="581"/>
      <c r="F587" s="582"/>
      <c r="G587" s="583"/>
      <c r="H587" s="770"/>
      <c r="I587" s="773"/>
      <c r="J587" s="776"/>
      <c r="K587" s="779"/>
    </row>
    <row r="588" spans="3:11" x14ac:dyDescent="0.2">
      <c r="C588" s="569">
        <v>585</v>
      </c>
      <c r="D588" s="580"/>
      <c r="E588" s="581"/>
      <c r="F588" s="582"/>
      <c r="G588" s="583"/>
      <c r="H588" s="770"/>
      <c r="I588" s="773"/>
      <c r="J588" s="776"/>
      <c r="K588" s="779"/>
    </row>
    <row r="589" spans="3:11" x14ac:dyDescent="0.2">
      <c r="C589" s="569">
        <v>586</v>
      </c>
      <c r="D589" s="580"/>
      <c r="E589" s="581"/>
      <c r="F589" s="582"/>
      <c r="G589" s="583"/>
      <c r="H589" s="770"/>
      <c r="I589" s="773"/>
      <c r="J589" s="776"/>
      <c r="K589" s="779"/>
    </row>
    <row r="590" spans="3:11" x14ac:dyDescent="0.2">
      <c r="C590" s="569">
        <v>587</v>
      </c>
      <c r="D590" s="580"/>
      <c r="E590" s="581"/>
      <c r="F590" s="582"/>
      <c r="G590" s="583"/>
      <c r="H590" s="770"/>
      <c r="I590" s="773"/>
      <c r="J590" s="776"/>
      <c r="K590" s="779"/>
    </row>
    <row r="591" spans="3:11" x14ac:dyDescent="0.2">
      <c r="C591" s="569">
        <v>588</v>
      </c>
      <c r="D591" s="580"/>
      <c r="E591" s="581"/>
      <c r="F591" s="582"/>
      <c r="G591" s="583"/>
      <c r="H591" s="770"/>
      <c r="I591" s="773"/>
      <c r="J591" s="776"/>
      <c r="K591" s="779"/>
    </row>
    <row r="592" spans="3:11" x14ac:dyDescent="0.2">
      <c r="C592" s="569">
        <v>589</v>
      </c>
      <c r="D592" s="580"/>
      <c r="E592" s="581"/>
      <c r="F592" s="582"/>
      <c r="G592" s="583"/>
      <c r="H592" s="770"/>
      <c r="I592" s="773"/>
      <c r="J592" s="776"/>
      <c r="K592" s="779"/>
    </row>
    <row r="593" spans="3:11" x14ac:dyDescent="0.2">
      <c r="C593" s="569">
        <v>590</v>
      </c>
      <c r="D593" s="580"/>
      <c r="E593" s="581"/>
      <c r="F593" s="582"/>
      <c r="G593" s="583"/>
      <c r="H593" s="770"/>
      <c r="I593" s="773"/>
      <c r="J593" s="776"/>
      <c r="K593" s="779"/>
    </row>
    <row r="594" spans="3:11" x14ac:dyDescent="0.2">
      <c r="C594" s="569">
        <v>591</v>
      </c>
      <c r="D594" s="580"/>
      <c r="E594" s="581"/>
      <c r="F594" s="582"/>
      <c r="G594" s="583"/>
      <c r="H594" s="770"/>
      <c r="I594" s="773"/>
      <c r="J594" s="776"/>
      <c r="K594" s="779"/>
    </row>
    <row r="595" spans="3:11" x14ac:dyDescent="0.2">
      <c r="C595" s="569">
        <v>592</v>
      </c>
      <c r="D595" s="580"/>
      <c r="E595" s="581"/>
      <c r="F595" s="582"/>
      <c r="G595" s="583"/>
      <c r="H595" s="770"/>
      <c r="I595" s="773"/>
      <c r="J595" s="776"/>
      <c r="K595" s="779"/>
    </row>
    <row r="596" spans="3:11" x14ac:dyDescent="0.2">
      <c r="C596" s="569">
        <v>593</v>
      </c>
      <c r="D596" s="580"/>
      <c r="E596" s="581"/>
      <c r="F596" s="582"/>
      <c r="G596" s="583"/>
      <c r="H596" s="770"/>
      <c r="I596" s="773"/>
      <c r="J596" s="776"/>
      <c r="K596" s="779"/>
    </row>
    <row r="597" spans="3:11" x14ac:dyDescent="0.2">
      <c r="C597" s="569">
        <v>594</v>
      </c>
      <c r="D597" s="580"/>
      <c r="E597" s="581"/>
      <c r="F597" s="582"/>
      <c r="G597" s="583"/>
      <c r="H597" s="770"/>
      <c r="I597" s="773"/>
      <c r="J597" s="776"/>
      <c r="K597" s="779"/>
    </row>
    <row r="598" spans="3:11" x14ac:dyDescent="0.2">
      <c r="C598" s="569">
        <v>595</v>
      </c>
      <c r="D598" s="580"/>
      <c r="E598" s="581"/>
      <c r="F598" s="582"/>
      <c r="G598" s="583"/>
      <c r="H598" s="770"/>
      <c r="I598" s="773"/>
      <c r="J598" s="776"/>
      <c r="K598" s="779"/>
    </row>
    <row r="599" spans="3:11" x14ac:dyDescent="0.2">
      <c r="C599" s="569">
        <v>596</v>
      </c>
      <c r="D599" s="580"/>
      <c r="E599" s="581"/>
      <c r="F599" s="582"/>
      <c r="G599" s="583"/>
      <c r="H599" s="770"/>
      <c r="I599" s="773"/>
      <c r="J599" s="776"/>
      <c r="K599" s="779"/>
    </row>
    <row r="600" spans="3:11" x14ac:dyDescent="0.2">
      <c r="C600" s="569">
        <v>597</v>
      </c>
      <c r="D600" s="580"/>
      <c r="E600" s="581"/>
      <c r="F600" s="582"/>
      <c r="G600" s="583"/>
      <c r="H600" s="770"/>
      <c r="I600" s="773"/>
      <c r="J600" s="776"/>
      <c r="K600" s="779"/>
    </row>
    <row r="601" spans="3:11" x14ac:dyDescent="0.2">
      <c r="C601" s="569">
        <v>598</v>
      </c>
      <c r="D601" s="580"/>
      <c r="E601" s="581"/>
      <c r="F601" s="582"/>
      <c r="G601" s="583"/>
      <c r="H601" s="770"/>
      <c r="I601" s="773"/>
      <c r="J601" s="776"/>
      <c r="K601" s="779"/>
    </row>
    <row r="602" spans="3:11" x14ac:dyDescent="0.2">
      <c r="C602" s="569">
        <v>599</v>
      </c>
      <c r="D602" s="580"/>
      <c r="E602" s="581"/>
      <c r="F602" s="582"/>
      <c r="G602" s="583"/>
      <c r="H602" s="770"/>
      <c r="I602" s="773"/>
      <c r="J602" s="776"/>
      <c r="K602" s="779"/>
    </row>
    <row r="603" spans="3:11" x14ac:dyDescent="0.2">
      <c r="C603" s="569">
        <v>600</v>
      </c>
      <c r="D603" s="580"/>
      <c r="E603" s="581"/>
      <c r="F603" s="582"/>
      <c r="G603" s="583"/>
      <c r="H603" s="770"/>
      <c r="I603" s="773"/>
      <c r="J603" s="776"/>
      <c r="K603" s="779"/>
    </row>
    <row r="604" spans="3:11" x14ac:dyDescent="0.2">
      <c r="C604" s="569">
        <v>601</v>
      </c>
      <c r="D604" s="580"/>
      <c r="E604" s="581"/>
      <c r="F604" s="582"/>
      <c r="G604" s="583"/>
      <c r="H604" s="770"/>
      <c r="I604" s="773"/>
      <c r="J604" s="776"/>
      <c r="K604" s="779"/>
    </row>
    <row r="605" spans="3:11" x14ac:dyDescent="0.2">
      <c r="C605" s="569">
        <v>602</v>
      </c>
      <c r="D605" s="580"/>
      <c r="E605" s="581"/>
      <c r="F605" s="582"/>
      <c r="G605" s="583"/>
      <c r="H605" s="770"/>
      <c r="I605" s="773"/>
      <c r="J605" s="776"/>
      <c r="K605" s="779"/>
    </row>
    <row r="606" spans="3:11" x14ac:dyDescent="0.2">
      <c r="C606" s="569">
        <v>603</v>
      </c>
      <c r="D606" s="580"/>
      <c r="E606" s="581"/>
      <c r="F606" s="582"/>
      <c r="G606" s="583"/>
      <c r="H606" s="770"/>
      <c r="I606" s="773"/>
      <c r="J606" s="776"/>
      <c r="K606" s="779"/>
    </row>
    <row r="607" spans="3:11" x14ac:dyDescent="0.2">
      <c r="C607" s="569">
        <v>604</v>
      </c>
      <c r="D607" s="580"/>
      <c r="E607" s="581"/>
      <c r="F607" s="582"/>
      <c r="G607" s="583"/>
      <c r="H607" s="770"/>
      <c r="I607" s="773"/>
      <c r="J607" s="776"/>
      <c r="K607" s="779"/>
    </row>
    <row r="608" spans="3:11" x14ac:dyDescent="0.2">
      <c r="C608" s="569">
        <v>605</v>
      </c>
      <c r="D608" s="580"/>
      <c r="E608" s="581"/>
      <c r="F608" s="582"/>
      <c r="G608" s="583"/>
      <c r="H608" s="770"/>
      <c r="I608" s="773"/>
      <c r="J608" s="776"/>
      <c r="K608" s="779"/>
    </row>
    <row r="609" spans="3:11" x14ac:dyDescent="0.2">
      <c r="C609" s="569">
        <v>606</v>
      </c>
      <c r="D609" s="580"/>
      <c r="E609" s="581"/>
      <c r="F609" s="582"/>
      <c r="G609" s="583"/>
      <c r="H609" s="770"/>
      <c r="I609" s="773"/>
      <c r="J609" s="776"/>
      <c r="K609" s="779"/>
    </row>
    <row r="610" spans="3:11" x14ac:dyDescent="0.2">
      <c r="C610" s="569">
        <v>607</v>
      </c>
      <c r="D610" s="580"/>
      <c r="E610" s="581"/>
      <c r="F610" s="582"/>
      <c r="G610" s="583"/>
      <c r="H610" s="770"/>
      <c r="I610" s="773"/>
      <c r="J610" s="776"/>
      <c r="K610" s="779"/>
    </row>
    <row r="611" spans="3:11" x14ac:dyDescent="0.2">
      <c r="C611" s="569">
        <v>608</v>
      </c>
      <c r="D611" s="580"/>
      <c r="E611" s="581"/>
      <c r="F611" s="582"/>
      <c r="G611" s="583"/>
      <c r="H611" s="770"/>
      <c r="I611" s="773"/>
      <c r="J611" s="776"/>
      <c r="K611" s="779"/>
    </row>
    <row r="612" spans="3:11" x14ac:dyDescent="0.2">
      <c r="C612" s="569">
        <v>609</v>
      </c>
      <c r="D612" s="580"/>
      <c r="E612" s="581"/>
      <c r="F612" s="582"/>
      <c r="G612" s="583"/>
      <c r="H612" s="770"/>
      <c r="I612" s="773"/>
      <c r="J612" s="776"/>
      <c r="K612" s="779"/>
    </row>
    <row r="613" spans="3:11" x14ac:dyDescent="0.2">
      <c r="C613" s="569">
        <v>610</v>
      </c>
      <c r="D613" s="580"/>
      <c r="E613" s="581"/>
      <c r="F613" s="582"/>
      <c r="G613" s="583"/>
      <c r="H613" s="770"/>
      <c r="I613" s="773"/>
      <c r="J613" s="776"/>
      <c r="K613" s="779"/>
    </row>
    <row r="614" spans="3:11" x14ac:dyDescent="0.2">
      <c r="C614" s="569">
        <v>611</v>
      </c>
      <c r="D614" s="580"/>
      <c r="E614" s="581"/>
      <c r="F614" s="582"/>
      <c r="G614" s="583"/>
      <c r="H614" s="770"/>
      <c r="I614" s="773"/>
      <c r="J614" s="776"/>
      <c r="K614" s="779"/>
    </row>
    <row r="615" spans="3:11" x14ac:dyDescent="0.2">
      <c r="C615" s="569">
        <v>612</v>
      </c>
      <c r="D615" s="580"/>
      <c r="E615" s="581"/>
      <c r="F615" s="582"/>
      <c r="G615" s="583"/>
      <c r="H615" s="770"/>
      <c r="I615" s="773"/>
      <c r="J615" s="776"/>
      <c r="K615" s="779"/>
    </row>
    <row r="616" spans="3:11" x14ac:dyDescent="0.2">
      <c r="C616" s="569">
        <v>613</v>
      </c>
      <c r="D616" s="580"/>
      <c r="E616" s="581"/>
      <c r="F616" s="582"/>
      <c r="G616" s="583"/>
      <c r="H616" s="770"/>
      <c r="I616" s="773"/>
      <c r="J616" s="776"/>
      <c r="K616" s="779"/>
    </row>
    <row r="617" spans="3:11" x14ac:dyDescent="0.2">
      <c r="C617" s="569">
        <v>614</v>
      </c>
      <c r="D617" s="580"/>
      <c r="E617" s="581"/>
      <c r="F617" s="582"/>
      <c r="G617" s="583"/>
      <c r="H617" s="770"/>
      <c r="I617" s="773"/>
      <c r="J617" s="776"/>
      <c r="K617" s="779"/>
    </row>
    <row r="618" spans="3:11" x14ac:dyDescent="0.2">
      <c r="C618" s="569">
        <v>615</v>
      </c>
      <c r="D618" s="580"/>
      <c r="E618" s="581"/>
      <c r="F618" s="582"/>
      <c r="G618" s="583"/>
      <c r="H618" s="770"/>
      <c r="I618" s="773"/>
      <c r="J618" s="776"/>
      <c r="K618" s="779"/>
    </row>
    <row r="619" spans="3:11" x14ac:dyDescent="0.2">
      <c r="C619" s="569">
        <v>616</v>
      </c>
      <c r="D619" s="580"/>
      <c r="E619" s="581"/>
      <c r="F619" s="582"/>
      <c r="G619" s="583"/>
      <c r="H619" s="770"/>
      <c r="I619" s="773"/>
      <c r="J619" s="776"/>
      <c r="K619" s="779"/>
    </row>
    <row r="620" spans="3:11" x14ac:dyDescent="0.2">
      <c r="C620" s="569">
        <v>617</v>
      </c>
      <c r="D620" s="580"/>
      <c r="E620" s="581"/>
      <c r="F620" s="582"/>
      <c r="G620" s="583"/>
      <c r="H620" s="770"/>
      <c r="I620" s="773"/>
      <c r="J620" s="776"/>
      <c r="K620" s="779"/>
    </row>
    <row r="621" spans="3:11" x14ac:dyDescent="0.2">
      <c r="C621" s="569">
        <v>618</v>
      </c>
      <c r="D621" s="580"/>
      <c r="E621" s="581"/>
      <c r="F621" s="582"/>
      <c r="G621" s="583"/>
      <c r="H621" s="770"/>
      <c r="I621" s="773"/>
      <c r="J621" s="776"/>
      <c r="K621" s="779"/>
    </row>
    <row r="622" spans="3:11" x14ac:dyDescent="0.2">
      <c r="C622" s="569">
        <v>619</v>
      </c>
      <c r="D622" s="580"/>
      <c r="E622" s="581"/>
      <c r="F622" s="582"/>
      <c r="G622" s="583"/>
      <c r="H622" s="770"/>
      <c r="I622" s="773"/>
      <c r="J622" s="776"/>
      <c r="K622" s="779"/>
    </row>
    <row r="623" spans="3:11" x14ac:dyDescent="0.2">
      <c r="C623" s="569">
        <v>620</v>
      </c>
      <c r="D623" s="580"/>
      <c r="E623" s="581"/>
      <c r="F623" s="582"/>
      <c r="G623" s="583"/>
      <c r="H623" s="770"/>
      <c r="I623" s="773"/>
      <c r="J623" s="776"/>
      <c r="K623" s="779"/>
    </row>
    <row r="624" spans="3:11" x14ac:dyDescent="0.2">
      <c r="C624" s="569">
        <v>621</v>
      </c>
      <c r="D624" s="580"/>
      <c r="E624" s="581"/>
      <c r="F624" s="582"/>
      <c r="G624" s="583"/>
      <c r="H624" s="770"/>
      <c r="I624" s="773"/>
      <c r="J624" s="776"/>
      <c r="K624" s="779"/>
    </row>
    <row r="625" spans="3:11" x14ac:dyDescent="0.2">
      <c r="C625" s="569">
        <v>622</v>
      </c>
      <c r="D625" s="580"/>
      <c r="E625" s="581"/>
      <c r="F625" s="582"/>
      <c r="G625" s="583"/>
      <c r="H625" s="770"/>
      <c r="I625" s="773"/>
      <c r="J625" s="776"/>
      <c r="K625" s="779"/>
    </row>
    <row r="626" spans="3:11" x14ac:dyDescent="0.2">
      <c r="C626" s="569">
        <v>623</v>
      </c>
      <c r="D626" s="580"/>
      <c r="E626" s="581"/>
      <c r="F626" s="582"/>
      <c r="G626" s="583"/>
      <c r="H626" s="770"/>
      <c r="I626" s="773"/>
      <c r="J626" s="776"/>
      <c r="K626" s="779"/>
    </row>
    <row r="627" spans="3:11" x14ac:dyDescent="0.2">
      <c r="C627" s="569">
        <v>624</v>
      </c>
      <c r="D627" s="580"/>
      <c r="E627" s="581"/>
      <c r="F627" s="582"/>
      <c r="G627" s="583"/>
      <c r="H627" s="770"/>
      <c r="I627" s="773"/>
      <c r="J627" s="776"/>
      <c r="K627" s="779"/>
    </row>
    <row r="628" spans="3:11" x14ac:dyDescent="0.2">
      <c r="C628" s="569">
        <v>625</v>
      </c>
      <c r="D628" s="580"/>
      <c r="E628" s="581"/>
      <c r="F628" s="582"/>
      <c r="G628" s="583"/>
      <c r="H628" s="770"/>
      <c r="I628" s="773"/>
      <c r="J628" s="776"/>
      <c r="K628" s="779"/>
    </row>
    <row r="629" spans="3:11" x14ac:dyDescent="0.2">
      <c r="C629" s="569">
        <v>626</v>
      </c>
      <c r="D629" s="580"/>
      <c r="E629" s="581"/>
      <c r="F629" s="582"/>
      <c r="G629" s="583"/>
      <c r="H629" s="770"/>
      <c r="I629" s="773"/>
      <c r="J629" s="776"/>
      <c r="K629" s="779"/>
    </row>
    <row r="630" spans="3:11" x14ac:dyDescent="0.2">
      <c r="C630" s="569">
        <v>627</v>
      </c>
      <c r="D630" s="580"/>
      <c r="E630" s="581"/>
      <c r="F630" s="582"/>
      <c r="G630" s="583"/>
      <c r="H630" s="770"/>
      <c r="I630" s="773"/>
      <c r="J630" s="776"/>
      <c r="K630" s="779"/>
    </row>
    <row r="631" spans="3:11" x14ac:dyDescent="0.2">
      <c r="C631" s="569">
        <v>628</v>
      </c>
      <c r="D631" s="580"/>
      <c r="E631" s="581"/>
      <c r="F631" s="582"/>
      <c r="G631" s="583"/>
      <c r="H631" s="770"/>
      <c r="I631" s="773"/>
      <c r="J631" s="776"/>
      <c r="K631" s="779"/>
    </row>
    <row r="632" spans="3:11" x14ac:dyDescent="0.2">
      <c r="C632" s="569">
        <v>629</v>
      </c>
      <c r="D632" s="580"/>
      <c r="E632" s="581"/>
      <c r="F632" s="582"/>
      <c r="G632" s="583"/>
      <c r="H632" s="770"/>
      <c r="I632" s="773"/>
      <c r="J632" s="776"/>
      <c r="K632" s="779"/>
    </row>
    <row r="633" spans="3:11" x14ac:dyDescent="0.2">
      <c r="C633" s="569">
        <v>630</v>
      </c>
      <c r="D633" s="580"/>
      <c r="E633" s="581"/>
      <c r="F633" s="582"/>
      <c r="G633" s="583"/>
      <c r="H633" s="770"/>
      <c r="I633" s="773"/>
      <c r="J633" s="776"/>
      <c r="K633" s="779"/>
    </row>
    <row r="634" spans="3:11" x14ac:dyDescent="0.2">
      <c r="C634" s="569">
        <v>631</v>
      </c>
      <c r="D634" s="580"/>
      <c r="E634" s="581"/>
      <c r="F634" s="582"/>
      <c r="G634" s="583"/>
      <c r="H634" s="770"/>
      <c r="I634" s="773"/>
      <c r="J634" s="776"/>
      <c r="K634" s="779"/>
    </row>
    <row r="635" spans="3:11" x14ac:dyDescent="0.2">
      <c r="C635" s="569">
        <v>632</v>
      </c>
      <c r="D635" s="580"/>
      <c r="E635" s="581"/>
      <c r="F635" s="582"/>
      <c r="G635" s="583"/>
      <c r="H635" s="770"/>
      <c r="I635" s="773"/>
      <c r="J635" s="776"/>
      <c r="K635" s="779"/>
    </row>
    <row r="636" spans="3:11" x14ac:dyDescent="0.2">
      <c r="C636" s="569">
        <v>633</v>
      </c>
      <c r="D636" s="580"/>
      <c r="E636" s="581"/>
      <c r="F636" s="582"/>
      <c r="G636" s="583"/>
      <c r="H636" s="770"/>
      <c r="I636" s="773"/>
      <c r="J636" s="776"/>
      <c r="K636" s="779"/>
    </row>
    <row r="637" spans="3:11" x14ac:dyDescent="0.2">
      <c r="C637" s="569">
        <v>634</v>
      </c>
      <c r="D637" s="580"/>
      <c r="E637" s="581"/>
      <c r="F637" s="582"/>
      <c r="G637" s="583"/>
      <c r="H637" s="770"/>
      <c r="I637" s="773"/>
      <c r="J637" s="776"/>
      <c r="K637" s="779"/>
    </row>
    <row r="638" spans="3:11" x14ac:dyDescent="0.2">
      <c r="C638" s="569">
        <v>635</v>
      </c>
      <c r="D638" s="580"/>
      <c r="E638" s="581"/>
      <c r="F638" s="582"/>
      <c r="G638" s="583"/>
      <c r="H638" s="770"/>
      <c r="I638" s="773"/>
      <c r="J638" s="776"/>
      <c r="K638" s="779"/>
    </row>
    <row r="639" spans="3:11" x14ac:dyDescent="0.2">
      <c r="C639" s="569">
        <v>636</v>
      </c>
      <c r="D639" s="580"/>
      <c r="E639" s="581"/>
      <c r="F639" s="582"/>
      <c r="G639" s="583"/>
      <c r="H639" s="770"/>
      <c r="I639" s="773"/>
      <c r="J639" s="776"/>
      <c r="K639" s="779"/>
    </row>
    <row r="640" spans="3:11" x14ac:dyDescent="0.2">
      <c r="C640" s="569">
        <v>637</v>
      </c>
      <c r="D640" s="580"/>
      <c r="E640" s="581"/>
      <c r="F640" s="582"/>
      <c r="G640" s="583"/>
      <c r="H640" s="770"/>
      <c r="I640" s="773"/>
      <c r="J640" s="776"/>
      <c r="K640" s="779"/>
    </row>
    <row r="641" spans="3:11" x14ac:dyDescent="0.2">
      <c r="C641" s="569">
        <v>638</v>
      </c>
      <c r="D641" s="580"/>
      <c r="E641" s="581"/>
      <c r="F641" s="582"/>
      <c r="G641" s="583"/>
      <c r="H641" s="770"/>
      <c r="I641" s="773"/>
      <c r="J641" s="776"/>
      <c r="K641" s="779"/>
    </row>
    <row r="642" spans="3:11" x14ac:dyDescent="0.2">
      <c r="C642" s="569">
        <v>639</v>
      </c>
      <c r="D642" s="580"/>
      <c r="E642" s="581"/>
      <c r="F642" s="582"/>
      <c r="G642" s="583"/>
      <c r="H642" s="770"/>
      <c r="I642" s="773"/>
      <c r="J642" s="776"/>
      <c r="K642" s="779"/>
    </row>
    <row r="643" spans="3:11" x14ac:dyDescent="0.2">
      <c r="C643" s="569">
        <v>640</v>
      </c>
      <c r="D643" s="580"/>
      <c r="E643" s="581"/>
      <c r="F643" s="582"/>
      <c r="G643" s="583"/>
      <c r="H643" s="770"/>
      <c r="I643" s="773"/>
      <c r="J643" s="776"/>
      <c r="K643" s="779"/>
    </row>
    <row r="644" spans="3:11" x14ac:dyDescent="0.2">
      <c r="C644" s="569">
        <v>641</v>
      </c>
      <c r="D644" s="580"/>
      <c r="E644" s="581"/>
      <c r="F644" s="582"/>
      <c r="G644" s="583"/>
      <c r="H644" s="770"/>
      <c r="I644" s="773"/>
      <c r="J644" s="776"/>
      <c r="K644" s="779"/>
    </row>
    <row r="645" spans="3:11" x14ac:dyDescent="0.2">
      <c r="C645" s="569">
        <v>642</v>
      </c>
      <c r="D645" s="580"/>
      <c r="E645" s="581"/>
      <c r="F645" s="582"/>
      <c r="G645" s="583"/>
      <c r="H645" s="770"/>
      <c r="I645" s="773"/>
      <c r="J645" s="776"/>
      <c r="K645" s="779"/>
    </row>
    <row r="646" spans="3:11" x14ac:dyDescent="0.2">
      <c r="C646" s="569">
        <v>643</v>
      </c>
      <c r="D646" s="580"/>
      <c r="E646" s="581"/>
      <c r="F646" s="582"/>
      <c r="G646" s="583"/>
      <c r="H646" s="770"/>
      <c r="I646" s="773"/>
      <c r="J646" s="776"/>
      <c r="K646" s="779"/>
    </row>
    <row r="647" spans="3:11" x14ac:dyDescent="0.2">
      <c r="C647" s="569">
        <v>644</v>
      </c>
      <c r="D647" s="580"/>
      <c r="E647" s="581"/>
      <c r="F647" s="582"/>
      <c r="G647" s="583"/>
      <c r="H647" s="770"/>
      <c r="I647" s="773"/>
      <c r="J647" s="776"/>
      <c r="K647" s="779"/>
    </row>
    <row r="648" spans="3:11" x14ac:dyDescent="0.2">
      <c r="C648" s="569">
        <v>645</v>
      </c>
      <c r="D648" s="580"/>
      <c r="E648" s="581"/>
      <c r="F648" s="582"/>
      <c r="G648" s="583"/>
      <c r="H648" s="770"/>
      <c r="I648" s="773"/>
      <c r="J648" s="776"/>
      <c r="K648" s="779"/>
    </row>
    <row r="649" spans="3:11" x14ac:dyDescent="0.2">
      <c r="C649" s="569">
        <v>646</v>
      </c>
      <c r="D649" s="580"/>
      <c r="E649" s="581"/>
      <c r="F649" s="582"/>
      <c r="G649" s="583"/>
      <c r="H649" s="770"/>
      <c r="I649" s="773"/>
      <c r="J649" s="776"/>
      <c r="K649" s="779"/>
    </row>
    <row r="650" spans="3:11" x14ac:dyDescent="0.2">
      <c r="C650" s="569">
        <v>647</v>
      </c>
      <c r="D650" s="580"/>
      <c r="E650" s="581"/>
      <c r="F650" s="582"/>
      <c r="G650" s="583"/>
      <c r="H650" s="770"/>
      <c r="I650" s="773"/>
      <c r="J650" s="776"/>
      <c r="K650" s="779"/>
    </row>
    <row r="651" spans="3:11" x14ac:dyDescent="0.2">
      <c r="C651" s="569">
        <v>648</v>
      </c>
      <c r="D651" s="580"/>
      <c r="E651" s="581"/>
      <c r="F651" s="582"/>
      <c r="G651" s="583"/>
      <c r="H651" s="770"/>
      <c r="I651" s="773"/>
      <c r="J651" s="776"/>
      <c r="K651" s="779"/>
    </row>
    <row r="652" spans="3:11" x14ac:dyDescent="0.2">
      <c r="C652" s="569">
        <v>649</v>
      </c>
      <c r="D652" s="580"/>
      <c r="E652" s="581"/>
      <c r="F652" s="582"/>
      <c r="G652" s="583"/>
      <c r="H652" s="770"/>
      <c r="I652" s="773"/>
      <c r="J652" s="776"/>
      <c r="K652" s="779"/>
    </row>
    <row r="653" spans="3:11" x14ac:dyDescent="0.2">
      <c r="C653" s="569">
        <v>650</v>
      </c>
      <c r="D653" s="580"/>
      <c r="E653" s="581"/>
      <c r="F653" s="582"/>
      <c r="G653" s="583"/>
      <c r="H653" s="770"/>
      <c r="I653" s="773"/>
      <c r="J653" s="776"/>
      <c r="K653" s="779"/>
    </row>
    <row r="654" spans="3:11" x14ac:dyDescent="0.2">
      <c r="C654" s="569">
        <v>651</v>
      </c>
      <c r="D654" s="580"/>
      <c r="E654" s="581"/>
      <c r="F654" s="582"/>
      <c r="G654" s="583"/>
      <c r="H654" s="770"/>
      <c r="I654" s="773"/>
      <c r="J654" s="776"/>
      <c r="K654" s="779"/>
    </row>
    <row r="655" spans="3:11" x14ac:dyDescent="0.2">
      <c r="C655" s="569">
        <v>652</v>
      </c>
      <c r="D655" s="580"/>
      <c r="E655" s="581"/>
      <c r="F655" s="582"/>
      <c r="G655" s="583"/>
      <c r="H655" s="770"/>
      <c r="I655" s="773"/>
      <c r="J655" s="776"/>
      <c r="K655" s="779"/>
    </row>
    <row r="656" spans="3:11" x14ac:dyDescent="0.2">
      <c r="C656" s="569">
        <v>653</v>
      </c>
      <c r="D656" s="580"/>
      <c r="E656" s="581"/>
      <c r="F656" s="582"/>
      <c r="G656" s="583"/>
      <c r="H656" s="770"/>
      <c r="I656" s="773"/>
      <c r="J656" s="776"/>
      <c r="K656" s="779"/>
    </row>
    <row r="657" spans="3:11" x14ac:dyDescent="0.2">
      <c r="C657" s="569">
        <v>654</v>
      </c>
      <c r="D657" s="580"/>
      <c r="E657" s="581"/>
      <c r="F657" s="582"/>
      <c r="G657" s="583"/>
      <c r="H657" s="770"/>
      <c r="I657" s="773"/>
      <c r="J657" s="776"/>
      <c r="K657" s="779"/>
    </row>
    <row r="658" spans="3:11" x14ac:dyDescent="0.2">
      <c r="C658" s="569">
        <v>655</v>
      </c>
      <c r="D658" s="580"/>
      <c r="E658" s="581"/>
      <c r="F658" s="582"/>
      <c r="G658" s="583"/>
      <c r="H658" s="770"/>
      <c r="I658" s="773"/>
      <c r="J658" s="776"/>
      <c r="K658" s="779"/>
    </row>
    <row r="659" spans="3:11" x14ac:dyDescent="0.2">
      <c r="C659" s="569">
        <v>656</v>
      </c>
      <c r="D659" s="580"/>
      <c r="E659" s="581"/>
      <c r="F659" s="582"/>
      <c r="G659" s="583"/>
      <c r="H659" s="770"/>
      <c r="I659" s="773"/>
      <c r="J659" s="776"/>
      <c r="K659" s="779"/>
    </row>
    <row r="660" spans="3:11" x14ac:dyDescent="0.2">
      <c r="C660" s="569">
        <v>657</v>
      </c>
      <c r="D660" s="580"/>
      <c r="E660" s="581"/>
      <c r="F660" s="582"/>
      <c r="G660" s="583"/>
      <c r="H660" s="770"/>
      <c r="I660" s="773"/>
      <c r="J660" s="776"/>
      <c r="K660" s="779"/>
    </row>
    <row r="661" spans="3:11" x14ac:dyDescent="0.2">
      <c r="C661" s="569">
        <v>658</v>
      </c>
      <c r="D661" s="580"/>
      <c r="E661" s="581"/>
      <c r="F661" s="582"/>
      <c r="G661" s="583"/>
      <c r="H661" s="770"/>
      <c r="I661" s="773"/>
      <c r="J661" s="776"/>
      <c r="K661" s="779"/>
    </row>
    <row r="662" spans="3:11" x14ac:dyDescent="0.2">
      <c r="C662" s="569">
        <v>659</v>
      </c>
      <c r="D662" s="580"/>
      <c r="E662" s="581"/>
      <c r="F662" s="582"/>
      <c r="G662" s="583"/>
      <c r="H662" s="770"/>
      <c r="I662" s="773"/>
      <c r="J662" s="776"/>
      <c r="K662" s="779"/>
    </row>
    <row r="663" spans="3:11" x14ac:dyDescent="0.2">
      <c r="C663" s="569">
        <v>660</v>
      </c>
      <c r="D663" s="580"/>
      <c r="E663" s="581"/>
      <c r="F663" s="582"/>
      <c r="G663" s="583"/>
      <c r="H663" s="770"/>
      <c r="I663" s="773"/>
      <c r="J663" s="776"/>
      <c r="K663" s="779"/>
    </row>
    <row r="664" spans="3:11" x14ac:dyDescent="0.2">
      <c r="C664" s="569">
        <v>661</v>
      </c>
      <c r="D664" s="580"/>
      <c r="E664" s="581"/>
      <c r="F664" s="582"/>
      <c r="G664" s="583"/>
      <c r="H664" s="770"/>
      <c r="I664" s="773"/>
      <c r="J664" s="776"/>
      <c r="K664" s="779"/>
    </row>
    <row r="665" spans="3:11" x14ac:dyDescent="0.2">
      <c r="C665" s="569">
        <v>662</v>
      </c>
      <c r="D665" s="580"/>
      <c r="E665" s="581"/>
      <c r="F665" s="582"/>
      <c r="G665" s="583"/>
      <c r="H665" s="770"/>
      <c r="I665" s="773"/>
      <c r="J665" s="776"/>
      <c r="K665" s="779"/>
    </row>
    <row r="666" spans="3:11" x14ac:dyDescent="0.2">
      <c r="C666" s="569">
        <v>663</v>
      </c>
      <c r="D666" s="580"/>
      <c r="E666" s="581"/>
      <c r="F666" s="582"/>
      <c r="G666" s="583"/>
      <c r="H666" s="770"/>
      <c r="I666" s="773"/>
      <c r="J666" s="776"/>
      <c r="K666" s="779"/>
    </row>
    <row r="667" spans="3:11" x14ac:dyDescent="0.2">
      <c r="C667" s="569">
        <v>664</v>
      </c>
      <c r="D667" s="580"/>
      <c r="E667" s="581"/>
      <c r="F667" s="582"/>
      <c r="G667" s="583"/>
      <c r="H667" s="770"/>
      <c r="I667" s="773"/>
      <c r="J667" s="776"/>
      <c r="K667" s="779"/>
    </row>
    <row r="668" spans="3:11" x14ac:dyDescent="0.2">
      <c r="C668" s="569">
        <v>665</v>
      </c>
      <c r="D668" s="580"/>
      <c r="E668" s="581"/>
      <c r="F668" s="582"/>
      <c r="G668" s="583"/>
      <c r="H668" s="770"/>
      <c r="I668" s="773"/>
      <c r="J668" s="776"/>
      <c r="K668" s="779"/>
    </row>
    <row r="669" spans="3:11" x14ac:dyDescent="0.2">
      <c r="C669" s="569">
        <v>666</v>
      </c>
      <c r="D669" s="580"/>
      <c r="E669" s="581"/>
      <c r="F669" s="582"/>
      <c r="G669" s="583"/>
      <c r="H669" s="770"/>
      <c r="I669" s="773"/>
      <c r="J669" s="776"/>
      <c r="K669" s="779"/>
    </row>
    <row r="670" spans="3:11" x14ac:dyDescent="0.2">
      <c r="C670" s="569">
        <v>667</v>
      </c>
      <c r="D670" s="580"/>
      <c r="E670" s="581"/>
      <c r="F670" s="582"/>
      <c r="G670" s="583"/>
      <c r="H670" s="770"/>
      <c r="I670" s="773"/>
      <c r="J670" s="776"/>
      <c r="K670" s="779"/>
    </row>
    <row r="671" spans="3:11" x14ac:dyDescent="0.2">
      <c r="C671" s="569">
        <v>668</v>
      </c>
      <c r="D671" s="580"/>
      <c r="E671" s="581"/>
      <c r="F671" s="582"/>
      <c r="G671" s="583"/>
      <c r="H671" s="770"/>
      <c r="I671" s="773"/>
      <c r="J671" s="776"/>
      <c r="K671" s="779"/>
    </row>
    <row r="672" spans="3:11" x14ac:dyDescent="0.2">
      <c r="C672" s="569">
        <v>669</v>
      </c>
      <c r="D672" s="580"/>
      <c r="E672" s="581"/>
      <c r="F672" s="582"/>
      <c r="G672" s="583"/>
      <c r="H672" s="770"/>
      <c r="I672" s="773"/>
      <c r="J672" s="776"/>
      <c r="K672" s="779"/>
    </row>
    <row r="673" spans="3:11" x14ac:dyDescent="0.2">
      <c r="C673" s="569">
        <v>670</v>
      </c>
      <c r="D673" s="580"/>
      <c r="E673" s="581"/>
      <c r="F673" s="582"/>
      <c r="G673" s="583"/>
      <c r="H673" s="770"/>
      <c r="I673" s="773"/>
      <c r="J673" s="776"/>
      <c r="K673" s="779"/>
    </row>
    <row r="674" spans="3:11" x14ac:dyDescent="0.2">
      <c r="C674" s="569">
        <v>671</v>
      </c>
      <c r="D674" s="580"/>
      <c r="E674" s="581"/>
      <c r="F674" s="582"/>
      <c r="G674" s="583"/>
      <c r="H674" s="770"/>
      <c r="I674" s="773"/>
      <c r="J674" s="776"/>
      <c r="K674" s="779"/>
    </row>
    <row r="675" spans="3:11" x14ac:dyDescent="0.2">
      <c r="C675" s="569">
        <v>672</v>
      </c>
      <c r="D675" s="580"/>
      <c r="E675" s="581"/>
      <c r="F675" s="582"/>
      <c r="G675" s="583"/>
      <c r="H675" s="770"/>
      <c r="I675" s="773"/>
      <c r="J675" s="776"/>
      <c r="K675" s="779"/>
    </row>
    <row r="676" spans="3:11" x14ac:dyDescent="0.2">
      <c r="C676" s="569">
        <v>673</v>
      </c>
      <c r="D676" s="580"/>
      <c r="E676" s="581"/>
      <c r="F676" s="582"/>
      <c r="G676" s="583"/>
      <c r="H676" s="770"/>
      <c r="I676" s="773"/>
      <c r="J676" s="776"/>
      <c r="K676" s="779"/>
    </row>
    <row r="677" spans="3:11" x14ac:dyDescent="0.2">
      <c r="C677" s="569">
        <v>674</v>
      </c>
      <c r="D677" s="580"/>
      <c r="E677" s="581"/>
      <c r="F677" s="582"/>
      <c r="G677" s="583"/>
      <c r="H677" s="770"/>
      <c r="I677" s="773"/>
      <c r="J677" s="776"/>
      <c r="K677" s="779"/>
    </row>
    <row r="678" spans="3:11" x14ac:dyDescent="0.2">
      <c r="C678" s="569">
        <v>675</v>
      </c>
      <c r="D678" s="580"/>
      <c r="E678" s="581"/>
      <c r="F678" s="582"/>
      <c r="G678" s="583"/>
      <c r="H678" s="770"/>
      <c r="I678" s="773"/>
      <c r="J678" s="776"/>
      <c r="K678" s="779"/>
    </row>
    <row r="679" spans="3:11" x14ac:dyDescent="0.2">
      <c r="C679" s="569">
        <v>676</v>
      </c>
      <c r="D679" s="580"/>
      <c r="E679" s="581"/>
      <c r="F679" s="582"/>
      <c r="G679" s="583"/>
      <c r="H679" s="770"/>
      <c r="I679" s="773"/>
      <c r="J679" s="776"/>
      <c r="K679" s="779"/>
    </row>
    <row r="680" spans="3:11" x14ac:dyDescent="0.2">
      <c r="C680" s="569">
        <v>677</v>
      </c>
      <c r="D680" s="580"/>
      <c r="E680" s="581"/>
      <c r="F680" s="582"/>
      <c r="G680" s="583"/>
      <c r="H680" s="770"/>
      <c r="I680" s="773"/>
      <c r="J680" s="776"/>
      <c r="K680" s="779"/>
    </row>
    <row r="681" spans="3:11" x14ac:dyDescent="0.2">
      <c r="C681" s="569">
        <v>678</v>
      </c>
      <c r="D681" s="580"/>
      <c r="E681" s="581"/>
      <c r="F681" s="582"/>
      <c r="G681" s="583"/>
      <c r="H681" s="770"/>
      <c r="I681" s="773"/>
      <c r="J681" s="776"/>
      <c r="K681" s="779"/>
    </row>
    <row r="682" spans="3:11" x14ac:dyDescent="0.2">
      <c r="C682" s="569">
        <v>679</v>
      </c>
      <c r="D682" s="580"/>
      <c r="E682" s="581"/>
      <c r="F682" s="582"/>
      <c r="G682" s="583"/>
      <c r="H682" s="770"/>
      <c r="I682" s="773"/>
      <c r="J682" s="776"/>
      <c r="K682" s="779"/>
    </row>
    <row r="683" spans="3:11" x14ac:dyDescent="0.2">
      <c r="C683" s="569">
        <v>680</v>
      </c>
      <c r="D683" s="580"/>
      <c r="E683" s="581"/>
      <c r="F683" s="582"/>
      <c r="G683" s="583"/>
      <c r="H683" s="770"/>
      <c r="I683" s="773"/>
      <c r="J683" s="776"/>
      <c r="K683" s="779"/>
    </row>
    <row r="684" spans="3:11" x14ac:dyDescent="0.2">
      <c r="C684" s="569">
        <v>681</v>
      </c>
      <c r="D684" s="580"/>
      <c r="E684" s="581"/>
      <c r="F684" s="582"/>
      <c r="G684" s="583"/>
      <c r="H684" s="770"/>
      <c r="I684" s="773"/>
      <c r="J684" s="776"/>
      <c r="K684" s="779"/>
    </row>
    <row r="685" spans="3:11" x14ac:dyDescent="0.2">
      <c r="C685" s="569">
        <v>682</v>
      </c>
      <c r="D685" s="580"/>
      <c r="E685" s="581"/>
      <c r="F685" s="582"/>
      <c r="G685" s="583"/>
      <c r="H685" s="770"/>
      <c r="I685" s="773"/>
      <c r="J685" s="776"/>
      <c r="K685" s="779"/>
    </row>
    <row r="686" spans="3:11" x14ac:dyDescent="0.2">
      <c r="C686" s="569">
        <v>683</v>
      </c>
      <c r="D686" s="580"/>
      <c r="E686" s="581"/>
      <c r="F686" s="582"/>
      <c r="G686" s="583"/>
      <c r="H686" s="770"/>
      <c r="I686" s="773"/>
      <c r="J686" s="776"/>
      <c r="K686" s="779"/>
    </row>
    <row r="687" spans="3:11" x14ac:dyDescent="0.2">
      <c r="C687" s="569">
        <v>684</v>
      </c>
      <c r="D687" s="580"/>
      <c r="E687" s="581"/>
      <c r="F687" s="582"/>
      <c r="G687" s="583"/>
      <c r="H687" s="770"/>
      <c r="I687" s="773"/>
      <c r="J687" s="776"/>
      <c r="K687" s="779"/>
    </row>
    <row r="688" spans="3:11" x14ac:dyDescent="0.2">
      <c r="C688" s="569">
        <v>685</v>
      </c>
      <c r="D688" s="580"/>
      <c r="E688" s="581"/>
      <c r="F688" s="582"/>
      <c r="G688" s="583"/>
      <c r="H688" s="770"/>
      <c r="I688" s="773"/>
      <c r="J688" s="776"/>
      <c r="K688" s="779"/>
    </row>
    <row r="689" spans="3:11" x14ac:dyDescent="0.2">
      <c r="C689" s="569">
        <v>686</v>
      </c>
      <c r="D689" s="580"/>
      <c r="E689" s="581"/>
      <c r="F689" s="582"/>
      <c r="G689" s="583"/>
      <c r="H689" s="770"/>
      <c r="I689" s="773"/>
      <c r="J689" s="776"/>
      <c r="K689" s="779"/>
    </row>
    <row r="690" spans="3:11" x14ac:dyDescent="0.2">
      <c r="C690" s="569">
        <v>687</v>
      </c>
      <c r="D690" s="580"/>
      <c r="E690" s="581"/>
      <c r="F690" s="582"/>
      <c r="G690" s="583"/>
      <c r="H690" s="770"/>
      <c r="I690" s="773"/>
      <c r="J690" s="776"/>
      <c r="K690" s="779"/>
    </row>
    <row r="691" spans="3:11" x14ac:dyDescent="0.2">
      <c r="C691" s="569">
        <v>688</v>
      </c>
      <c r="D691" s="580"/>
      <c r="E691" s="581"/>
      <c r="F691" s="582"/>
      <c r="G691" s="583"/>
      <c r="H691" s="770"/>
      <c r="I691" s="773"/>
      <c r="J691" s="776"/>
      <c r="K691" s="779"/>
    </row>
    <row r="692" spans="3:11" x14ac:dyDescent="0.2">
      <c r="C692" s="569">
        <v>689</v>
      </c>
      <c r="D692" s="580"/>
      <c r="E692" s="581"/>
      <c r="F692" s="582"/>
      <c r="G692" s="583"/>
      <c r="H692" s="770"/>
      <c r="I692" s="773"/>
      <c r="J692" s="776"/>
      <c r="K692" s="779"/>
    </row>
    <row r="693" spans="3:11" x14ac:dyDescent="0.2">
      <c r="C693" s="569">
        <v>690</v>
      </c>
      <c r="D693" s="580"/>
      <c r="E693" s="581"/>
      <c r="F693" s="582"/>
      <c r="G693" s="583"/>
      <c r="H693" s="770"/>
      <c r="I693" s="773"/>
      <c r="J693" s="776"/>
      <c r="K693" s="779"/>
    </row>
    <row r="694" spans="3:11" x14ac:dyDescent="0.2">
      <c r="C694" s="569">
        <v>691</v>
      </c>
      <c r="D694" s="580"/>
      <c r="E694" s="581"/>
      <c r="F694" s="582"/>
      <c r="G694" s="583"/>
      <c r="H694" s="770"/>
      <c r="I694" s="773"/>
      <c r="J694" s="776"/>
      <c r="K694" s="779"/>
    </row>
    <row r="695" spans="3:11" x14ac:dyDescent="0.2">
      <c r="C695" s="569">
        <v>692</v>
      </c>
      <c r="D695" s="580"/>
      <c r="E695" s="581"/>
      <c r="F695" s="582"/>
      <c r="G695" s="583"/>
      <c r="H695" s="770"/>
      <c r="I695" s="773"/>
      <c r="J695" s="776"/>
      <c r="K695" s="779"/>
    </row>
    <row r="696" spans="3:11" x14ac:dyDescent="0.2">
      <c r="C696" s="569">
        <v>693</v>
      </c>
      <c r="D696" s="580"/>
      <c r="E696" s="581"/>
      <c r="F696" s="582"/>
      <c r="G696" s="583"/>
      <c r="H696" s="770"/>
      <c r="I696" s="773"/>
      <c r="J696" s="776"/>
      <c r="K696" s="779"/>
    </row>
    <row r="697" spans="3:11" x14ac:dyDescent="0.2">
      <c r="C697" s="569">
        <v>694</v>
      </c>
      <c r="D697" s="580"/>
      <c r="E697" s="581"/>
      <c r="F697" s="582"/>
      <c r="G697" s="583"/>
      <c r="H697" s="770"/>
      <c r="I697" s="773"/>
      <c r="J697" s="776"/>
      <c r="K697" s="779"/>
    </row>
    <row r="698" spans="3:11" x14ac:dyDescent="0.2">
      <c r="C698" s="569">
        <v>695</v>
      </c>
      <c r="D698" s="580"/>
      <c r="E698" s="581"/>
      <c r="F698" s="582"/>
      <c r="G698" s="583"/>
      <c r="H698" s="770"/>
      <c r="I698" s="773"/>
      <c r="J698" s="776"/>
      <c r="K698" s="779"/>
    </row>
    <row r="699" spans="3:11" x14ac:dyDescent="0.2">
      <c r="C699" s="569">
        <v>696</v>
      </c>
      <c r="D699" s="580"/>
      <c r="E699" s="581"/>
      <c r="F699" s="582"/>
      <c r="G699" s="583"/>
      <c r="H699" s="770"/>
      <c r="I699" s="773"/>
      <c r="J699" s="776"/>
      <c r="K699" s="779"/>
    </row>
    <row r="700" spans="3:11" x14ac:dyDescent="0.2">
      <c r="C700" s="569">
        <v>697</v>
      </c>
      <c r="D700" s="580"/>
      <c r="E700" s="581"/>
      <c r="F700" s="582"/>
      <c r="G700" s="583"/>
      <c r="H700" s="770"/>
      <c r="I700" s="773"/>
      <c r="J700" s="776"/>
      <c r="K700" s="779"/>
    </row>
    <row r="701" spans="3:11" x14ac:dyDescent="0.2">
      <c r="C701" s="569">
        <v>698</v>
      </c>
      <c r="D701" s="580"/>
      <c r="E701" s="581"/>
      <c r="F701" s="582"/>
      <c r="G701" s="583"/>
      <c r="H701" s="770"/>
      <c r="I701" s="773"/>
      <c r="J701" s="776"/>
      <c r="K701" s="779"/>
    </row>
    <row r="702" spans="3:11" x14ac:dyDescent="0.2">
      <c r="C702" s="569">
        <v>699</v>
      </c>
      <c r="D702" s="580"/>
      <c r="E702" s="581"/>
      <c r="F702" s="582"/>
      <c r="G702" s="583"/>
      <c r="H702" s="770"/>
      <c r="I702" s="773"/>
      <c r="J702" s="776"/>
      <c r="K702" s="779"/>
    </row>
    <row r="703" spans="3:11" x14ac:dyDescent="0.2">
      <c r="C703" s="569">
        <v>700</v>
      </c>
      <c r="D703" s="580"/>
      <c r="E703" s="581"/>
      <c r="F703" s="582"/>
      <c r="G703" s="583"/>
      <c r="H703" s="770"/>
      <c r="I703" s="773"/>
      <c r="J703" s="776"/>
      <c r="K703" s="779"/>
    </row>
    <row r="704" spans="3:11" x14ac:dyDescent="0.2">
      <c r="C704" s="569">
        <v>701</v>
      </c>
      <c r="D704" s="580"/>
      <c r="E704" s="581"/>
      <c r="F704" s="582"/>
      <c r="G704" s="583"/>
      <c r="H704" s="770"/>
      <c r="I704" s="773"/>
      <c r="J704" s="776"/>
      <c r="K704" s="779"/>
    </row>
    <row r="705" spans="3:11" x14ac:dyDescent="0.2">
      <c r="C705" s="569">
        <v>702</v>
      </c>
      <c r="D705" s="580"/>
      <c r="E705" s="581"/>
      <c r="F705" s="582"/>
      <c r="G705" s="583"/>
      <c r="H705" s="770"/>
      <c r="I705" s="773"/>
      <c r="J705" s="776"/>
      <c r="K705" s="779"/>
    </row>
    <row r="706" spans="3:11" x14ac:dyDescent="0.2">
      <c r="C706" s="569">
        <v>703</v>
      </c>
      <c r="D706" s="580"/>
      <c r="E706" s="581"/>
      <c r="F706" s="582"/>
      <c r="G706" s="583"/>
      <c r="H706" s="770"/>
      <c r="I706" s="773"/>
      <c r="J706" s="776"/>
      <c r="K706" s="779"/>
    </row>
    <row r="707" spans="3:11" x14ac:dyDescent="0.2">
      <c r="C707" s="569">
        <v>704</v>
      </c>
      <c r="D707" s="580"/>
      <c r="E707" s="581"/>
      <c r="F707" s="582"/>
      <c r="G707" s="583"/>
      <c r="H707" s="770"/>
      <c r="I707" s="773"/>
      <c r="J707" s="776"/>
      <c r="K707" s="779"/>
    </row>
    <row r="708" spans="3:11" x14ac:dyDescent="0.2">
      <c r="C708" s="569">
        <v>705</v>
      </c>
      <c r="D708" s="580"/>
      <c r="E708" s="581"/>
      <c r="F708" s="582"/>
      <c r="G708" s="583"/>
      <c r="H708" s="770"/>
      <c r="I708" s="773"/>
      <c r="J708" s="776"/>
      <c r="K708" s="779"/>
    </row>
    <row r="709" spans="3:11" x14ac:dyDescent="0.2">
      <c r="C709" s="569">
        <v>706</v>
      </c>
      <c r="D709" s="580"/>
      <c r="E709" s="581"/>
      <c r="F709" s="582"/>
      <c r="G709" s="583"/>
      <c r="H709" s="770"/>
      <c r="I709" s="773"/>
      <c r="J709" s="776"/>
      <c r="K709" s="779"/>
    </row>
    <row r="710" spans="3:11" x14ac:dyDescent="0.2">
      <c r="C710" s="569">
        <v>707</v>
      </c>
      <c r="D710" s="580"/>
      <c r="E710" s="581"/>
      <c r="F710" s="582"/>
      <c r="G710" s="583"/>
      <c r="H710" s="770"/>
      <c r="I710" s="773"/>
      <c r="J710" s="776"/>
      <c r="K710" s="779"/>
    </row>
    <row r="711" spans="3:11" x14ac:dyDescent="0.2">
      <c r="C711" s="569">
        <v>708</v>
      </c>
      <c r="D711" s="580"/>
      <c r="E711" s="581"/>
      <c r="F711" s="582"/>
      <c r="G711" s="583"/>
      <c r="H711" s="770"/>
      <c r="I711" s="773"/>
      <c r="J711" s="776"/>
      <c r="K711" s="779"/>
    </row>
    <row r="712" spans="3:11" x14ac:dyDescent="0.2">
      <c r="C712" s="569">
        <v>709</v>
      </c>
      <c r="D712" s="580"/>
      <c r="E712" s="581"/>
      <c r="F712" s="582"/>
      <c r="G712" s="583"/>
      <c r="H712" s="770"/>
      <c r="I712" s="773"/>
      <c r="J712" s="776"/>
      <c r="K712" s="779"/>
    </row>
    <row r="713" spans="3:11" x14ac:dyDescent="0.2">
      <c r="C713" s="569">
        <v>710</v>
      </c>
      <c r="D713" s="580"/>
      <c r="E713" s="581"/>
      <c r="F713" s="582"/>
      <c r="G713" s="583"/>
      <c r="H713" s="770"/>
      <c r="I713" s="773"/>
      <c r="J713" s="776"/>
      <c r="K713" s="779"/>
    </row>
    <row r="714" spans="3:11" x14ac:dyDescent="0.2">
      <c r="C714" s="569">
        <v>711</v>
      </c>
      <c r="D714" s="580"/>
      <c r="E714" s="581"/>
      <c r="F714" s="582"/>
      <c r="G714" s="583"/>
      <c r="H714" s="770"/>
      <c r="I714" s="773"/>
      <c r="J714" s="776"/>
      <c r="K714" s="779"/>
    </row>
    <row r="715" spans="3:11" x14ac:dyDescent="0.2">
      <c r="C715" s="569">
        <v>712</v>
      </c>
      <c r="D715" s="580"/>
      <c r="E715" s="581"/>
      <c r="F715" s="582"/>
      <c r="G715" s="583"/>
      <c r="H715" s="770"/>
      <c r="I715" s="773"/>
      <c r="J715" s="776"/>
      <c r="K715" s="779"/>
    </row>
    <row r="716" spans="3:11" x14ac:dyDescent="0.2">
      <c r="C716" s="569">
        <v>713</v>
      </c>
      <c r="D716" s="580"/>
      <c r="E716" s="581"/>
      <c r="F716" s="582"/>
      <c r="G716" s="583"/>
      <c r="H716" s="770"/>
      <c r="I716" s="773"/>
      <c r="J716" s="776"/>
      <c r="K716" s="779"/>
    </row>
    <row r="717" spans="3:11" x14ac:dyDescent="0.2">
      <c r="C717" s="569">
        <v>714</v>
      </c>
      <c r="D717" s="580"/>
      <c r="E717" s="581"/>
      <c r="F717" s="582"/>
      <c r="G717" s="583"/>
      <c r="H717" s="770"/>
      <c r="I717" s="773"/>
      <c r="J717" s="776"/>
      <c r="K717" s="779"/>
    </row>
    <row r="718" spans="3:11" x14ac:dyDescent="0.2">
      <c r="C718" s="569">
        <v>715</v>
      </c>
      <c r="D718" s="580"/>
      <c r="E718" s="581"/>
      <c r="F718" s="582"/>
      <c r="G718" s="583"/>
      <c r="H718" s="770"/>
      <c r="I718" s="773"/>
      <c r="J718" s="776"/>
      <c r="K718" s="779"/>
    </row>
    <row r="719" spans="3:11" x14ac:dyDescent="0.2">
      <c r="C719" s="569">
        <v>716</v>
      </c>
      <c r="D719" s="580"/>
      <c r="E719" s="581"/>
      <c r="F719" s="582"/>
      <c r="G719" s="583"/>
      <c r="H719" s="770"/>
      <c r="I719" s="773"/>
      <c r="J719" s="776"/>
      <c r="K719" s="779"/>
    </row>
    <row r="720" spans="3:11" x14ac:dyDescent="0.2">
      <c r="C720" s="569">
        <v>717</v>
      </c>
      <c r="D720" s="580"/>
      <c r="E720" s="581"/>
      <c r="F720" s="582"/>
      <c r="G720" s="583"/>
      <c r="H720" s="770"/>
      <c r="I720" s="773"/>
      <c r="J720" s="776"/>
      <c r="K720" s="779"/>
    </row>
    <row r="721" spans="3:11" x14ac:dyDescent="0.2">
      <c r="C721" s="569">
        <v>718</v>
      </c>
      <c r="D721" s="580"/>
      <c r="E721" s="581"/>
      <c r="F721" s="582"/>
      <c r="G721" s="583"/>
      <c r="H721" s="770"/>
      <c r="I721" s="773"/>
      <c r="J721" s="776"/>
      <c r="K721" s="779"/>
    </row>
    <row r="722" spans="3:11" x14ac:dyDescent="0.2">
      <c r="C722" s="569">
        <v>719</v>
      </c>
      <c r="D722" s="580"/>
      <c r="E722" s="581"/>
      <c r="F722" s="582"/>
      <c r="G722" s="583"/>
      <c r="H722" s="770"/>
      <c r="I722" s="773"/>
      <c r="J722" s="776"/>
      <c r="K722" s="779"/>
    </row>
    <row r="723" spans="3:11" x14ac:dyDescent="0.2">
      <c r="C723" s="569">
        <v>720</v>
      </c>
      <c r="D723" s="580"/>
      <c r="E723" s="581"/>
      <c r="F723" s="582"/>
      <c r="G723" s="583"/>
      <c r="H723" s="770"/>
      <c r="I723" s="773"/>
      <c r="J723" s="776"/>
      <c r="K723" s="779"/>
    </row>
    <row r="724" spans="3:11" x14ac:dyDescent="0.2">
      <c r="C724" s="569">
        <v>721</v>
      </c>
      <c r="D724" s="580"/>
      <c r="E724" s="581"/>
      <c r="F724" s="582"/>
      <c r="G724" s="583"/>
      <c r="H724" s="770"/>
      <c r="I724" s="773"/>
      <c r="J724" s="776"/>
      <c r="K724" s="779"/>
    </row>
    <row r="725" spans="3:11" x14ac:dyDescent="0.2">
      <c r="C725" s="569">
        <v>722</v>
      </c>
      <c r="D725" s="580"/>
      <c r="E725" s="581"/>
      <c r="F725" s="582"/>
      <c r="G725" s="583"/>
      <c r="H725" s="770"/>
      <c r="I725" s="773"/>
      <c r="J725" s="776"/>
      <c r="K725" s="779"/>
    </row>
    <row r="726" spans="3:11" x14ac:dyDescent="0.2">
      <c r="C726" s="569">
        <v>723</v>
      </c>
      <c r="D726" s="580"/>
      <c r="E726" s="581"/>
      <c r="F726" s="582"/>
      <c r="G726" s="583"/>
      <c r="H726" s="770"/>
      <c r="I726" s="773"/>
      <c r="J726" s="776"/>
      <c r="K726" s="779"/>
    </row>
    <row r="727" spans="3:11" x14ac:dyDescent="0.2">
      <c r="C727" s="569">
        <v>724</v>
      </c>
      <c r="D727" s="580"/>
      <c r="E727" s="581"/>
      <c r="F727" s="582"/>
      <c r="G727" s="583"/>
      <c r="H727" s="770"/>
      <c r="I727" s="773"/>
      <c r="J727" s="776"/>
      <c r="K727" s="779"/>
    </row>
    <row r="728" spans="3:11" x14ac:dyDescent="0.2">
      <c r="C728" s="569">
        <v>725</v>
      </c>
      <c r="D728" s="580"/>
      <c r="E728" s="581"/>
      <c r="F728" s="582"/>
      <c r="G728" s="583"/>
      <c r="H728" s="770"/>
      <c r="I728" s="773"/>
      <c r="J728" s="776"/>
      <c r="K728" s="779"/>
    </row>
    <row r="729" spans="3:11" x14ac:dyDescent="0.2">
      <c r="C729" s="569">
        <v>726</v>
      </c>
      <c r="D729" s="580"/>
      <c r="E729" s="581"/>
      <c r="F729" s="582"/>
      <c r="G729" s="583"/>
      <c r="H729" s="770"/>
      <c r="I729" s="773"/>
      <c r="J729" s="776"/>
      <c r="K729" s="779"/>
    </row>
    <row r="730" spans="3:11" x14ac:dyDescent="0.2">
      <c r="C730" s="569">
        <v>727</v>
      </c>
      <c r="D730" s="580"/>
      <c r="E730" s="581"/>
      <c r="F730" s="582"/>
      <c r="G730" s="583"/>
      <c r="H730" s="770"/>
      <c r="I730" s="773"/>
      <c r="J730" s="776"/>
      <c r="K730" s="779"/>
    </row>
    <row r="731" spans="3:11" x14ac:dyDescent="0.2">
      <c r="C731" s="569">
        <v>728</v>
      </c>
      <c r="D731" s="580"/>
      <c r="E731" s="581"/>
      <c r="F731" s="582"/>
      <c r="G731" s="583"/>
      <c r="H731" s="770"/>
      <c r="I731" s="773"/>
      <c r="J731" s="776"/>
      <c r="K731" s="779"/>
    </row>
    <row r="732" spans="3:11" x14ac:dyDescent="0.2">
      <c r="C732" s="569">
        <v>729</v>
      </c>
      <c r="D732" s="580"/>
      <c r="E732" s="581"/>
      <c r="F732" s="582"/>
      <c r="G732" s="583"/>
      <c r="H732" s="770"/>
      <c r="I732" s="773"/>
      <c r="J732" s="776"/>
      <c r="K732" s="779"/>
    </row>
    <row r="733" spans="3:11" x14ac:dyDescent="0.2">
      <c r="C733" s="569">
        <v>730</v>
      </c>
      <c r="D733" s="580"/>
      <c r="E733" s="581"/>
      <c r="F733" s="582"/>
      <c r="G733" s="583"/>
      <c r="H733" s="770"/>
      <c r="I733" s="773"/>
      <c r="J733" s="776"/>
      <c r="K733" s="779"/>
    </row>
    <row r="734" spans="3:11" x14ac:dyDescent="0.2">
      <c r="C734" s="569">
        <v>731</v>
      </c>
      <c r="D734" s="580"/>
      <c r="E734" s="581"/>
      <c r="F734" s="582"/>
      <c r="G734" s="583"/>
      <c r="H734" s="770"/>
      <c r="I734" s="773"/>
      <c r="J734" s="776"/>
      <c r="K734" s="779"/>
    </row>
    <row r="735" spans="3:11" x14ac:dyDescent="0.2">
      <c r="C735" s="569">
        <v>732</v>
      </c>
      <c r="D735" s="580"/>
      <c r="E735" s="581"/>
      <c r="F735" s="582"/>
      <c r="G735" s="583"/>
      <c r="H735" s="770"/>
      <c r="I735" s="773"/>
      <c r="J735" s="776"/>
      <c r="K735" s="779"/>
    </row>
    <row r="736" spans="3:11" x14ac:dyDescent="0.2">
      <c r="C736" s="569">
        <v>733</v>
      </c>
      <c r="D736" s="580"/>
      <c r="E736" s="581"/>
      <c r="F736" s="582"/>
      <c r="G736" s="583"/>
      <c r="H736" s="770"/>
      <c r="I736" s="773"/>
      <c r="J736" s="776"/>
      <c r="K736" s="779"/>
    </row>
    <row r="737" spans="3:11" x14ac:dyDescent="0.2">
      <c r="C737" s="569">
        <v>734</v>
      </c>
      <c r="D737" s="580"/>
      <c r="E737" s="581"/>
      <c r="F737" s="582"/>
      <c r="G737" s="583"/>
      <c r="H737" s="770"/>
      <c r="I737" s="773"/>
      <c r="J737" s="776"/>
      <c r="K737" s="779"/>
    </row>
    <row r="738" spans="3:11" x14ac:dyDescent="0.2">
      <c r="C738" s="569">
        <v>735</v>
      </c>
      <c r="D738" s="580"/>
      <c r="E738" s="581"/>
      <c r="F738" s="582"/>
      <c r="G738" s="583"/>
      <c r="H738" s="770"/>
      <c r="I738" s="773"/>
      <c r="J738" s="776"/>
      <c r="K738" s="779"/>
    </row>
    <row r="739" spans="3:11" x14ac:dyDescent="0.2">
      <c r="C739" s="569">
        <v>736</v>
      </c>
      <c r="D739" s="580"/>
      <c r="E739" s="581"/>
      <c r="F739" s="582"/>
      <c r="G739" s="583"/>
      <c r="H739" s="770"/>
      <c r="I739" s="773"/>
      <c r="J739" s="776"/>
      <c r="K739" s="779"/>
    </row>
    <row r="740" spans="3:11" x14ac:dyDescent="0.2">
      <c r="C740" s="569">
        <v>737</v>
      </c>
      <c r="D740" s="580"/>
      <c r="E740" s="581"/>
      <c r="F740" s="582"/>
      <c r="G740" s="583"/>
      <c r="H740" s="770"/>
      <c r="I740" s="773"/>
      <c r="J740" s="776"/>
      <c r="K740" s="779"/>
    </row>
    <row r="741" spans="3:11" x14ac:dyDescent="0.2">
      <c r="C741" s="569">
        <v>738</v>
      </c>
      <c r="D741" s="580"/>
      <c r="E741" s="581"/>
      <c r="F741" s="582"/>
      <c r="G741" s="583"/>
      <c r="H741" s="770"/>
      <c r="I741" s="773"/>
      <c r="J741" s="776"/>
      <c r="K741" s="779"/>
    </row>
    <row r="742" spans="3:11" x14ac:dyDescent="0.2">
      <c r="C742" s="569">
        <v>739</v>
      </c>
      <c r="D742" s="580"/>
      <c r="E742" s="581"/>
      <c r="F742" s="582"/>
      <c r="G742" s="583"/>
      <c r="H742" s="770"/>
      <c r="I742" s="773"/>
      <c r="J742" s="776"/>
      <c r="K742" s="779"/>
    </row>
    <row r="743" spans="3:11" x14ac:dyDescent="0.2">
      <c r="C743" s="569">
        <v>740</v>
      </c>
      <c r="D743" s="580"/>
      <c r="E743" s="581"/>
      <c r="F743" s="582"/>
      <c r="G743" s="583"/>
      <c r="H743" s="770"/>
      <c r="I743" s="773"/>
      <c r="J743" s="776"/>
      <c r="K743" s="779"/>
    </row>
    <row r="744" spans="3:11" x14ac:dyDescent="0.2">
      <c r="C744" s="569">
        <v>741</v>
      </c>
      <c r="D744" s="580"/>
      <c r="E744" s="581"/>
      <c r="F744" s="582"/>
      <c r="G744" s="583"/>
      <c r="H744" s="770"/>
      <c r="I744" s="773"/>
      <c r="J744" s="776"/>
      <c r="K744" s="779"/>
    </row>
    <row r="745" spans="3:11" x14ac:dyDescent="0.2">
      <c r="C745" s="569">
        <v>742</v>
      </c>
      <c r="D745" s="580"/>
      <c r="E745" s="581"/>
      <c r="F745" s="582"/>
      <c r="G745" s="583"/>
      <c r="H745" s="770"/>
      <c r="I745" s="773"/>
      <c r="J745" s="776"/>
      <c r="K745" s="779"/>
    </row>
    <row r="746" spans="3:11" x14ac:dyDescent="0.2">
      <c r="C746" s="569">
        <v>743</v>
      </c>
      <c r="D746" s="580"/>
      <c r="E746" s="581"/>
      <c r="F746" s="582"/>
      <c r="G746" s="583"/>
      <c r="H746" s="770"/>
      <c r="I746" s="773"/>
      <c r="J746" s="776"/>
      <c r="K746" s="779"/>
    </row>
    <row r="747" spans="3:11" x14ac:dyDescent="0.2">
      <c r="C747" s="569">
        <v>744</v>
      </c>
      <c r="D747" s="580"/>
      <c r="E747" s="581"/>
      <c r="F747" s="582"/>
      <c r="G747" s="583"/>
      <c r="H747" s="770"/>
      <c r="I747" s="773"/>
      <c r="J747" s="776"/>
      <c r="K747" s="779"/>
    </row>
    <row r="748" spans="3:11" x14ac:dyDescent="0.2">
      <c r="C748" s="569">
        <v>745</v>
      </c>
      <c r="D748" s="580"/>
      <c r="E748" s="581"/>
      <c r="F748" s="582"/>
      <c r="G748" s="583"/>
      <c r="H748" s="770"/>
      <c r="I748" s="773"/>
      <c r="J748" s="776"/>
      <c r="K748" s="779"/>
    </row>
    <row r="749" spans="3:11" x14ac:dyDescent="0.2">
      <c r="C749" s="569">
        <v>746</v>
      </c>
      <c r="D749" s="580"/>
      <c r="E749" s="581"/>
      <c r="F749" s="582"/>
      <c r="G749" s="583"/>
      <c r="H749" s="770"/>
      <c r="I749" s="773"/>
      <c r="J749" s="776"/>
      <c r="K749" s="779"/>
    </row>
    <row r="750" spans="3:11" x14ac:dyDescent="0.2">
      <c r="C750" s="569">
        <v>747</v>
      </c>
      <c r="D750" s="580"/>
      <c r="E750" s="581"/>
      <c r="F750" s="582"/>
      <c r="G750" s="583"/>
      <c r="H750" s="770"/>
      <c r="I750" s="773"/>
      <c r="J750" s="776"/>
      <c r="K750" s="779"/>
    </row>
    <row r="751" spans="3:11" x14ac:dyDescent="0.2">
      <c r="C751" s="569">
        <v>748</v>
      </c>
      <c r="D751" s="580"/>
      <c r="E751" s="581"/>
      <c r="F751" s="582"/>
      <c r="G751" s="583"/>
      <c r="H751" s="770"/>
      <c r="I751" s="773"/>
      <c r="J751" s="776"/>
      <c r="K751" s="779"/>
    </row>
    <row r="752" spans="3:11" x14ac:dyDescent="0.2">
      <c r="C752" s="569">
        <v>749</v>
      </c>
      <c r="D752" s="580"/>
      <c r="E752" s="581"/>
      <c r="F752" s="582"/>
      <c r="G752" s="583"/>
      <c r="H752" s="770"/>
      <c r="I752" s="773"/>
      <c r="J752" s="776"/>
      <c r="K752" s="779"/>
    </row>
    <row r="753" spans="3:11" x14ac:dyDescent="0.2">
      <c r="C753" s="569">
        <v>750</v>
      </c>
      <c r="D753" s="580"/>
      <c r="E753" s="581"/>
      <c r="F753" s="582"/>
      <c r="G753" s="583"/>
      <c r="H753" s="770"/>
      <c r="I753" s="773"/>
      <c r="J753" s="776"/>
      <c r="K753" s="779"/>
    </row>
    <row r="754" spans="3:11" x14ac:dyDescent="0.2">
      <c r="C754" s="569">
        <v>751</v>
      </c>
      <c r="D754" s="580"/>
      <c r="E754" s="581"/>
      <c r="F754" s="582"/>
      <c r="G754" s="583"/>
      <c r="H754" s="770"/>
      <c r="I754" s="773"/>
      <c r="J754" s="776"/>
      <c r="K754" s="779"/>
    </row>
    <row r="755" spans="3:11" x14ac:dyDescent="0.2">
      <c r="C755" s="569">
        <v>752</v>
      </c>
      <c r="D755" s="580"/>
      <c r="E755" s="581"/>
      <c r="F755" s="582"/>
      <c r="G755" s="583"/>
      <c r="H755" s="770"/>
      <c r="I755" s="773"/>
      <c r="J755" s="776"/>
      <c r="K755" s="779"/>
    </row>
    <row r="756" spans="3:11" x14ac:dyDescent="0.2">
      <c r="C756" s="569">
        <v>753</v>
      </c>
      <c r="D756" s="580"/>
      <c r="E756" s="581"/>
      <c r="F756" s="582"/>
      <c r="G756" s="583"/>
      <c r="H756" s="770"/>
      <c r="I756" s="773"/>
      <c r="J756" s="776"/>
      <c r="K756" s="779"/>
    </row>
    <row r="757" spans="3:11" x14ac:dyDescent="0.2">
      <c r="C757" s="569">
        <v>754</v>
      </c>
      <c r="D757" s="580"/>
      <c r="E757" s="581"/>
      <c r="F757" s="582"/>
      <c r="G757" s="583"/>
      <c r="H757" s="770"/>
      <c r="I757" s="773"/>
      <c r="J757" s="776"/>
      <c r="K757" s="779"/>
    </row>
    <row r="758" spans="3:11" x14ac:dyDescent="0.2">
      <c r="C758" s="569">
        <v>755</v>
      </c>
      <c r="D758" s="580"/>
      <c r="E758" s="581"/>
      <c r="F758" s="582"/>
      <c r="G758" s="583"/>
      <c r="H758" s="770"/>
      <c r="I758" s="773"/>
      <c r="J758" s="776"/>
      <c r="K758" s="779"/>
    </row>
    <row r="759" spans="3:11" x14ac:dyDescent="0.2">
      <c r="C759" s="569">
        <v>756</v>
      </c>
      <c r="D759" s="580"/>
      <c r="E759" s="581"/>
      <c r="F759" s="582"/>
      <c r="G759" s="583"/>
      <c r="H759" s="770"/>
      <c r="I759" s="773"/>
      <c r="J759" s="776"/>
      <c r="K759" s="779"/>
    </row>
    <row r="760" spans="3:11" x14ac:dyDescent="0.2">
      <c r="C760" s="569">
        <v>757</v>
      </c>
      <c r="D760" s="580"/>
      <c r="E760" s="581"/>
      <c r="F760" s="582"/>
      <c r="G760" s="583"/>
      <c r="H760" s="770"/>
      <c r="I760" s="773"/>
      <c r="J760" s="776"/>
      <c r="K760" s="779"/>
    </row>
    <row r="761" spans="3:11" x14ac:dyDescent="0.2">
      <c r="C761" s="569">
        <v>758</v>
      </c>
      <c r="D761" s="580"/>
      <c r="E761" s="581"/>
      <c r="F761" s="582"/>
      <c r="G761" s="583"/>
      <c r="H761" s="770"/>
      <c r="I761" s="773"/>
      <c r="J761" s="776"/>
      <c r="K761" s="779"/>
    </row>
    <row r="762" spans="3:11" x14ac:dyDescent="0.2">
      <c r="C762" s="569">
        <v>759</v>
      </c>
      <c r="D762" s="580"/>
      <c r="E762" s="581"/>
      <c r="F762" s="582"/>
      <c r="G762" s="583"/>
      <c r="H762" s="770"/>
      <c r="I762" s="773"/>
      <c r="J762" s="776"/>
      <c r="K762" s="779"/>
    </row>
    <row r="763" spans="3:11" x14ac:dyDescent="0.2">
      <c r="C763" s="569">
        <v>760</v>
      </c>
      <c r="D763" s="580"/>
      <c r="E763" s="581"/>
      <c r="F763" s="582"/>
      <c r="G763" s="583"/>
      <c r="H763" s="770"/>
      <c r="I763" s="773"/>
      <c r="J763" s="776"/>
      <c r="K763" s="779"/>
    </row>
    <row r="764" spans="3:11" x14ac:dyDescent="0.2">
      <c r="C764" s="569">
        <v>761</v>
      </c>
      <c r="D764" s="580"/>
      <c r="E764" s="581"/>
      <c r="F764" s="582"/>
      <c r="G764" s="583"/>
      <c r="H764" s="770"/>
      <c r="I764" s="773"/>
      <c r="J764" s="776"/>
      <c r="K764" s="779"/>
    </row>
    <row r="765" spans="3:11" x14ac:dyDescent="0.2">
      <c r="C765" s="569">
        <v>762</v>
      </c>
      <c r="D765" s="580"/>
      <c r="E765" s="581"/>
      <c r="F765" s="582"/>
      <c r="G765" s="583"/>
      <c r="H765" s="770"/>
      <c r="I765" s="773"/>
      <c r="J765" s="776"/>
      <c r="K765" s="779"/>
    </row>
    <row r="766" spans="3:11" x14ac:dyDescent="0.2">
      <c r="C766" s="569">
        <v>763</v>
      </c>
      <c r="D766" s="580"/>
      <c r="E766" s="581"/>
      <c r="F766" s="582"/>
      <c r="G766" s="583"/>
      <c r="H766" s="770"/>
      <c r="I766" s="773"/>
      <c r="J766" s="776"/>
      <c r="K766" s="779"/>
    </row>
    <row r="767" spans="3:11" x14ac:dyDescent="0.2">
      <c r="C767" s="569">
        <v>764</v>
      </c>
      <c r="D767" s="580"/>
      <c r="E767" s="581"/>
      <c r="F767" s="582"/>
      <c r="G767" s="583"/>
      <c r="H767" s="770"/>
      <c r="I767" s="773"/>
      <c r="J767" s="776"/>
      <c r="K767" s="779"/>
    </row>
    <row r="768" spans="3:11" x14ac:dyDescent="0.2">
      <c r="C768" s="569">
        <v>765</v>
      </c>
      <c r="D768" s="580"/>
      <c r="E768" s="581"/>
      <c r="F768" s="582"/>
      <c r="G768" s="583"/>
      <c r="H768" s="770"/>
      <c r="I768" s="773"/>
      <c r="J768" s="776"/>
      <c r="K768" s="779"/>
    </row>
    <row r="769" spans="3:11" x14ac:dyDescent="0.2">
      <c r="C769" s="569">
        <v>766</v>
      </c>
      <c r="D769" s="580"/>
      <c r="E769" s="581"/>
      <c r="F769" s="582"/>
      <c r="G769" s="583"/>
      <c r="H769" s="770"/>
      <c r="I769" s="773"/>
      <c r="J769" s="776"/>
      <c r="K769" s="779"/>
    </row>
    <row r="770" spans="3:11" x14ac:dyDescent="0.2">
      <c r="C770" s="569">
        <v>767</v>
      </c>
      <c r="D770" s="580"/>
      <c r="E770" s="581"/>
      <c r="F770" s="582"/>
      <c r="G770" s="583"/>
      <c r="H770" s="770"/>
      <c r="I770" s="773"/>
      <c r="J770" s="776"/>
      <c r="K770" s="779"/>
    </row>
    <row r="771" spans="3:11" x14ac:dyDescent="0.2">
      <c r="C771" s="569">
        <v>768</v>
      </c>
      <c r="D771" s="580"/>
      <c r="E771" s="581"/>
      <c r="F771" s="582"/>
      <c r="G771" s="583"/>
      <c r="H771" s="770"/>
      <c r="I771" s="773"/>
      <c r="J771" s="776"/>
      <c r="K771" s="779"/>
    </row>
    <row r="772" spans="3:11" x14ac:dyDescent="0.2">
      <c r="C772" s="569">
        <v>769</v>
      </c>
      <c r="D772" s="580"/>
      <c r="E772" s="581"/>
      <c r="F772" s="582"/>
      <c r="G772" s="583"/>
      <c r="H772" s="770"/>
      <c r="I772" s="773"/>
      <c r="J772" s="776"/>
      <c r="K772" s="779"/>
    </row>
    <row r="773" spans="3:11" x14ac:dyDescent="0.2">
      <c r="C773" s="569">
        <v>770</v>
      </c>
      <c r="D773" s="580"/>
      <c r="E773" s="581"/>
      <c r="F773" s="582"/>
      <c r="G773" s="583"/>
      <c r="H773" s="770"/>
      <c r="I773" s="773"/>
      <c r="J773" s="776"/>
      <c r="K773" s="779"/>
    </row>
    <row r="774" spans="3:11" x14ac:dyDescent="0.2">
      <c r="C774" s="569">
        <v>771</v>
      </c>
      <c r="D774" s="580"/>
      <c r="E774" s="581"/>
      <c r="F774" s="582"/>
      <c r="G774" s="583"/>
      <c r="H774" s="770"/>
      <c r="I774" s="773"/>
      <c r="J774" s="776"/>
      <c r="K774" s="779"/>
    </row>
    <row r="775" spans="3:11" x14ac:dyDescent="0.2">
      <c r="C775" s="569">
        <v>772</v>
      </c>
      <c r="D775" s="580"/>
      <c r="E775" s="581"/>
      <c r="F775" s="582"/>
      <c r="G775" s="583"/>
      <c r="H775" s="770"/>
      <c r="I775" s="773"/>
      <c r="J775" s="776"/>
      <c r="K775" s="779"/>
    </row>
    <row r="776" spans="3:11" x14ac:dyDescent="0.2">
      <c r="C776" s="569">
        <v>773</v>
      </c>
      <c r="D776" s="580"/>
      <c r="E776" s="581"/>
      <c r="F776" s="582"/>
      <c r="G776" s="583"/>
      <c r="H776" s="770"/>
      <c r="I776" s="773"/>
      <c r="J776" s="776"/>
      <c r="K776" s="779"/>
    </row>
    <row r="777" spans="3:11" x14ac:dyDescent="0.2">
      <c r="C777" s="569">
        <v>774</v>
      </c>
      <c r="D777" s="580"/>
      <c r="E777" s="581"/>
      <c r="F777" s="582"/>
      <c r="G777" s="583"/>
      <c r="H777" s="770"/>
      <c r="I777" s="773"/>
      <c r="J777" s="776"/>
      <c r="K777" s="779"/>
    </row>
    <row r="778" spans="3:11" x14ac:dyDescent="0.2">
      <c r="C778" s="569">
        <v>775</v>
      </c>
      <c r="D778" s="580"/>
      <c r="E778" s="581"/>
      <c r="F778" s="582"/>
      <c r="G778" s="583"/>
      <c r="H778" s="770"/>
      <c r="I778" s="773"/>
      <c r="J778" s="776"/>
      <c r="K778" s="779"/>
    </row>
    <row r="779" spans="3:11" x14ac:dyDescent="0.2">
      <c r="C779" s="569">
        <v>776</v>
      </c>
      <c r="D779" s="580"/>
      <c r="E779" s="581"/>
      <c r="F779" s="582"/>
      <c r="G779" s="583"/>
      <c r="H779" s="770"/>
      <c r="I779" s="773"/>
      <c r="J779" s="776"/>
      <c r="K779" s="779"/>
    </row>
    <row r="780" spans="3:11" x14ac:dyDescent="0.2">
      <c r="C780" s="569">
        <v>777</v>
      </c>
      <c r="D780" s="580"/>
      <c r="E780" s="581"/>
      <c r="F780" s="582"/>
      <c r="G780" s="583"/>
      <c r="H780" s="770"/>
      <c r="I780" s="773"/>
      <c r="J780" s="776"/>
      <c r="K780" s="779"/>
    </row>
    <row r="781" spans="3:11" x14ac:dyDescent="0.2">
      <c r="C781" s="569">
        <v>778</v>
      </c>
      <c r="D781" s="580"/>
      <c r="E781" s="581"/>
      <c r="F781" s="582"/>
      <c r="G781" s="583"/>
      <c r="H781" s="770"/>
      <c r="I781" s="773"/>
      <c r="J781" s="776"/>
      <c r="K781" s="779"/>
    </row>
    <row r="782" spans="3:11" x14ac:dyDescent="0.2">
      <c r="C782" s="569">
        <v>779</v>
      </c>
      <c r="D782" s="580"/>
      <c r="E782" s="581"/>
      <c r="F782" s="582"/>
      <c r="G782" s="583"/>
      <c r="H782" s="770"/>
      <c r="I782" s="773"/>
      <c r="J782" s="776"/>
      <c r="K782" s="779"/>
    </row>
    <row r="783" spans="3:11" x14ac:dyDescent="0.2">
      <c r="C783" s="569">
        <v>780</v>
      </c>
      <c r="D783" s="580"/>
      <c r="E783" s="581"/>
      <c r="F783" s="582"/>
      <c r="G783" s="583"/>
      <c r="H783" s="770"/>
      <c r="I783" s="773"/>
      <c r="J783" s="776"/>
      <c r="K783" s="779"/>
    </row>
    <row r="784" spans="3:11" x14ac:dyDescent="0.2">
      <c r="C784" s="569">
        <v>781</v>
      </c>
      <c r="D784" s="580"/>
      <c r="E784" s="581"/>
      <c r="F784" s="582"/>
      <c r="G784" s="583"/>
      <c r="H784" s="770"/>
      <c r="I784" s="773"/>
      <c r="J784" s="776"/>
      <c r="K784" s="779"/>
    </row>
    <row r="785" spans="3:11" x14ac:dyDescent="0.2">
      <c r="C785" s="569">
        <v>782</v>
      </c>
      <c r="D785" s="580"/>
      <c r="E785" s="581"/>
      <c r="F785" s="582"/>
      <c r="G785" s="583"/>
      <c r="H785" s="770"/>
      <c r="I785" s="773"/>
      <c r="J785" s="776"/>
      <c r="K785" s="779"/>
    </row>
    <row r="786" spans="3:11" x14ac:dyDescent="0.2">
      <c r="C786" s="569">
        <v>783</v>
      </c>
      <c r="D786" s="580"/>
      <c r="E786" s="581"/>
      <c r="F786" s="582"/>
      <c r="G786" s="583"/>
      <c r="H786" s="770"/>
      <c r="I786" s="773"/>
      <c r="J786" s="776"/>
      <c r="K786" s="779"/>
    </row>
    <row r="787" spans="3:11" x14ac:dyDescent="0.2">
      <c r="C787" s="569">
        <v>784</v>
      </c>
      <c r="D787" s="580"/>
      <c r="E787" s="581"/>
      <c r="F787" s="582"/>
      <c r="G787" s="583"/>
      <c r="H787" s="770"/>
      <c r="I787" s="773"/>
      <c r="J787" s="776"/>
      <c r="K787" s="779"/>
    </row>
    <row r="788" spans="3:11" x14ac:dyDescent="0.2">
      <c r="C788" s="569">
        <v>785</v>
      </c>
      <c r="D788" s="580"/>
      <c r="E788" s="581"/>
      <c r="F788" s="582"/>
      <c r="G788" s="583"/>
      <c r="H788" s="770"/>
      <c r="I788" s="773"/>
      <c r="J788" s="776"/>
      <c r="K788" s="779"/>
    </row>
    <row r="789" spans="3:11" x14ac:dyDescent="0.2">
      <c r="C789" s="569">
        <v>786</v>
      </c>
      <c r="D789" s="580"/>
      <c r="E789" s="581"/>
      <c r="F789" s="582"/>
      <c r="G789" s="583"/>
      <c r="H789" s="770"/>
      <c r="I789" s="773"/>
      <c r="J789" s="776"/>
      <c r="K789" s="779"/>
    </row>
    <row r="790" spans="3:11" x14ac:dyDescent="0.2">
      <c r="C790" s="569">
        <v>787</v>
      </c>
      <c r="D790" s="580"/>
      <c r="E790" s="581"/>
      <c r="F790" s="582"/>
      <c r="G790" s="583"/>
      <c r="H790" s="770"/>
      <c r="I790" s="773"/>
      <c r="J790" s="776"/>
      <c r="K790" s="779"/>
    </row>
    <row r="791" spans="3:11" x14ac:dyDescent="0.2">
      <c r="C791" s="569">
        <v>788</v>
      </c>
      <c r="D791" s="580"/>
      <c r="E791" s="581"/>
      <c r="F791" s="582"/>
      <c r="G791" s="583"/>
      <c r="H791" s="770"/>
      <c r="I791" s="773"/>
      <c r="J791" s="776"/>
      <c r="K791" s="779"/>
    </row>
    <row r="792" spans="3:11" x14ac:dyDescent="0.2">
      <c r="C792" s="569">
        <v>789</v>
      </c>
      <c r="D792" s="580"/>
      <c r="E792" s="581"/>
      <c r="F792" s="582"/>
      <c r="G792" s="583"/>
      <c r="H792" s="770"/>
      <c r="I792" s="773"/>
      <c r="J792" s="776"/>
      <c r="K792" s="779"/>
    </row>
    <row r="793" spans="3:11" x14ac:dyDescent="0.2">
      <c r="C793" s="569">
        <v>790</v>
      </c>
      <c r="D793" s="580"/>
      <c r="E793" s="581"/>
      <c r="F793" s="582"/>
      <c r="G793" s="583"/>
      <c r="H793" s="770"/>
      <c r="I793" s="773"/>
      <c r="J793" s="776"/>
      <c r="K793" s="779"/>
    </row>
    <row r="794" spans="3:11" x14ac:dyDescent="0.2">
      <c r="C794" s="569">
        <v>791</v>
      </c>
      <c r="D794" s="580"/>
      <c r="E794" s="581"/>
      <c r="F794" s="582"/>
      <c r="G794" s="583"/>
      <c r="H794" s="770"/>
      <c r="I794" s="773"/>
      <c r="J794" s="776"/>
      <c r="K794" s="779"/>
    </row>
    <row r="795" spans="3:11" x14ac:dyDescent="0.2">
      <c r="C795" s="569">
        <v>792</v>
      </c>
      <c r="D795" s="580"/>
      <c r="E795" s="581"/>
      <c r="F795" s="582"/>
      <c r="G795" s="583"/>
      <c r="H795" s="770"/>
      <c r="I795" s="773"/>
      <c r="J795" s="776"/>
      <c r="K795" s="779"/>
    </row>
    <row r="796" spans="3:11" x14ac:dyDescent="0.2">
      <c r="C796" s="569">
        <v>793</v>
      </c>
      <c r="D796" s="580"/>
      <c r="E796" s="581"/>
      <c r="F796" s="582"/>
      <c r="G796" s="583"/>
      <c r="H796" s="770"/>
      <c r="I796" s="773"/>
      <c r="J796" s="776"/>
      <c r="K796" s="779"/>
    </row>
    <row r="797" spans="3:11" x14ac:dyDescent="0.2">
      <c r="C797" s="569">
        <v>794</v>
      </c>
      <c r="D797" s="580"/>
      <c r="E797" s="581"/>
      <c r="F797" s="582"/>
      <c r="G797" s="583"/>
      <c r="H797" s="770"/>
      <c r="I797" s="773"/>
      <c r="J797" s="776"/>
      <c r="K797" s="779"/>
    </row>
    <row r="798" spans="3:11" x14ac:dyDescent="0.2">
      <c r="C798" s="569">
        <v>795</v>
      </c>
      <c r="D798" s="580"/>
      <c r="E798" s="581"/>
      <c r="F798" s="582"/>
      <c r="G798" s="583"/>
      <c r="H798" s="770"/>
      <c r="I798" s="773"/>
      <c r="J798" s="776"/>
      <c r="K798" s="779"/>
    </row>
    <row r="799" spans="3:11" x14ac:dyDescent="0.2">
      <c r="C799" s="569">
        <v>796</v>
      </c>
      <c r="D799" s="580"/>
      <c r="E799" s="581"/>
      <c r="F799" s="582"/>
      <c r="G799" s="583"/>
      <c r="H799" s="770"/>
      <c r="I799" s="773"/>
      <c r="J799" s="776"/>
      <c r="K799" s="779"/>
    </row>
    <row r="800" spans="3:11" x14ac:dyDescent="0.2">
      <c r="C800" s="569">
        <v>797</v>
      </c>
      <c r="D800" s="580"/>
      <c r="E800" s="581"/>
      <c r="F800" s="582"/>
      <c r="G800" s="583"/>
      <c r="H800" s="770"/>
      <c r="I800" s="773"/>
      <c r="J800" s="776"/>
      <c r="K800" s="779"/>
    </row>
    <row r="801" spans="3:11" x14ac:dyDescent="0.2">
      <c r="C801" s="569">
        <v>798</v>
      </c>
      <c r="D801" s="580"/>
      <c r="E801" s="581"/>
      <c r="F801" s="582"/>
      <c r="G801" s="583"/>
      <c r="H801" s="770"/>
      <c r="I801" s="773"/>
      <c r="J801" s="776"/>
      <c r="K801" s="779"/>
    </row>
    <row r="802" spans="3:11" x14ac:dyDescent="0.2">
      <c r="C802" s="569">
        <v>799</v>
      </c>
      <c r="D802" s="580"/>
      <c r="E802" s="581"/>
      <c r="F802" s="582"/>
      <c r="G802" s="583"/>
      <c r="H802" s="770"/>
      <c r="I802" s="773"/>
      <c r="J802" s="776"/>
      <c r="K802" s="779"/>
    </row>
    <row r="803" spans="3:11" x14ac:dyDescent="0.2">
      <c r="C803" s="569">
        <v>800</v>
      </c>
      <c r="D803" s="580"/>
      <c r="E803" s="581"/>
      <c r="F803" s="582"/>
      <c r="G803" s="583"/>
      <c r="H803" s="770"/>
      <c r="I803" s="773"/>
      <c r="J803" s="776"/>
      <c r="K803" s="779"/>
    </row>
    <row r="804" spans="3:11" x14ac:dyDescent="0.2">
      <c r="C804" s="569">
        <v>801</v>
      </c>
      <c r="D804" s="580"/>
      <c r="E804" s="581"/>
      <c r="F804" s="582"/>
      <c r="G804" s="583"/>
      <c r="H804" s="770"/>
      <c r="I804" s="773"/>
      <c r="J804" s="776"/>
      <c r="K804" s="779"/>
    </row>
    <row r="805" spans="3:11" x14ac:dyDescent="0.2">
      <c r="C805" s="569">
        <v>802</v>
      </c>
      <c r="D805" s="580"/>
      <c r="E805" s="581"/>
      <c r="F805" s="582"/>
      <c r="G805" s="583"/>
      <c r="H805" s="770"/>
      <c r="I805" s="773"/>
      <c r="J805" s="776"/>
      <c r="K805" s="779"/>
    </row>
    <row r="806" spans="3:11" x14ac:dyDescent="0.2">
      <c r="C806" s="569">
        <v>803</v>
      </c>
      <c r="D806" s="580"/>
      <c r="E806" s="581"/>
      <c r="F806" s="582"/>
      <c r="G806" s="583"/>
      <c r="H806" s="770"/>
      <c r="I806" s="773"/>
      <c r="J806" s="776"/>
      <c r="K806" s="779"/>
    </row>
    <row r="807" spans="3:11" x14ac:dyDescent="0.2">
      <c r="C807" s="569">
        <v>804</v>
      </c>
      <c r="D807" s="580"/>
      <c r="E807" s="581"/>
      <c r="F807" s="582"/>
      <c r="G807" s="583"/>
      <c r="H807" s="770"/>
      <c r="I807" s="773"/>
      <c r="J807" s="776"/>
      <c r="K807" s="779"/>
    </row>
    <row r="808" spans="3:11" x14ac:dyDescent="0.2">
      <c r="C808" s="569">
        <v>805</v>
      </c>
      <c r="D808" s="580"/>
      <c r="E808" s="581"/>
      <c r="F808" s="582"/>
      <c r="G808" s="583"/>
      <c r="H808" s="770"/>
      <c r="I808" s="773"/>
      <c r="J808" s="776"/>
      <c r="K808" s="779"/>
    </row>
    <row r="809" spans="3:11" x14ac:dyDescent="0.2">
      <c r="C809" s="569">
        <v>806</v>
      </c>
      <c r="D809" s="580"/>
      <c r="E809" s="581"/>
      <c r="F809" s="582"/>
      <c r="G809" s="583"/>
      <c r="H809" s="770"/>
      <c r="I809" s="773"/>
      <c r="J809" s="776"/>
      <c r="K809" s="779"/>
    </row>
    <row r="810" spans="3:11" x14ac:dyDescent="0.2">
      <c r="C810" s="569">
        <v>807</v>
      </c>
      <c r="D810" s="580"/>
      <c r="E810" s="581"/>
      <c r="F810" s="582"/>
      <c r="G810" s="583"/>
      <c r="H810" s="770"/>
      <c r="I810" s="773"/>
      <c r="J810" s="776"/>
      <c r="K810" s="779"/>
    </row>
    <row r="811" spans="3:11" x14ac:dyDescent="0.2">
      <c r="C811" s="569">
        <v>808</v>
      </c>
      <c r="D811" s="580"/>
      <c r="E811" s="581"/>
      <c r="F811" s="582"/>
      <c r="G811" s="583"/>
      <c r="H811" s="770"/>
      <c r="I811" s="773"/>
      <c r="J811" s="776"/>
      <c r="K811" s="779"/>
    </row>
    <row r="812" spans="3:11" x14ac:dyDescent="0.2">
      <c r="C812" s="569">
        <v>809</v>
      </c>
      <c r="D812" s="580"/>
      <c r="E812" s="581"/>
      <c r="F812" s="582"/>
      <c r="G812" s="583"/>
      <c r="H812" s="770"/>
      <c r="I812" s="773"/>
      <c r="J812" s="776"/>
      <c r="K812" s="779"/>
    </row>
    <row r="813" spans="3:11" x14ac:dyDescent="0.2">
      <c r="C813" s="569">
        <v>810</v>
      </c>
      <c r="D813" s="580"/>
      <c r="E813" s="581"/>
      <c r="F813" s="582"/>
      <c r="G813" s="583"/>
      <c r="H813" s="770"/>
      <c r="I813" s="773"/>
      <c r="J813" s="776"/>
      <c r="K813" s="779"/>
    </row>
    <row r="814" spans="3:11" x14ac:dyDescent="0.2">
      <c r="C814" s="569">
        <v>811</v>
      </c>
      <c r="D814" s="580"/>
      <c r="E814" s="581"/>
      <c r="F814" s="582"/>
      <c r="G814" s="583"/>
      <c r="H814" s="770"/>
      <c r="I814" s="773"/>
      <c r="J814" s="776"/>
      <c r="K814" s="779"/>
    </row>
    <row r="815" spans="3:11" x14ac:dyDescent="0.2">
      <c r="C815" s="569">
        <v>812</v>
      </c>
      <c r="D815" s="580"/>
      <c r="E815" s="581"/>
      <c r="F815" s="582"/>
      <c r="G815" s="583"/>
      <c r="H815" s="770"/>
      <c r="I815" s="773"/>
      <c r="J815" s="776"/>
      <c r="K815" s="779"/>
    </row>
    <row r="816" spans="3:11" x14ac:dyDescent="0.2">
      <c r="C816" s="569">
        <v>813</v>
      </c>
      <c r="D816" s="580"/>
      <c r="E816" s="581"/>
      <c r="F816" s="582"/>
      <c r="G816" s="583"/>
      <c r="H816" s="770"/>
      <c r="I816" s="773"/>
      <c r="J816" s="776"/>
      <c r="K816" s="779"/>
    </row>
    <row r="817" spans="3:11" x14ac:dyDescent="0.2">
      <c r="C817" s="569">
        <v>814</v>
      </c>
      <c r="D817" s="580"/>
      <c r="E817" s="581"/>
      <c r="F817" s="582"/>
      <c r="G817" s="583"/>
      <c r="H817" s="770"/>
      <c r="I817" s="773"/>
      <c r="J817" s="776"/>
      <c r="K817" s="779"/>
    </row>
    <row r="818" spans="3:11" x14ac:dyDescent="0.2">
      <c r="C818" s="569">
        <v>815</v>
      </c>
      <c r="D818" s="580"/>
      <c r="E818" s="581"/>
      <c r="F818" s="582"/>
      <c r="G818" s="583"/>
      <c r="H818" s="770"/>
      <c r="I818" s="773"/>
      <c r="J818" s="776"/>
      <c r="K818" s="779"/>
    </row>
    <row r="819" spans="3:11" x14ac:dyDescent="0.2">
      <c r="C819" s="569">
        <v>816</v>
      </c>
      <c r="D819" s="580"/>
      <c r="E819" s="581"/>
      <c r="F819" s="582"/>
      <c r="G819" s="583"/>
      <c r="H819" s="770"/>
      <c r="I819" s="773"/>
      <c r="J819" s="776"/>
      <c r="K819" s="779"/>
    </row>
    <row r="820" spans="3:11" x14ac:dyDescent="0.2">
      <c r="C820" s="569">
        <v>817</v>
      </c>
      <c r="D820" s="580"/>
      <c r="E820" s="581"/>
      <c r="F820" s="582"/>
      <c r="G820" s="583"/>
      <c r="H820" s="770"/>
      <c r="I820" s="773"/>
      <c r="J820" s="776"/>
      <c r="K820" s="779"/>
    </row>
    <row r="821" spans="3:11" x14ac:dyDescent="0.2">
      <c r="C821" s="569">
        <v>818</v>
      </c>
      <c r="D821" s="580"/>
      <c r="E821" s="581"/>
      <c r="F821" s="582"/>
      <c r="G821" s="583"/>
      <c r="H821" s="770"/>
      <c r="I821" s="773"/>
      <c r="J821" s="776"/>
      <c r="K821" s="779"/>
    </row>
    <row r="822" spans="3:11" x14ac:dyDescent="0.2">
      <c r="C822" s="569">
        <v>819</v>
      </c>
      <c r="D822" s="580"/>
      <c r="E822" s="581"/>
      <c r="F822" s="582"/>
      <c r="G822" s="583"/>
      <c r="H822" s="770"/>
      <c r="I822" s="773"/>
      <c r="J822" s="776"/>
      <c r="K822" s="779"/>
    </row>
    <row r="823" spans="3:11" x14ac:dyDescent="0.2">
      <c r="C823" s="569">
        <v>820</v>
      </c>
      <c r="D823" s="580"/>
      <c r="E823" s="581"/>
      <c r="F823" s="582"/>
      <c r="G823" s="583"/>
      <c r="H823" s="770"/>
      <c r="I823" s="773"/>
      <c r="J823" s="776"/>
      <c r="K823" s="779"/>
    </row>
    <row r="824" spans="3:11" x14ac:dyDescent="0.2">
      <c r="C824" s="569">
        <v>821</v>
      </c>
      <c r="D824" s="580"/>
      <c r="E824" s="581"/>
      <c r="F824" s="582"/>
      <c r="G824" s="583"/>
      <c r="H824" s="770"/>
      <c r="I824" s="773"/>
      <c r="J824" s="776"/>
      <c r="K824" s="779"/>
    </row>
    <row r="825" spans="3:11" x14ac:dyDescent="0.2">
      <c r="C825" s="569">
        <v>822</v>
      </c>
      <c r="D825" s="580"/>
      <c r="E825" s="581"/>
      <c r="F825" s="582"/>
      <c r="G825" s="583"/>
      <c r="H825" s="770"/>
      <c r="I825" s="773"/>
      <c r="J825" s="776"/>
      <c r="K825" s="779"/>
    </row>
    <row r="826" spans="3:11" x14ac:dyDescent="0.2">
      <c r="C826" s="569">
        <v>823</v>
      </c>
      <c r="D826" s="580"/>
      <c r="E826" s="581"/>
      <c r="F826" s="582"/>
      <c r="G826" s="583"/>
      <c r="H826" s="770"/>
      <c r="I826" s="773"/>
      <c r="J826" s="776"/>
      <c r="K826" s="779"/>
    </row>
    <row r="827" spans="3:11" x14ac:dyDescent="0.2">
      <c r="C827" s="569">
        <v>824</v>
      </c>
      <c r="D827" s="580"/>
      <c r="E827" s="581"/>
      <c r="F827" s="582"/>
      <c r="G827" s="583"/>
      <c r="H827" s="770"/>
      <c r="I827" s="773"/>
      <c r="J827" s="776"/>
      <c r="K827" s="779"/>
    </row>
    <row r="828" spans="3:11" x14ac:dyDescent="0.2">
      <c r="C828" s="569">
        <v>825</v>
      </c>
      <c r="D828" s="580"/>
      <c r="E828" s="581"/>
      <c r="F828" s="582"/>
      <c r="G828" s="583"/>
      <c r="H828" s="770"/>
      <c r="I828" s="773"/>
      <c r="J828" s="776"/>
      <c r="K828" s="779"/>
    </row>
    <row r="829" spans="3:11" x14ac:dyDescent="0.2">
      <c r="C829" s="569">
        <v>826</v>
      </c>
      <c r="D829" s="580"/>
      <c r="E829" s="581"/>
      <c r="F829" s="582"/>
      <c r="G829" s="583"/>
      <c r="H829" s="770"/>
      <c r="I829" s="773"/>
      <c r="J829" s="776"/>
      <c r="K829" s="779"/>
    </row>
    <row r="830" spans="3:11" x14ac:dyDescent="0.2">
      <c r="C830" s="569">
        <v>827</v>
      </c>
      <c r="D830" s="580"/>
      <c r="E830" s="581"/>
      <c r="F830" s="582"/>
      <c r="G830" s="583"/>
      <c r="H830" s="770"/>
      <c r="I830" s="773"/>
      <c r="J830" s="776"/>
      <c r="K830" s="779"/>
    </row>
    <row r="831" spans="3:11" x14ac:dyDescent="0.2">
      <c r="C831" s="569">
        <v>828</v>
      </c>
      <c r="D831" s="580"/>
      <c r="E831" s="581"/>
      <c r="F831" s="582"/>
      <c r="G831" s="583"/>
      <c r="H831" s="770"/>
      <c r="I831" s="773"/>
      <c r="J831" s="776"/>
      <c r="K831" s="779"/>
    </row>
    <row r="832" spans="3:11" x14ac:dyDescent="0.2">
      <c r="C832" s="569">
        <v>829</v>
      </c>
      <c r="D832" s="580"/>
      <c r="E832" s="581"/>
      <c r="F832" s="582"/>
      <c r="G832" s="583"/>
      <c r="H832" s="770"/>
      <c r="I832" s="773"/>
      <c r="J832" s="776"/>
      <c r="K832" s="779"/>
    </row>
    <row r="833" spans="3:11" x14ac:dyDescent="0.2">
      <c r="C833" s="569">
        <v>830</v>
      </c>
      <c r="D833" s="580"/>
      <c r="E833" s="581"/>
      <c r="F833" s="582"/>
      <c r="G833" s="583"/>
      <c r="H833" s="770"/>
      <c r="I833" s="773"/>
      <c r="J833" s="776"/>
      <c r="K833" s="779"/>
    </row>
    <row r="834" spans="3:11" x14ac:dyDescent="0.2">
      <c r="C834" s="569">
        <v>831</v>
      </c>
      <c r="D834" s="580"/>
      <c r="E834" s="581"/>
      <c r="F834" s="582"/>
      <c r="G834" s="583"/>
      <c r="H834" s="770"/>
      <c r="I834" s="773"/>
      <c r="J834" s="776"/>
      <c r="K834" s="779"/>
    </row>
    <row r="835" spans="3:11" x14ac:dyDescent="0.2">
      <c r="C835" s="569">
        <v>832</v>
      </c>
      <c r="D835" s="580"/>
      <c r="E835" s="581"/>
      <c r="F835" s="582"/>
      <c r="G835" s="583"/>
      <c r="H835" s="770"/>
      <c r="I835" s="773"/>
      <c r="J835" s="776"/>
      <c r="K835" s="779"/>
    </row>
    <row r="836" spans="3:11" x14ac:dyDescent="0.2">
      <c r="C836" s="569">
        <v>833</v>
      </c>
      <c r="D836" s="580"/>
      <c r="E836" s="581"/>
      <c r="F836" s="582"/>
      <c r="G836" s="583"/>
      <c r="H836" s="770"/>
      <c r="I836" s="773"/>
      <c r="J836" s="776"/>
      <c r="K836" s="779"/>
    </row>
    <row r="837" spans="3:11" x14ac:dyDescent="0.2">
      <c r="C837" s="569">
        <v>834</v>
      </c>
      <c r="D837" s="580"/>
      <c r="E837" s="581"/>
      <c r="F837" s="582"/>
      <c r="G837" s="583"/>
      <c r="H837" s="770"/>
      <c r="I837" s="773"/>
      <c r="J837" s="776"/>
      <c r="K837" s="779"/>
    </row>
    <row r="838" spans="3:11" x14ac:dyDescent="0.2">
      <c r="C838" s="569">
        <v>835</v>
      </c>
      <c r="D838" s="580"/>
      <c r="E838" s="581"/>
      <c r="F838" s="582"/>
      <c r="G838" s="583"/>
      <c r="H838" s="770"/>
      <c r="I838" s="773"/>
      <c r="J838" s="776"/>
      <c r="K838" s="779"/>
    </row>
    <row r="839" spans="3:11" x14ac:dyDescent="0.2">
      <c r="C839" s="569">
        <v>836</v>
      </c>
      <c r="D839" s="580"/>
      <c r="E839" s="581"/>
      <c r="F839" s="582"/>
      <c r="G839" s="583"/>
      <c r="H839" s="770"/>
      <c r="I839" s="773"/>
      <c r="J839" s="776"/>
      <c r="K839" s="779"/>
    </row>
    <row r="840" spans="3:11" x14ac:dyDescent="0.2">
      <c r="C840" s="569">
        <v>837</v>
      </c>
      <c r="D840" s="580"/>
      <c r="E840" s="581"/>
      <c r="F840" s="582"/>
      <c r="G840" s="583"/>
      <c r="H840" s="770"/>
      <c r="I840" s="773"/>
      <c r="J840" s="776"/>
      <c r="K840" s="779"/>
    </row>
    <row r="841" spans="3:11" x14ac:dyDescent="0.2">
      <c r="C841" s="569">
        <v>838</v>
      </c>
      <c r="D841" s="580"/>
      <c r="E841" s="581"/>
      <c r="F841" s="582"/>
      <c r="G841" s="583"/>
      <c r="H841" s="770"/>
      <c r="I841" s="773"/>
      <c r="J841" s="776"/>
      <c r="K841" s="779"/>
    </row>
    <row r="842" spans="3:11" x14ac:dyDescent="0.2">
      <c r="C842" s="569">
        <v>839</v>
      </c>
      <c r="D842" s="580"/>
      <c r="E842" s="581"/>
      <c r="F842" s="582"/>
      <c r="G842" s="583"/>
      <c r="H842" s="770"/>
      <c r="I842" s="773"/>
      <c r="J842" s="776"/>
      <c r="K842" s="779"/>
    </row>
    <row r="843" spans="3:11" x14ac:dyDescent="0.2">
      <c r="C843" s="569">
        <v>840</v>
      </c>
      <c r="D843" s="580"/>
      <c r="E843" s="581"/>
      <c r="F843" s="582"/>
      <c r="G843" s="583"/>
      <c r="H843" s="770"/>
      <c r="I843" s="773"/>
      <c r="J843" s="776"/>
      <c r="K843" s="779"/>
    </row>
    <row r="844" spans="3:11" x14ac:dyDescent="0.2">
      <c r="C844" s="569">
        <v>841</v>
      </c>
      <c r="D844" s="580"/>
      <c r="E844" s="581"/>
      <c r="F844" s="582"/>
      <c r="G844" s="583"/>
      <c r="H844" s="770"/>
      <c r="I844" s="773"/>
      <c r="J844" s="776"/>
      <c r="K844" s="779"/>
    </row>
    <row r="845" spans="3:11" x14ac:dyDescent="0.2">
      <c r="C845" s="569">
        <v>842</v>
      </c>
      <c r="D845" s="580"/>
      <c r="E845" s="581"/>
      <c r="F845" s="582"/>
      <c r="G845" s="583"/>
      <c r="H845" s="770"/>
      <c r="I845" s="773"/>
      <c r="J845" s="776"/>
      <c r="K845" s="779"/>
    </row>
    <row r="846" spans="3:11" x14ac:dyDescent="0.2">
      <c r="C846" s="569">
        <v>843</v>
      </c>
      <c r="D846" s="580"/>
      <c r="E846" s="581"/>
      <c r="F846" s="582"/>
      <c r="G846" s="583"/>
      <c r="H846" s="770"/>
      <c r="I846" s="773"/>
      <c r="J846" s="776"/>
      <c r="K846" s="779"/>
    </row>
    <row r="847" spans="3:11" x14ac:dyDescent="0.2">
      <c r="C847" s="569">
        <v>844</v>
      </c>
      <c r="D847" s="580"/>
      <c r="E847" s="581"/>
      <c r="F847" s="582"/>
      <c r="G847" s="583"/>
      <c r="H847" s="770"/>
      <c r="I847" s="773"/>
      <c r="J847" s="776"/>
      <c r="K847" s="779"/>
    </row>
    <row r="848" spans="3:11" x14ac:dyDescent="0.2">
      <c r="C848" s="569">
        <v>845</v>
      </c>
      <c r="D848" s="580"/>
      <c r="E848" s="581"/>
      <c r="F848" s="582"/>
      <c r="G848" s="583"/>
      <c r="H848" s="770"/>
      <c r="I848" s="773"/>
      <c r="J848" s="776"/>
      <c r="K848" s="779"/>
    </row>
    <row r="849" spans="3:11" x14ac:dyDescent="0.2">
      <c r="C849" s="569">
        <v>846</v>
      </c>
      <c r="D849" s="580"/>
      <c r="E849" s="581"/>
      <c r="F849" s="582"/>
      <c r="G849" s="583"/>
      <c r="H849" s="770"/>
      <c r="I849" s="773"/>
      <c r="J849" s="776"/>
      <c r="K849" s="779"/>
    </row>
    <row r="850" spans="3:11" x14ac:dyDescent="0.2">
      <c r="C850" s="569">
        <v>847</v>
      </c>
      <c r="D850" s="580"/>
      <c r="E850" s="581"/>
      <c r="F850" s="582"/>
      <c r="G850" s="583"/>
      <c r="H850" s="770"/>
      <c r="I850" s="773"/>
      <c r="J850" s="776"/>
      <c r="K850" s="779"/>
    </row>
    <row r="851" spans="3:11" x14ac:dyDescent="0.2">
      <c r="C851" s="569">
        <v>848</v>
      </c>
      <c r="D851" s="580"/>
      <c r="E851" s="581"/>
      <c r="F851" s="582"/>
      <c r="G851" s="583"/>
      <c r="H851" s="770"/>
      <c r="I851" s="773"/>
      <c r="J851" s="776"/>
      <c r="K851" s="779"/>
    </row>
    <row r="852" spans="3:11" x14ac:dyDescent="0.2">
      <c r="C852" s="569">
        <v>849</v>
      </c>
      <c r="D852" s="580"/>
      <c r="E852" s="581"/>
      <c r="F852" s="582"/>
      <c r="G852" s="583"/>
      <c r="H852" s="770"/>
      <c r="I852" s="773"/>
      <c r="J852" s="776"/>
      <c r="K852" s="779"/>
    </row>
    <row r="853" spans="3:11" x14ac:dyDescent="0.2">
      <c r="C853" s="569">
        <v>850</v>
      </c>
      <c r="D853" s="580"/>
      <c r="E853" s="581"/>
      <c r="F853" s="582"/>
      <c r="G853" s="583"/>
      <c r="H853" s="770"/>
      <c r="I853" s="773"/>
      <c r="J853" s="776"/>
      <c r="K853" s="779"/>
    </row>
    <row r="854" spans="3:11" x14ac:dyDescent="0.2">
      <c r="C854" s="569">
        <v>851</v>
      </c>
      <c r="D854" s="580"/>
      <c r="E854" s="581"/>
      <c r="F854" s="582"/>
      <c r="G854" s="583"/>
      <c r="H854" s="770"/>
      <c r="I854" s="773"/>
      <c r="J854" s="776"/>
      <c r="K854" s="779"/>
    </row>
    <row r="855" spans="3:11" x14ac:dyDescent="0.2">
      <c r="C855" s="569">
        <v>852</v>
      </c>
      <c r="D855" s="580"/>
      <c r="E855" s="581"/>
      <c r="F855" s="582"/>
      <c r="G855" s="583"/>
      <c r="H855" s="770"/>
      <c r="I855" s="773"/>
      <c r="J855" s="776"/>
      <c r="K855" s="779"/>
    </row>
    <row r="856" spans="3:11" x14ac:dyDescent="0.2">
      <c r="C856" s="569">
        <v>853</v>
      </c>
      <c r="D856" s="580"/>
      <c r="E856" s="581"/>
      <c r="F856" s="582"/>
      <c r="G856" s="583"/>
      <c r="H856" s="770"/>
      <c r="I856" s="773"/>
      <c r="J856" s="776"/>
      <c r="K856" s="779"/>
    </row>
    <row r="857" spans="3:11" x14ac:dyDescent="0.2">
      <c r="C857" s="569">
        <v>854</v>
      </c>
      <c r="D857" s="580"/>
      <c r="E857" s="581"/>
      <c r="F857" s="582"/>
      <c r="G857" s="583"/>
      <c r="H857" s="770"/>
      <c r="I857" s="773"/>
      <c r="J857" s="776"/>
      <c r="K857" s="779"/>
    </row>
    <row r="858" spans="3:11" x14ac:dyDescent="0.2">
      <c r="C858" s="569">
        <v>855</v>
      </c>
      <c r="D858" s="580"/>
      <c r="E858" s="581"/>
      <c r="F858" s="582"/>
      <c r="G858" s="583"/>
      <c r="H858" s="770"/>
      <c r="I858" s="773"/>
      <c r="J858" s="776"/>
      <c r="K858" s="779"/>
    </row>
    <row r="859" spans="3:11" ht="16" x14ac:dyDescent="0.2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0" t="s">
        <v>1026</v>
      </c>
      <c r="I859" s="773" t="s">
        <v>1026</v>
      </c>
      <c r="J859" s="776" t="s">
        <v>1026</v>
      </c>
      <c r="K859" s="779" t="s">
        <v>1026</v>
      </c>
    </row>
    <row r="860" spans="3:11" ht="16" x14ac:dyDescent="0.2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ht="16" x14ac:dyDescent="0.2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zoomScale="85" zoomScaleNormal="85" workbookViewId="0">
      <selection activeCell="X1" sqref="X1"/>
    </sheetView>
  </sheetViews>
  <sheetFormatPr baseColWidth="10" defaultColWidth="8.83203125" defaultRowHeight="13" x14ac:dyDescent="0.15"/>
  <sheetData>
    <row r="1" spans="1:24" s="563" customFormat="1" ht="56" x14ac:dyDescent="0.15">
      <c r="A1" s="584" t="str" cm="1">
        <f t="array" aca="1" ref="A1" ca="1">MID(CELL("filename",$A$1),FIND("]",CELL("filename",$A$1))+1,255)</f>
        <v>Syötä maat KIRJASTOLINKIT!</v>
      </c>
    </row>
    <row r="2" spans="1:24" x14ac:dyDescent="0.15">
      <c r="A2" s="585" t="s">
        <v>1030</v>
      </c>
      <c r="B2" s="586" t="str">
        <f>INDEX('Kirjasto (maat)'!$D$4:$K$28,ROW('Kirjasto (maat)'!$D4)-3,'Kirjasto (maat)'!$B$4)</f>
        <v>Suomi</v>
      </c>
    </row>
    <row r="3" spans="1:24" x14ac:dyDescent="0.15">
      <c r="A3" s="585" t="s">
        <v>1031</v>
      </c>
      <c r="B3" s="586"/>
    </row>
    <row r="4" spans="1:24" ht="14" thickBot="1" x14ac:dyDescent="0.2">
      <c r="A4" s="585" t="s">
        <v>1032</v>
      </c>
      <c r="B4" s="586"/>
    </row>
    <row r="5" spans="1:24" x14ac:dyDescent="0.15">
      <c r="A5" s="585" t="s">
        <v>1033</v>
      </c>
      <c r="B5" s="586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5" t="s">
        <v>1034</v>
      </c>
      <c r="B6" s="586"/>
      <c r="R6" s="232"/>
      <c r="X6" s="364"/>
    </row>
    <row r="7" spans="1:24" x14ac:dyDescent="0.15">
      <c r="A7" s="585" t="s">
        <v>1035</v>
      </c>
      <c r="B7" s="586"/>
      <c r="R7" s="232"/>
      <c r="X7" s="364"/>
    </row>
    <row r="8" spans="1:24" x14ac:dyDescent="0.15">
      <c r="A8" s="585" t="s">
        <v>1036</v>
      </c>
      <c r="B8" s="586"/>
      <c r="R8" s="232"/>
      <c r="X8" s="364"/>
    </row>
    <row r="9" spans="1:24" x14ac:dyDescent="0.15">
      <c r="A9" s="585" t="s">
        <v>1037</v>
      </c>
      <c r="B9" s="586"/>
      <c r="R9" s="232"/>
      <c r="X9" s="364"/>
    </row>
    <row r="10" spans="1:24" x14ac:dyDescent="0.15">
      <c r="A10" s="585" t="s">
        <v>1038</v>
      </c>
      <c r="B10" s="586"/>
      <c r="R10" s="232"/>
      <c r="X10" s="364"/>
    </row>
    <row r="11" spans="1:24" x14ac:dyDescent="0.15">
      <c r="A11" s="585" t="s">
        <v>1039</v>
      </c>
      <c r="B11" s="586"/>
      <c r="R11" s="232"/>
      <c r="X11" s="364"/>
    </row>
    <row r="12" spans="1:24" x14ac:dyDescent="0.15">
      <c r="A12" s="585" t="s">
        <v>1040</v>
      </c>
      <c r="B12" s="586"/>
      <c r="R12" s="232"/>
      <c r="X12" s="364"/>
    </row>
    <row r="13" spans="1:24" x14ac:dyDescent="0.15">
      <c r="A13" s="585" t="s">
        <v>1041</v>
      </c>
      <c r="B13" s="586"/>
      <c r="R13" s="232"/>
      <c r="X13" s="364"/>
    </row>
    <row r="14" spans="1:24" x14ac:dyDescent="0.15">
      <c r="A14" s="585" t="s">
        <v>1042</v>
      </c>
      <c r="B14" s="586"/>
      <c r="R14" s="232"/>
      <c r="X14" s="364"/>
    </row>
    <row r="15" spans="1:24" x14ac:dyDescent="0.15">
      <c r="A15" s="585" t="s">
        <v>1043</v>
      </c>
      <c r="B15" s="586"/>
      <c r="R15" s="232"/>
      <c r="X15" s="364"/>
    </row>
    <row r="16" spans="1:24" x14ac:dyDescent="0.15">
      <c r="A16" s="585" t="s">
        <v>1044</v>
      </c>
      <c r="B16" s="586"/>
      <c r="R16" s="232"/>
      <c r="X16" s="364"/>
    </row>
    <row r="17" spans="1:24" x14ac:dyDescent="0.15">
      <c r="A17" s="585" t="s">
        <v>1045</v>
      </c>
      <c r="B17" s="586"/>
      <c r="R17" s="232"/>
      <c r="X17" s="364"/>
    </row>
    <row r="18" spans="1:24" x14ac:dyDescent="0.15">
      <c r="A18" s="585" t="s">
        <v>1046</v>
      </c>
      <c r="B18" s="586"/>
      <c r="R18" s="232"/>
      <c r="X18" s="364"/>
    </row>
    <row r="19" spans="1:24" x14ac:dyDescent="0.15">
      <c r="A19" s="585" t="s">
        <v>1047</v>
      </c>
      <c r="B19" s="586"/>
      <c r="R19" s="232"/>
      <c r="X19" s="364"/>
    </row>
    <row r="20" spans="1:24" x14ac:dyDescent="0.15">
      <c r="A20" s="585" t="s">
        <v>1048</v>
      </c>
      <c r="B20" s="586"/>
      <c r="R20" s="232"/>
      <c r="X20" s="364"/>
    </row>
    <row r="21" spans="1:24" x14ac:dyDescent="0.15">
      <c r="A21" s="585" t="s">
        <v>1049</v>
      </c>
      <c r="B21" s="586"/>
      <c r="R21" s="232"/>
      <c r="X21" s="364"/>
    </row>
    <row r="22" spans="1:24" x14ac:dyDescent="0.15">
      <c r="A22" s="585" t="s">
        <v>1050</v>
      </c>
      <c r="B22" s="586"/>
      <c r="R22" s="232"/>
      <c r="X22" s="364"/>
    </row>
    <row r="23" spans="1:24" x14ac:dyDescent="0.15">
      <c r="A23" s="585" t="s">
        <v>1051</v>
      </c>
      <c r="B23" s="586"/>
      <c r="R23" s="232"/>
      <c r="X23" s="364"/>
    </row>
    <row r="24" spans="1:24" x14ac:dyDescent="0.15">
      <c r="A24" s="585" t="s">
        <v>1052</v>
      </c>
      <c r="B24" s="586"/>
      <c r="R24" s="232"/>
      <c r="X24" s="364"/>
    </row>
    <row r="25" spans="1:24" x14ac:dyDescent="0.15">
      <c r="A25" s="585" t="s">
        <v>1053</v>
      </c>
      <c r="B25" s="586"/>
      <c r="R25" s="232"/>
      <c r="X25" s="364"/>
    </row>
    <row r="26" spans="1:24" ht="14" thickBot="1" x14ac:dyDescent="0.2">
      <c r="A26" s="585" t="s">
        <v>1054</v>
      </c>
      <c r="B26" s="586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7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4" customFormat="1" ht="56" x14ac:dyDescent="0.15">
      <c r="A1" s="584" t="str" cm="1">
        <f t="array" aca="1" ref="A1" ca="1">MID(CELL("filename",$A$1),FIND("]",CELL("filename",$A$1))+1,255)</f>
        <v>Syötä kaupungit KIRJASTOLINKIT!</v>
      </c>
      <c r="B1" s="584" t="str">
        <f>IF(ISBLANK('Syötä maat KIRJASTOLINKIT!'!$B$2),'Syötä maat KIRJASTOLINKIT!'!$A$2,'Syötä maat KIRJASTOLINKIT!'!$B$2)</f>
        <v>Suomi</v>
      </c>
      <c r="C1" s="584" t="str">
        <f>IF(ISBLANK('Syötä maat KIRJASTOLINKIT!'!$B$3),'Syötä maat KIRJASTOLINKIT!'!$A$3,'Syötä maat KIRJASTOLINKIT!'!$B$3)</f>
        <v>MAA 2</v>
      </c>
      <c r="D1" s="584" t="str">
        <f>IF(ISBLANK('Syötä maat KIRJASTOLINKIT!'!$B$4),'Syötä maat KIRJASTOLINKIT!'!$A$4,'Syötä maat KIRJASTOLINKIT!'!$B$4)</f>
        <v>MAA 3</v>
      </c>
      <c r="E1" s="584" t="str">
        <f>IF(ISBLANK('Syötä maat KIRJASTOLINKIT!'!$B$5),'Syötä maat KIRJASTOLINKIT!'!$A$5,'Syötä maat KIRJASTOLINKIT!'!$B$5)</f>
        <v>MAA 4</v>
      </c>
      <c r="F1" s="584" t="str">
        <f>IF(ISBLANK('Syötä maat KIRJASTOLINKIT!'!$B$6),'Syötä maat KIRJASTOLINKIT!'!$A$6,'Syötä maat KIRJASTOLINKIT!'!$B$6)</f>
        <v>MAA 5</v>
      </c>
      <c r="G1" s="584" t="str">
        <f>IF(ISBLANK('Syötä maat KIRJASTOLINKIT!'!$B$7),'Syötä maat KIRJASTOLINKIT!'!$A$7,'Syötä maat KIRJASTOLINKIT!'!$B$7)</f>
        <v>MAA 6</v>
      </c>
      <c r="H1" s="584" t="str">
        <f>IF(ISBLANK('Syötä maat KIRJASTOLINKIT!'!$B$8),'Syötä maat KIRJASTOLINKIT!'!$A$8,'Syötä maat KIRJASTOLINKIT!'!$B$8)</f>
        <v>MAA 7</v>
      </c>
      <c r="I1" s="584" t="str">
        <f>IF(ISBLANK('Syötä maat KIRJASTOLINKIT!'!$B$9),'Syötä maat KIRJASTOLINKIT!'!$A$9,'Syötä maat KIRJASTOLINKIT!'!$B$9)</f>
        <v>MAA 8</v>
      </c>
      <c r="J1" s="584" t="str">
        <f>IF(ISBLANK('Syötä maat KIRJASTOLINKIT!'!$B$10),'Syötä maat KIRJASTOLINKIT!'!$A$10,'Syötä maat KIRJASTOLINKIT!'!$B$10)</f>
        <v>MAA 9</v>
      </c>
      <c r="K1" s="584" t="str">
        <f>IF(ISBLANK('Syötä maat KIRJASTOLINKIT!'!$B$11),'Syötä maat KIRJASTOLINKIT!'!$A$11,'Syötä maat KIRJASTOLINKIT!'!$B$11)</f>
        <v>MAA 10</v>
      </c>
      <c r="L1" s="584" t="str">
        <f>IF(ISBLANK('Syötä maat KIRJASTOLINKIT!'!$B$12),'Syötä maat KIRJASTOLINKIT!'!$A$12,'Syötä maat KIRJASTOLINKIT!'!$B$12)</f>
        <v>MAA 11</v>
      </c>
      <c r="M1" s="584" t="str">
        <f>IF(ISBLANK('Syötä maat KIRJASTOLINKIT!'!$B$13),'Syötä maat KIRJASTOLINKIT!'!$A$13,'Syötä maat KIRJASTOLINKIT!'!$B$13)</f>
        <v>MAA 12</v>
      </c>
      <c r="N1" s="584" t="str">
        <f>IF(ISBLANK('Syötä maat KIRJASTOLINKIT!'!$B$14),'Syötä maat KIRJASTOLINKIT!'!$A$14,'Syötä maat KIRJASTOLINKIT!'!$B$14)</f>
        <v>MAA 13</v>
      </c>
      <c r="O1" s="584" t="str">
        <f>IF(ISBLANK('Syötä maat KIRJASTOLINKIT!'!$B$15),'Syötä maat KIRJASTOLINKIT!'!$A$15,'Syötä maat KIRJASTOLINKIT!'!$B$15)</f>
        <v>MAA 14</v>
      </c>
      <c r="P1" s="584" t="str">
        <f>IF(ISBLANK('Syötä maat KIRJASTOLINKIT!'!$B$16),'Syötä maat KIRJASTOLINKIT!'!$A$16,'Syötä maat KIRJASTOLINKIT!'!$B$16)</f>
        <v>MAA 15</v>
      </c>
      <c r="Q1" s="584" t="str">
        <f>IF(ISBLANK('Syötä maat KIRJASTOLINKIT!'!$B$17),'Syötä maat KIRJASTOLINKIT!'!$A$17,'Syötä maat KIRJASTOLINKIT!'!$B$17)</f>
        <v>MAA 16</v>
      </c>
      <c r="R1" s="584" t="str">
        <f>IF(ISBLANK('Syötä maat KIRJASTOLINKIT!'!$B$18),'Syötä maat KIRJASTOLINKIT!'!$A$18,'Syötä maat KIRJASTOLINKIT!'!$B$18)</f>
        <v>MAA 17</v>
      </c>
      <c r="S1" s="584" t="str">
        <f>IF(ISBLANK('Syötä maat KIRJASTOLINKIT!'!$B$19),'Syötä maat KIRJASTOLINKIT!'!$A$19,'Syötä maat KIRJASTOLINKIT!'!$B$19)</f>
        <v>MAA 18</v>
      </c>
      <c r="T1" s="584" t="str">
        <f>IF(ISBLANK('Syötä maat KIRJASTOLINKIT!'!$B$20),'Syötä maat KIRJASTOLINKIT!'!$A$20,'Syötä maat KIRJASTOLINKIT!'!$B$20)</f>
        <v>MAA 19</v>
      </c>
      <c r="U1" s="584" t="str">
        <f>IF(ISBLANK('Syötä maat KIRJASTOLINKIT!'!$B$21),'Syötä maat KIRJASTOLINKIT!'!$A$21,'Syötä maat KIRJASTOLINKIT!'!$B$21)</f>
        <v>MAA 20</v>
      </c>
      <c r="V1" s="584" t="str">
        <f>IF(ISBLANK('Syötä maat KIRJASTOLINKIT!'!$B$22),'Syötä maat KIRJASTOLINKIT!'!$A$22,'Syötä maat KIRJASTOLINKIT!'!$B$22)</f>
        <v>MAA 21</v>
      </c>
      <c r="W1" s="584" t="str">
        <f>IF(ISBLANK('Syötä maat KIRJASTOLINKIT!'!$B$23),'Syötä maat KIRJASTOLINKIT!'!$A$23,'Syötä maat KIRJASTOLINKIT!'!$B$23)</f>
        <v>MAA 22</v>
      </c>
      <c r="X1" s="584" t="str">
        <f>IF(ISBLANK('Syötä maat KIRJASTOLINKIT!'!$B$24),'Syötä maat KIRJASTOLINKIT!'!$A$24,'Syötä maat KIRJASTOLINKIT!'!$B$24)</f>
        <v>MAA 23</v>
      </c>
      <c r="Y1" s="584" t="str">
        <f>IF(ISBLANK('Syötä maat KIRJASTOLINKIT!'!$B$25),'Syötä maat KIRJASTOLINKIT!'!$A$25,'Syötä maat KIRJASTOLINKIT!'!$B$25)</f>
        <v>MAA 24</v>
      </c>
      <c r="Z1" s="584" t="str">
        <f>IF(ISBLANK('Syötä maat KIRJASTOLINKIT!'!$B23),'Syötä maat KIRJASTOLINKIT!'!$A23,'Syötä maat KIRJASTOLINKIT!'!$B23)</f>
        <v>MAA 22</v>
      </c>
    </row>
    <row r="2" spans="1:26" x14ac:dyDescent="0.15">
      <c r="A2" s="2" t="s">
        <v>1056</v>
      </c>
      <c r="B2" s="586" t="str">
        <f>INDEX('Kirjasto (kaupungit)'!$D$4:$K$861,ROW('Kirjasto (kaupungit)'!$D4)-3,'Kirjasto (kaupungit)'!$B$4)</f>
        <v>I (Vantaa)</v>
      </c>
      <c r="C2" s="586" t="str">
        <f>INDEX('Kirjasto (kaupungit)'!$D$4:$K$861,ROW('Kirjasto (kaupungit)'!$D8)-3,'Kirjasto (kaupungit)'!$B$4)</f>
        <v>Tukholma</v>
      </c>
      <c r="D2" s="586" t="str">
        <f>INDEX('Kirjasto (kaupungit)'!$D$4:$K$861,ROW('Kirjasto (kaupungit)'!$D9)-3,'Kirjasto (kaupungit)'!$B$4)</f>
        <v>Göteborg</v>
      </c>
      <c r="E2" s="586" t="str">
        <f>INDEX('Kirjasto (kaupungit)'!$D$4:$K$861,ROW('Kirjasto (kaupungit)'!$D10)-3,'Kirjasto (kaupungit)'!$B$4)</f>
        <v>Tallinna</v>
      </c>
      <c r="F2" s="586" t="str">
        <f>INDEX('Kirjasto (kaupungit)'!$D$4:$K$861,ROW('Kirjasto (kaupungit)'!$D11)-3,'Kirjasto (kaupungit)'!$B$4)</f>
        <v>Riika</v>
      </c>
      <c r="G2" s="586" t="str">
        <f>INDEX('Kirjasto (kaupungit)'!$D$4:$K$861,ROW('Kirjasto (kaupungit)'!$D12)-3,'Kirjasto (kaupungit)'!$B$4)</f>
        <v>Vilna</v>
      </c>
      <c r="H2" s="586" t="str">
        <f>INDEX('Kirjasto (kaupungit)'!$D$4:$K$861,ROW('Kirjasto (kaupungit)'!$D13)-3,'Kirjasto (kaupungit)'!$B$4)</f>
        <v>Varsova</v>
      </c>
      <c r="I2" s="586" t="s">
        <v>1378</v>
      </c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</row>
    <row r="3" spans="1:26" x14ac:dyDescent="0.15">
      <c r="A3" s="2" t="s">
        <v>1057</v>
      </c>
      <c r="B3" s="586" t="str">
        <f>INDEX('Kirjasto (kaupungit)'!$D$4:$K$861,ROW('Kirjasto (kaupungit)'!$D5)-3,'Kirjasto (kaupungit)'!$B$4)</f>
        <v>II (Jokioinen)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</row>
    <row r="4" spans="1:26" x14ac:dyDescent="0.15">
      <c r="A4" s="2" t="s">
        <v>1058</v>
      </c>
      <c r="B4" s="586" t="str">
        <f>INDEX('Kirjasto (kaupungit)'!$D$4:$K$861,ROW('Kirjasto (kaupungit)'!$D6)-3,'Kirjasto (kaupungit)'!$B$4)</f>
        <v>III (Jyväskylä)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26" x14ac:dyDescent="0.15">
      <c r="A5" s="2" t="s">
        <v>1059</v>
      </c>
      <c r="B5" s="586" t="str">
        <f>INDEX('Kirjasto (kaupungit)'!$D$4:$K$861,ROW('Kirjasto (kaupungit)'!$D7)-3,'Kirjasto (kaupungit)'!$B$4)</f>
        <v>IV (Sodankylä)</v>
      </c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</row>
    <row r="6" spans="1:26" x14ac:dyDescent="0.15">
      <c r="A6" s="2" t="s">
        <v>1060</v>
      </c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</row>
    <row r="7" spans="1:26" x14ac:dyDescent="0.15">
      <c r="A7" s="2" t="s">
        <v>1061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</row>
    <row r="8" spans="1:26" x14ac:dyDescent="0.15">
      <c r="A8" s="2" t="s">
        <v>1062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</row>
    <row r="9" spans="1:26" x14ac:dyDescent="0.15">
      <c r="A9" s="2" t="s">
        <v>1063</v>
      </c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</row>
    <row r="10" spans="1:26" x14ac:dyDescent="0.15">
      <c r="A10" s="2" t="s">
        <v>1064</v>
      </c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</row>
    <row r="11" spans="1:26" x14ac:dyDescent="0.15">
      <c r="A11" s="2" t="s">
        <v>1065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</row>
    <row r="12" spans="1:26" x14ac:dyDescent="0.15">
      <c r="A12" s="2" t="s">
        <v>1066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</row>
    <row r="13" spans="1:26" x14ac:dyDescent="0.15">
      <c r="A13" s="2" t="s">
        <v>1067</v>
      </c>
      <c r="B13" s="586"/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</row>
    <row r="14" spans="1:26" x14ac:dyDescent="0.15">
      <c r="A14" s="2" t="s">
        <v>1068</v>
      </c>
      <c r="B14" s="586"/>
      <c r="C14" s="586"/>
      <c r="D14" s="586"/>
      <c r="E14" s="586"/>
      <c r="F14" s="586"/>
      <c r="G14" s="586"/>
      <c r="H14" s="586"/>
      <c r="I14" s="586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</row>
    <row r="15" spans="1:26" x14ac:dyDescent="0.15">
      <c r="A15" s="2" t="s">
        <v>1069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</row>
    <row r="16" spans="1:26" x14ac:dyDescent="0.15">
      <c r="A16" s="2" t="s">
        <v>1070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</row>
    <row r="17" spans="1:26" x14ac:dyDescent="0.15">
      <c r="A17" s="2" t="s">
        <v>1071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</row>
    <row r="18" spans="1:26" x14ac:dyDescent="0.15">
      <c r="A18" s="2" t="s">
        <v>1072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</row>
    <row r="19" spans="1:26" x14ac:dyDescent="0.15">
      <c r="A19" s="2" t="s">
        <v>1073</v>
      </c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</row>
    <row r="20" spans="1:26" x14ac:dyDescent="0.15">
      <c r="A20" s="2" t="s">
        <v>1074</v>
      </c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</row>
    <row r="21" spans="1:26" x14ac:dyDescent="0.15">
      <c r="A21" s="2" t="s">
        <v>1075</v>
      </c>
      <c r="B21" s="586"/>
      <c r="C21" s="586"/>
      <c r="D21" s="586"/>
      <c r="E21" s="586"/>
      <c r="F21" s="586"/>
      <c r="G21" s="586"/>
      <c r="H21" s="586"/>
      <c r="I21" s="586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</row>
    <row r="22" spans="1:26" x14ac:dyDescent="0.15">
      <c r="A22" s="2" t="s">
        <v>1076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</row>
    <row r="23" spans="1:26" x14ac:dyDescent="0.15">
      <c r="A23" s="2" t="s">
        <v>1077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</row>
    <row r="24" spans="1:26" x14ac:dyDescent="0.15">
      <c r="A24" s="2" t="s">
        <v>1078</v>
      </c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</row>
    <row r="25" spans="1:26" x14ac:dyDescent="0.15">
      <c r="A25" s="2" t="s">
        <v>1079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</row>
    <row r="26" spans="1:26" x14ac:dyDescent="0.15">
      <c r="A26" s="2" t="s">
        <v>1080</v>
      </c>
      <c r="B26" s="586"/>
      <c r="C26" s="586"/>
      <c r="D26" s="586"/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</row>
    <row r="27" spans="1:26" x14ac:dyDescent="0.15">
      <c r="A27" s="2" t="s">
        <v>1081</v>
      </c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spans="1:26" x14ac:dyDescent="0.15">
      <c r="A28" s="2" t="s">
        <v>1082</v>
      </c>
      <c r="B28" s="586"/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spans="1:26" x14ac:dyDescent="0.15">
      <c r="A29" s="2" t="s">
        <v>1083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</row>
    <row r="30" spans="1:26" x14ac:dyDescent="0.15">
      <c r="A30" s="2" t="s">
        <v>1084</v>
      </c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</row>
    <row r="31" spans="1:26" x14ac:dyDescent="0.15">
      <c r="A31" s="2" t="s">
        <v>1085</v>
      </c>
      <c r="B31" s="586"/>
      <c r="C31" s="586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</row>
    <row r="32" spans="1:26" x14ac:dyDescent="0.15">
      <c r="A32" s="2" t="s">
        <v>1086</v>
      </c>
      <c r="B32" s="586"/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</row>
    <row r="33" spans="1:26" x14ac:dyDescent="0.15">
      <c r="A33" s="2" t="s">
        <v>1087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</row>
    <row r="34" spans="1:26" x14ac:dyDescent="0.15">
      <c r="A34" s="2" t="s">
        <v>1088</v>
      </c>
      <c r="B34" s="586"/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</row>
    <row r="35" spans="1:26" x14ac:dyDescent="0.15">
      <c r="A35" s="2" t="s">
        <v>1089</v>
      </c>
      <c r="B35" s="586"/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</row>
    <row r="36" spans="1:26" x14ac:dyDescent="0.15">
      <c r="A36" s="2" t="s">
        <v>1090</v>
      </c>
      <c r="B36" s="586"/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</row>
    <row r="37" spans="1:26" x14ac:dyDescent="0.15">
      <c r="A37" s="2" t="s">
        <v>1091</v>
      </c>
      <c r="B37" s="586"/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</row>
    <row r="38" spans="1:26" x14ac:dyDescent="0.15">
      <c r="A38" s="2" t="s">
        <v>1092</v>
      </c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</row>
    <row r="39" spans="1:26" x14ac:dyDescent="0.15">
      <c r="A39" s="2" t="s">
        <v>1093</v>
      </c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</row>
    <row r="40" spans="1:26" x14ac:dyDescent="0.15">
      <c r="A40" s="2" t="s">
        <v>1094</v>
      </c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7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</v>
      </c>
    </row>
    <row r="3" spans="1:41" s="563" customFormat="1" ht="28" x14ac:dyDescent="0.15">
      <c r="B3" s="560" t="str" cm="1">
        <f t="array" ref="B3:AO3">TRANSPOSE('Syötä kaupungit KIRJASTOLINKIT!'!$B$1:$B$40)</f>
        <v>Suomi</v>
      </c>
      <c r="C3" s="564" t="str">
        <v>I (Vantaa)</v>
      </c>
      <c r="D3" s="564" t="str">
        <v>II (Jokioinen)</v>
      </c>
      <c r="E3" s="564" t="str">
        <v>III (Jyväskylä)</v>
      </c>
      <c r="F3" s="564" t="str">
        <v>IV (Sodankylä)</v>
      </c>
      <c r="G3" s="564">
        <v>0</v>
      </c>
      <c r="H3" s="564">
        <v>0</v>
      </c>
      <c r="I3" s="564">
        <v>0</v>
      </c>
      <c r="J3" s="564">
        <v>0</v>
      </c>
      <c r="K3" s="564">
        <v>0</v>
      </c>
      <c r="L3" s="564">
        <v>0</v>
      </c>
      <c r="M3" s="564">
        <v>0</v>
      </c>
      <c r="N3" s="564">
        <v>0</v>
      </c>
      <c r="O3" s="564">
        <v>0</v>
      </c>
      <c r="P3" s="564">
        <v>0</v>
      </c>
      <c r="Q3" s="564">
        <v>0</v>
      </c>
      <c r="R3" s="564">
        <v>0</v>
      </c>
      <c r="S3" s="564">
        <v>0</v>
      </c>
      <c r="T3" s="564">
        <v>0</v>
      </c>
      <c r="U3" s="564">
        <v>0</v>
      </c>
      <c r="V3" s="564">
        <v>0</v>
      </c>
      <c r="W3" s="564">
        <v>0</v>
      </c>
      <c r="X3" s="564">
        <v>0</v>
      </c>
      <c r="Y3" s="564">
        <v>0</v>
      </c>
      <c r="Z3" s="564">
        <v>0</v>
      </c>
      <c r="AA3" s="564">
        <v>0</v>
      </c>
      <c r="AB3" s="564">
        <v>0</v>
      </c>
      <c r="AC3" s="564">
        <v>0</v>
      </c>
      <c r="AD3" s="564">
        <v>0</v>
      </c>
      <c r="AE3" s="564">
        <v>0</v>
      </c>
      <c r="AF3" s="564">
        <v>0</v>
      </c>
      <c r="AG3" s="564">
        <v>0</v>
      </c>
      <c r="AH3" s="564">
        <v>0</v>
      </c>
      <c r="AI3" s="564">
        <v>0</v>
      </c>
      <c r="AJ3" s="564">
        <v>0</v>
      </c>
      <c r="AK3" s="564">
        <v>0</v>
      </c>
      <c r="AL3" s="564">
        <v>0</v>
      </c>
      <c r="AM3" s="564">
        <v>0</v>
      </c>
      <c r="AN3" s="564">
        <v>0</v>
      </c>
      <c r="AO3" s="564">
        <v>0</v>
      </c>
    </row>
    <row r="4" spans="1:41" x14ac:dyDescent="0.15">
      <c r="B4" s="565">
        <v>-40</v>
      </c>
      <c r="C4" s="566">
        <v>0</v>
      </c>
      <c r="D4" s="566">
        <v>0</v>
      </c>
      <c r="E4" s="566">
        <v>0</v>
      </c>
      <c r="F4" s="566">
        <v>0</v>
      </c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</row>
    <row r="5" spans="1:41" x14ac:dyDescent="0.15">
      <c r="B5" s="567">
        <v>-39</v>
      </c>
      <c r="C5" s="566">
        <v>0</v>
      </c>
      <c r="D5" s="566">
        <v>0</v>
      </c>
      <c r="E5" s="566">
        <v>0</v>
      </c>
      <c r="F5" s="566">
        <v>0</v>
      </c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</row>
    <row r="6" spans="1:41" x14ac:dyDescent="0.15">
      <c r="B6" s="567">
        <v>-38</v>
      </c>
      <c r="C6" s="566">
        <v>0</v>
      </c>
      <c r="D6" s="566">
        <v>0</v>
      </c>
      <c r="E6" s="566">
        <v>0</v>
      </c>
      <c r="F6" s="566">
        <v>3.4246575342465754E-4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</row>
    <row r="7" spans="1:41" x14ac:dyDescent="0.15">
      <c r="B7" s="567">
        <v>-37</v>
      </c>
      <c r="C7" s="566">
        <v>0</v>
      </c>
      <c r="D7" s="566">
        <v>0</v>
      </c>
      <c r="E7" s="566">
        <v>0</v>
      </c>
      <c r="F7" s="566">
        <v>5.7077625570776253E-4</v>
      </c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</row>
    <row r="8" spans="1:41" x14ac:dyDescent="0.15">
      <c r="B8" s="567">
        <v>-36</v>
      </c>
      <c r="C8" s="566">
        <v>0</v>
      </c>
      <c r="D8" s="566">
        <v>0</v>
      </c>
      <c r="E8" s="566">
        <v>0</v>
      </c>
      <c r="F8" s="566">
        <v>1.1415525114155251E-3</v>
      </c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</row>
    <row r="9" spans="1:41" x14ac:dyDescent="0.15">
      <c r="B9" s="567">
        <v>-35</v>
      </c>
      <c r="C9" s="566">
        <v>0</v>
      </c>
      <c r="D9" s="566">
        <v>0</v>
      </c>
      <c r="E9" s="566">
        <v>0</v>
      </c>
      <c r="F9" s="566">
        <v>1.8264840182648401E-3</v>
      </c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</row>
    <row r="10" spans="1:41" x14ac:dyDescent="0.15">
      <c r="B10" s="567">
        <v>-34</v>
      </c>
      <c r="C10" s="566">
        <v>0</v>
      </c>
      <c r="D10" s="566">
        <v>0</v>
      </c>
      <c r="E10" s="566">
        <v>0</v>
      </c>
      <c r="F10" s="566">
        <v>2.9680365296803654E-3</v>
      </c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</row>
    <row r="11" spans="1:41" x14ac:dyDescent="0.15">
      <c r="B11" s="567">
        <v>-33</v>
      </c>
      <c r="C11" s="566">
        <v>0</v>
      </c>
      <c r="D11" s="566">
        <v>0</v>
      </c>
      <c r="E11" s="566">
        <v>0</v>
      </c>
      <c r="F11" s="566">
        <v>4.10958904109589E-3</v>
      </c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</row>
    <row r="12" spans="1:41" x14ac:dyDescent="0.15">
      <c r="B12" s="567">
        <v>-32</v>
      </c>
      <c r="C12" s="566">
        <v>0</v>
      </c>
      <c r="D12" s="566">
        <v>0</v>
      </c>
      <c r="E12" s="566">
        <v>0</v>
      </c>
      <c r="F12" s="566">
        <v>4.7945205479452057E-3</v>
      </c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</row>
    <row r="13" spans="1:41" x14ac:dyDescent="0.15">
      <c r="B13" s="567">
        <v>-31</v>
      </c>
      <c r="C13" s="566">
        <v>0</v>
      </c>
      <c r="D13" s="566">
        <v>0</v>
      </c>
      <c r="E13" s="566">
        <v>2.2831050228310502E-4</v>
      </c>
      <c r="F13" s="566">
        <v>6.0502283105022831E-3</v>
      </c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</row>
    <row r="14" spans="1:41" x14ac:dyDescent="0.15">
      <c r="B14" s="567">
        <v>-30</v>
      </c>
      <c r="C14" s="566">
        <v>0</v>
      </c>
      <c r="D14" s="566">
        <v>0</v>
      </c>
      <c r="E14" s="566">
        <v>3.4246575342465754E-4</v>
      </c>
      <c r="F14" s="566">
        <v>7.9908675799086754E-3</v>
      </c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</row>
    <row r="15" spans="1:41" x14ac:dyDescent="0.15">
      <c r="B15" s="567">
        <v>-29</v>
      </c>
      <c r="C15" s="566">
        <v>0</v>
      </c>
      <c r="D15" s="566">
        <v>0</v>
      </c>
      <c r="E15" s="566">
        <v>4.5662100456621003E-4</v>
      </c>
      <c r="F15" s="566">
        <v>1.1187214611872146E-2</v>
      </c>
      <c r="G15" s="566"/>
      <c r="H15" s="566"/>
      <c r="I15" s="566"/>
      <c r="J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6"/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</row>
    <row r="16" spans="1:41" x14ac:dyDescent="0.15">
      <c r="B16" s="567">
        <v>-28</v>
      </c>
      <c r="C16" s="566">
        <v>0</v>
      </c>
      <c r="D16" s="566">
        <v>0</v>
      </c>
      <c r="E16" s="566">
        <v>9.1324200913242006E-4</v>
      </c>
      <c r="F16" s="566">
        <v>1.4726027397260274E-2</v>
      </c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</row>
    <row r="17" spans="2:41" x14ac:dyDescent="0.15">
      <c r="B17" s="567">
        <v>-27</v>
      </c>
      <c r="C17" s="566">
        <v>0</v>
      </c>
      <c r="D17" s="566">
        <v>0</v>
      </c>
      <c r="E17" s="566">
        <v>1.8264840182648401E-3</v>
      </c>
      <c r="F17" s="566">
        <v>1.906392694063927E-2</v>
      </c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</row>
    <row r="18" spans="2:41" x14ac:dyDescent="0.15">
      <c r="B18" s="567">
        <v>-26</v>
      </c>
      <c r="C18" s="566">
        <v>0</v>
      </c>
      <c r="D18" s="566">
        <v>3.4246575342465754E-4</v>
      </c>
      <c r="E18" s="566">
        <v>2.625570776255708E-3</v>
      </c>
      <c r="F18" s="566">
        <v>2.2488584474885845E-2</v>
      </c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</row>
    <row r="19" spans="2:41" x14ac:dyDescent="0.15">
      <c r="B19" s="567">
        <v>-25</v>
      </c>
      <c r="C19" s="566">
        <v>0</v>
      </c>
      <c r="D19" s="566">
        <v>9.1324200913242006E-4</v>
      </c>
      <c r="E19" s="566">
        <v>3.8812785388127853E-3</v>
      </c>
      <c r="F19" s="566">
        <v>2.7397260273972601E-2</v>
      </c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</row>
    <row r="20" spans="2:41" x14ac:dyDescent="0.15">
      <c r="B20" s="567">
        <v>-24</v>
      </c>
      <c r="C20" s="566">
        <v>1.1415525114155251E-4</v>
      </c>
      <c r="D20" s="566">
        <v>1.3698630136986301E-3</v>
      </c>
      <c r="E20" s="566">
        <v>5.8219178082191785E-3</v>
      </c>
      <c r="F20" s="566">
        <v>3.093607305936073E-2</v>
      </c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  <c r="AA20" s="566"/>
      <c r="AB20" s="566"/>
      <c r="AC20" s="566"/>
      <c r="AD20" s="566"/>
      <c r="AE20" s="566"/>
      <c r="AF20" s="566"/>
      <c r="AG20" s="566"/>
      <c r="AH20" s="566"/>
      <c r="AI20" s="566"/>
      <c r="AJ20" s="566"/>
      <c r="AK20" s="566"/>
      <c r="AL20" s="566"/>
      <c r="AM20" s="566"/>
      <c r="AN20" s="566"/>
      <c r="AO20" s="566"/>
    </row>
    <row r="21" spans="2:41" x14ac:dyDescent="0.15">
      <c r="B21" s="567">
        <v>-23</v>
      </c>
      <c r="C21" s="566">
        <v>3.4246575342465754E-4</v>
      </c>
      <c r="D21" s="566">
        <v>2.3972602739726029E-3</v>
      </c>
      <c r="E21" s="566">
        <v>7.3059360730593605E-3</v>
      </c>
      <c r="F21" s="566">
        <v>3.4018264840182645E-2</v>
      </c>
      <c r="G21" s="566"/>
      <c r="H21" s="566"/>
      <c r="I21" s="566"/>
      <c r="J21" s="566"/>
      <c r="K21" s="566"/>
      <c r="L21" s="566"/>
      <c r="M21" s="566"/>
      <c r="N21" s="566"/>
      <c r="O21" s="566"/>
      <c r="P21" s="566"/>
      <c r="Q21" s="566"/>
      <c r="R21" s="566"/>
      <c r="S21" s="566"/>
      <c r="T21" s="566"/>
      <c r="U21" s="566"/>
      <c r="V21" s="566"/>
      <c r="W21" s="566"/>
      <c r="X21" s="566"/>
      <c r="Y21" s="566"/>
      <c r="Z21" s="566"/>
      <c r="AA21" s="566"/>
      <c r="AB21" s="566"/>
      <c r="AC21" s="566"/>
      <c r="AD21" s="566"/>
      <c r="AE21" s="566"/>
      <c r="AF21" s="566"/>
      <c r="AG21" s="566"/>
      <c r="AH21" s="566"/>
      <c r="AI21" s="566"/>
      <c r="AJ21" s="566"/>
      <c r="AK21" s="566"/>
      <c r="AL21" s="566"/>
      <c r="AM21" s="566"/>
      <c r="AN21" s="566"/>
      <c r="AO21" s="566"/>
    </row>
    <row r="22" spans="2:41" x14ac:dyDescent="0.15">
      <c r="B22" s="567">
        <v>-22</v>
      </c>
      <c r="C22" s="566">
        <v>5.7077625570776253E-4</v>
      </c>
      <c r="D22" s="566">
        <v>2.9680365296803654E-3</v>
      </c>
      <c r="E22" s="566">
        <v>8.3333333333333332E-3</v>
      </c>
      <c r="F22" s="566">
        <v>4.1095890410958902E-2</v>
      </c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  <c r="AA22" s="566"/>
      <c r="AB22" s="566"/>
      <c r="AC22" s="566"/>
      <c r="AD22" s="566"/>
      <c r="AE22" s="566"/>
      <c r="AF22" s="566"/>
      <c r="AG22" s="566"/>
      <c r="AH22" s="566"/>
      <c r="AI22" s="566"/>
      <c r="AJ22" s="566"/>
      <c r="AK22" s="566"/>
      <c r="AL22" s="566"/>
      <c r="AM22" s="566"/>
      <c r="AN22" s="566"/>
      <c r="AO22" s="566"/>
    </row>
    <row r="23" spans="2:41" x14ac:dyDescent="0.15">
      <c r="B23" s="567">
        <v>-21</v>
      </c>
      <c r="C23" s="566">
        <v>1.1415525114155251E-3</v>
      </c>
      <c r="D23" s="566">
        <v>4.5662100456621002E-3</v>
      </c>
      <c r="E23" s="566">
        <v>1.0616438356164383E-2</v>
      </c>
      <c r="F23" s="566">
        <v>4.8059360730593609E-2</v>
      </c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</row>
    <row r="24" spans="2:41" x14ac:dyDescent="0.15">
      <c r="B24" s="567">
        <v>-20</v>
      </c>
      <c r="C24" s="566">
        <v>2.8538812785388126E-3</v>
      </c>
      <c r="D24" s="566">
        <v>5.8219178082191785E-3</v>
      </c>
      <c r="E24" s="566">
        <v>1.2671232876712329E-2</v>
      </c>
      <c r="F24" s="566">
        <v>5.5251141552511415E-2</v>
      </c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</row>
    <row r="25" spans="2:41" x14ac:dyDescent="0.15">
      <c r="B25" s="567">
        <v>-19</v>
      </c>
      <c r="C25" s="566">
        <v>5.3652968036529683E-3</v>
      </c>
      <c r="D25" s="566">
        <v>7.7625570776255707E-3</v>
      </c>
      <c r="E25" s="566">
        <v>1.6552511415525113E-2</v>
      </c>
      <c r="F25" s="566">
        <v>6.2557077625570778E-2</v>
      </c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</row>
    <row r="26" spans="2:41" x14ac:dyDescent="0.15">
      <c r="B26" s="567">
        <v>-18</v>
      </c>
      <c r="C26" s="566">
        <v>7.0776255707762558E-3</v>
      </c>
      <c r="D26" s="566">
        <v>1.0045662100456621E-2</v>
      </c>
      <c r="E26" s="566">
        <v>1.8949771689497717E-2</v>
      </c>
      <c r="F26" s="566">
        <v>6.803652968036529E-2</v>
      </c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</row>
    <row r="27" spans="2:41" x14ac:dyDescent="0.15">
      <c r="B27" s="567">
        <v>-17</v>
      </c>
      <c r="C27" s="566">
        <v>9.2465753424657536E-3</v>
      </c>
      <c r="D27" s="566">
        <v>1.3127853881278538E-2</v>
      </c>
      <c r="E27" s="566">
        <v>2.3287671232876714E-2</v>
      </c>
      <c r="F27" s="566">
        <v>7.4543378995433784E-2</v>
      </c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  <c r="AF27" s="566"/>
      <c r="AG27" s="566"/>
      <c r="AH27" s="566"/>
      <c r="AI27" s="566"/>
      <c r="AJ27" s="566"/>
      <c r="AK27" s="566"/>
      <c r="AL27" s="566"/>
      <c r="AM27" s="566"/>
      <c r="AN27" s="566"/>
      <c r="AO27" s="566"/>
    </row>
    <row r="28" spans="2:41" x14ac:dyDescent="0.15">
      <c r="B28" s="567">
        <v>-16</v>
      </c>
      <c r="C28" s="566">
        <v>1.1872146118721462E-2</v>
      </c>
      <c r="D28" s="566">
        <v>1.8264840182648401E-2</v>
      </c>
      <c r="E28" s="566">
        <v>2.8538812785388126E-2</v>
      </c>
      <c r="F28" s="566">
        <v>8.1621004566210048E-2</v>
      </c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</row>
    <row r="29" spans="2:41" x14ac:dyDescent="0.15">
      <c r="B29" s="567">
        <v>-15</v>
      </c>
      <c r="C29" s="566">
        <v>1.632420091324201E-2</v>
      </c>
      <c r="D29" s="566">
        <v>2.3287671232876714E-2</v>
      </c>
      <c r="E29" s="566">
        <v>3.5844748858447489E-2</v>
      </c>
      <c r="F29" s="566">
        <v>9.0981735159817348E-2</v>
      </c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66"/>
      <c r="Y29" s="566"/>
      <c r="Z29" s="566"/>
      <c r="AA29" s="566"/>
      <c r="AB29" s="566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66"/>
    </row>
    <row r="30" spans="2:41" x14ac:dyDescent="0.15">
      <c r="B30" s="567">
        <v>-14</v>
      </c>
      <c r="C30" s="566">
        <v>2.1917808219178082E-2</v>
      </c>
      <c r="D30" s="566">
        <v>2.9794520547945205E-2</v>
      </c>
      <c r="E30" s="566">
        <v>4.3493150684931509E-2</v>
      </c>
      <c r="F30" s="566">
        <v>0.10422374429223745</v>
      </c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66"/>
    </row>
    <row r="31" spans="2:41" x14ac:dyDescent="0.15">
      <c r="B31" s="567">
        <v>-13</v>
      </c>
      <c r="C31" s="566">
        <v>2.8652968036529679E-2</v>
      </c>
      <c r="D31" s="566">
        <v>3.6529680365296802E-2</v>
      </c>
      <c r="E31" s="566">
        <v>5.1598173515981734E-2</v>
      </c>
      <c r="F31" s="566">
        <v>0.11746575342465754</v>
      </c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66"/>
    </row>
    <row r="32" spans="2:41" x14ac:dyDescent="0.15">
      <c r="B32" s="567">
        <v>-12</v>
      </c>
      <c r="C32" s="566">
        <v>3.4589041095890408E-2</v>
      </c>
      <c r="D32" s="566">
        <v>4.1324200913242008E-2</v>
      </c>
      <c r="E32" s="566">
        <v>6.095890410958904E-2</v>
      </c>
      <c r="F32" s="566">
        <v>0.13344748858447489</v>
      </c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</row>
    <row r="33" spans="2:41" x14ac:dyDescent="0.15">
      <c r="B33" s="567">
        <v>-11</v>
      </c>
      <c r="C33" s="566">
        <v>4.0639269406392696E-2</v>
      </c>
      <c r="D33" s="566">
        <v>4.8401826484018265E-2</v>
      </c>
      <c r="E33" s="566">
        <v>7.1575342465753422E-2</v>
      </c>
      <c r="F33" s="566">
        <v>0.15136986301369862</v>
      </c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66"/>
    </row>
    <row r="34" spans="2:41" x14ac:dyDescent="0.15">
      <c r="B34" s="567">
        <v>-10</v>
      </c>
      <c r="C34" s="566">
        <v>4.6575342465753428E-2</v>
      </c>
      <c r="D34" s="566">
        <v>5.6963470319634703E-2</v>
      </c>
      <c r="E34" s="566">
        <v>8.3105022831050229E-2</v>
      </c>
      <c r="F34" s="566">
        <v>0.16860730593607307</v>
      </c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566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66"/>
    </row>
    <row r="35" spans="2:41" x14ac:dyDescent="0.15">
      <c r="B35" s="567">
        <v>-9</v>
      </c>
      <c r="C35" s="566">
        <v>5.4680365296803653E-2</v>
      </c>
      <c r="D35" s="566">
        <v>6.7351598173515978E-2</v>
      </c>
      <c r="E35" s="566">
        <v>9.7945205479452055E-2</v>
      </c>
      <c r="F35" s="566">
        <v>0.18630136986301371</v>
      </c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66"/>
    </row>
    <row r="36" spans="2:41" x14ac:dyDescent="0.15">
      <c r="B36" s="567">
        <v>-8</v>
      </c>
      <c r="C36" s="566">
        <v>6.3356164383561647E-2</v>
      </c>
      <c r="D36" s="566">
        <v>7.6255707762557079E-2</v>
      </c>
      <c r="E36" s="566">
        <v>0.11666666666666667</v>
      </c>
      <c r="F36" s="566">
        <v>0.20091324200913241</v>
      </c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66"/>
    </row>
    <row r="37" spans="2:41" x14ac:dyDescent="0.15">
      <c r="B37" s="567">
        <v>-7</v>
      </c>
      <c r="C37" s="566">
        <v>7.4999999999999997E-2</v>
      </c>
      <c r="D37" s="566">
        <v>8.7785388127853886E-2</v>
      </c>
      <c r="E37" s="566">
        <v>0.13698630136986301</v>
      </c>
      <c r="F37" s="566">
        <v>0.22237442922374429</v>
      </c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66"/>
    </row>
    <row r="38" spans="2:41" x14ac:dyDescent="0.15">
      <c r="B38" s="567">
        <v>-6</v>
      </c>
      <c r="C38" s="566">
        <v>8.8470319634703198E-2</v>
      </c>
      <c r="D38" s="566">
        <v>0.1021689497716895</v>
      </c>
      <c r="E38" s="566">
        <v>0.16095890410958905</v>
      </c>
      <c r="F38" s="566">
        <v>0.24121004566210047</v>
      </c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</row>
    <row r="39" spans="2:41" x14ac:dyDescent="0.15">
      <c r="B39" s="567">
        <v>-5</v>
      </c>
      <c r="C39" s="566">
        <v>0.10547945205479452</v>
      </c>
      <c r="D39" s="566">
        <v>0.12317351598173516</v>
      </c>
      <c r="E39" s="566">
        <v>0.18801369863013698</v>
      </c>
      <c r="F39" s="566">
        <v>0.27180365296803655</v>
      </c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</row>
    <row r="40" spans="2:41" x14ac:dyDescent="0.15">
      <c r="B40" s="567">
        <v>-4</v>
      </c>
      <c r="C40" s="566">
        <v>0.12888127853881279</v>
      </c>
      <c r="D40" s="566">
        <v>0.14452054794520547</v>
      </c>
      <c r="E40" s="566">
        <v>0.2139269406392694</v>
      </c>
      <c r="F40" s="566">
        <v>0.3065068493150685</v>
      </c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Z40" s="566"/>
      <c r="AA40" s="566"/>
      <c r="AB40" s="566"/>
      <c r="AC40" s="566"/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66"/>
    </row>
    <row r="41" spans="2:41" x14ac:dyDescent="0.15">
      <c r="B41" s="567">
        <v>-3</v>
      </c>
      <c r="C41" s="566">
        <v>0.15570776255707763</v>
      </c>
      <c r="D41" s="566">
        <v>0.16849315068493151</v>
      </c>
      <c r="E41" s="566">
        <v>0.24406392694063928</v>
      </c>
      <c r="F41" s="566">
        <v>0.34178082191780823</v>
      </c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566"/>
      <c r="X41" s="566"/>
      <c r="Y41" s="566"/>
      <c r="Z41" s="566"/>
      <c r="AA41" s="566"/>
      <c r="AB41" s="566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6"/>
    </row>
    <row r="42" spans="2:41" x14ac:dyDescent="0.15">
      <c r="B42" s="567">
        <v>-2</v>
      </c>
      <c r="C42" s="566">
        <v>0.18424657534246575</v>
      </c>
      <c r="D42" s="566">
        <v>0.19337899543378995</v>
      </c>
      <c r="E42" s="566">
        <v>0.27728310502283104</v>
      </c>
      <c r="F42" s="566">
        <v>0.37648401826484018</v>
      </c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  <c r="R42" s="566"/>
      <c r="S42" s="566"/>
      <c r="T42" s="566"/>
      <c r="U42" s="566"/>
      <c r="V42" s="566"/>
      <c r="W42" s="566"/>
      <c r="X42" s="566"/>
      <c r="Y42" s="566"/>
      <c r="Z42" s="566"/>
      <c r="AA42" s="566"/>
      <c r="AB42" s="566"/>
      <c r="AC42" s="566"/>
      <c r="AD42" s="566"/>
      <c r="AE42" s="566"/>
      <c r="AF42" s="566"/>
      <c r="AG42" s="566"/>
      <c r="AH42" s="566"/>
      <c r="AI42" s="566"/>
      <c r="AJ42" s="566"/>
      <c r="AK42" s="566"/>
      <c r="AL42" s="566"/>
      <c r="AM42" s="566"/>
      <c r="AN42" s="566"/>
      <c r="AO42" s="566"/>
    </row>
    <row r="43" spans="2:41" x14ac:dyDescent="0.15">
      <c r="B43" s="567">
        <v>-1</v>
      </c>
      <c r="C43" s="566">
        <v>0.20924657534246574</v>
      </c>
      <c r="D43" s="566">
        <v>0.22340182648401827</v>
      </c>
      <c r="E43" s="566">
        <v>0.31210045662100455</v>
      </c>
      <c r="F43" s="566">
        <v>0.41678082191780824</v>
      </c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  <c r="AF43" s="566"/>
      <c r="AG43" s="566"/>
      <c r="AH43" s="566"/>
      <c r="AI43" s="566"/>
      <c r="AJ43" s="566"/>
      <c r="AK43" s="566"/>
      <c r="AL43" s="566"/>
      <c r="AM43" s="566"/>
      <c r="AN43" s="566"/>
      <c r="AO43" s="566"/>
    </row>
    <row r="44" spans="2:41" x14ac:dyDescent="0.15">
      <c r="B44" s="567">
        <v>0</v>
      </c>
      <c r="C44" s="566">
        <v>0.24920091324200913</v>
      </c>
      <c r="D44" s="566">
        <v>0.27089041095890409</v>
      </c>
      <c r="E44" s="566">
        <v>0.36792237442922376</v>
      </c>
      <c r="F44" s="566">
        <v>0.46027397260273972</v>
      </c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566"/>
      <c r="AB44" s="566"/>
      <c r="AC44" s="566"/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66"/>
    </row>
    <row r="45" spans="2:41" x14ac:dyDescent="0.15">
      <c r="B45" s="567">
        <v>1</v>
      </c>
      <c r="C45" s="566">
        <v>0.30993150684931509</v>
      </c>
      <c r="D45" s="566">
        <v>0.3422374429223744</v>
      </c>
      <c r="E45" s="566">
        <v>0.41004566210045662</v>
      </c>
      <c r="F45" s="566">
        <v>0.51118721461187211</v>
      </c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66"/>
    </row>
    <row r="46" spans="2:41" x14ac:dyDescent="0.15">
      <c r="B46" s="567">
        <v>2</v>
      </c>
      <c r="C46" s="566">
        <v>0.36917808219178083</v>
      </c>
      <c r="D46" s="566">
        <v>0.40136986301369865</v>
      </c>
      <c r="E46" s="566">
        <v>0.45171232876712331</v>
      </c>
      <c r="F46" s="566">
        <v>0.54372146118721465</v>
      </c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</row>
    <row r="47" spans="2:41" x14ac:dyDescent="0.15">
      <c r="B47" s="567">
        <v>3</v>
      </c>
      <c r="C47" s="566">
        <v>0.41598173515981735</v>
      </c>
      <c r="D47" s="566">
        <v>0.44018264840182647</v>
      </c>
      <c r="E47" s="566">
        <v>0.48652968036529681</v>
      </c>
      <c r="F47" s="566">
        <v>0.57363013698630139</v>
      </c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</row>
    <row r="48" spans="2:41" x14ac:dyDescent="0.15">
      <c r="B48" s="567">
        <v>4</v>
      </c>
      <c r="C48" s="566">
        <v>0.45079908675799085</v>
      </c>
      <c r="D48" s="566">
        <v>0.4771689497716895</v>
      </c>
      <c r="E48" s="566">
        <v>0.51837899543378996</v>
      </c>
      <c r="F48" s="566">
        <v>0.61015981735159819</v>
      </c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</row>
    <row r="49" spans="2:41" x14ac:dyDescent="0.15">
      <c r="B49" s="567">
        <v>5</v>
      </c>
      <c r="C49" s="566">
        <v>0.48413242009132418</v>
      </c>
      <c r="D49" s="566">
        <v>0.50776255707762552</v>
      </c>
      <c r="E49" s="566">
        <v>0.54885844748858448</v>
      </c>
      <c r="F49" s="566">
        <v>0.63641552511415522</v>
      </c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66"/>
    </row>
    <row r="50" spans="2:41" x14ac:dyDescent="0.15">
      <c r="B50" s="567">
        <v>6</v>
      </c>
      <c r="C50" s="566">
        <v>0.51586757990867582</v>
      </c>
      <c r="D50" s="566">
        <v>0.54166666666666663</v>
      </c>
      <c r="E50" s="566">
        <v>0.58139269406392691</v>
      </c>
      <c r="F50" s="566">
        <v>0.66415525114155249</v>
      </c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</row>
    <row r="51" spans="2:41" x14ac:dyDescent="0.15">
      <c r="B51" s="567">
        <v>7</v>
      </c>
      <c r="C51" s="566">
        <v>0.55331050228310508</v>
      </c>
      <c r="D51" s="566">
        <v>0.58744292237442919</v>
      </c>
      <c r="E51" s="566">
        <v>0.60719178082191783</v>
      </c>
      <c r="F51" s="566">
        <v>0.6905251141552512</v>
      </c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</row>
    <row r="52" spans="2:41" x14ac:dyDescent="0.15">
      <c r="B52" s="567">
        <v>8</v>
      </c>
      <c r="C52" s="566">
        <v>0.58984018264840188</v>
      </c>
      <c r="D52" s="566">
        <v>0.62123287671232874</v>
      </c>
      <c r="E52" s="566">
        <v>0.63162100456621006</v>
      </c>
      <c r="F52" s="566">
        <v>0.71872146118721458</v>
      </c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</row>
    <row r="53" spans="2:41" x14ac:dyDescent="0.15">
      <c r="B53" s="567">
        <v>9</v>
      </c>
      <c r="C53" s="566">
        <v>0.61746575342465748</v>
      </c>
      <c r="D53" s="566">
        <v>0.65399543378995428</v>
      </c>
      <c r="E53" s="566">
        <v>0.6623287671232877</v>
      </c>
      <c r="F53" s="566">
        <v>0.74885844748858443</v>
      </c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</row>
    <row r="54" spans="2:41" x14ac:dyDescent="0.15">
      <c r="B54" s="567">
        <v>10</v>
      </c>
      <c r="C54" s="566">
        <v>0.64394977168949774</v>
      </c>
      <c r="D54" s="566">
        <v>0.68835616438356162</v>
      </c>
      <c r="E54" s="566">
        <v>0.69623287671232881</v>
      </c>
      <c r="F54" s="566">
        <v>0.78527397260273968</v>
      </c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</row>
    <row r="55" spans="2:41" x14ac:dyDescent="0.15">
      <c r="B55" s="567">
        <v>11</v>
      </c>
      <c r="C55" s="566">
        <v>0.67625570776255706</v>
      </c>
      <c r="D55" s="566">
        <v>0.72168949771689495</v>
      </c>
      <c r="E55" s="566">
        <v>0.73105022831050226</v>
      </c>
      <c r="F55" s="566">
        <v>0.82283105022831049</v>
      </c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</row>
    <row r="56" spans="2:41" x14ac:dyDescent="0.15">
      <c r="B56" s="567">
        <v>12</v>
      </c>
      <c r="C56" s="566">
        <v>0.71415525114155254</v>
      </c>
      <c r="D56" s="566">
        <v>0.75296803652968036</v>
      </c>
      <c r="E56" s="566">
        <v>0.76780821917808217</v>
      </c>
      <c r="F56" s="566">
        <v>0.85114155251141554</v>
      </c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</row>
    <row r="57" spans="2:41" x14ac:dyDescent="0.15">
      <c r="B57" s="567">
        <v>13</v>
      </c>
      <c r="C57" s="566">
        <v>0.75433789954337904</v>
      </c>
      <c r="D57" s="566">
        <v>0.78493150684931512</v>
      </c>
      <c r="E57" s="566">
        <v>0.80593607305936077</v>
      </c>
      <c r="F57" s="566">
        <v>0.87602739726027401</v>
      </c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66"/>
    </row>
    <row r="58" spans="2:41" x14ac:dyDescent="0.15">
      <c r="B58" s="567">
        <v>14</v>
      </c>
      <c r="C58" s="566">
        <v>0.7873287671232877</v>
      </c>
      <c r="D58" s="566">
        <v>0.81974885844748857</v>
      </c>
      <c r="E58" s="566">
        <v>0.84509132420091326</v>
      </c>
      <c r="F58" s="566">
        <v>0.89577625570776254</v>
      </c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66"/>
    </row>
    <row r="59" spans="2:41" x14ac:dyDescent="0.15">
      <c r="B59" s="567">
        <v>15</v>
      </c>
      <c r="C59" s="566">
        <v>0.82625570776255708</v>
      </c>
      <c r="D59" s="566">
        <v>0.85468036529680369</v>
      </c>
      <c r="E59" s="566">
        <v>0.87568493150684934</v>
      </c>
      <c r="F59" s="566">
        <v>0.91803652968036531</v>
      </c>
      <c r="G59" s="566"/>
      <c r="H59" s="566"/>
      <c r="I59" s="566"/>
      <c r="J59" s="566"/>
      <c r="K59" s="566"/>
      <c r="L59" s="566"/>
      <c r="M59" s="566"/>
      <c r="N59" s="566"/>
      <c r="O59" s="566"/>
      <c r="P59" s="566"/>
      <c r="Q59" s="566"/>
      <c r="R59" s="566"/>
      <c r="S59" s="566"/>
      <c r="T59" s="566"/>
      <c r="U59" s="566"/>
      <c r="V59" s="566"/>
      <c r="W59" s="566"/>
      <c r="X59" s="566"/>
      <c r="Y59" s="566"/>
      <c r="Z59" s="566"/>
      <c r="AA59" s="566"/>
      <c r="AB59" s="566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66"/>
    </row>
    <row r="60" spans="2:41" x14ac:dyDescent="0.15">
      <c r="B60" s="567">
        <v>16</v>
      </c>
      <c r="C60" s="566">
        <v>0.86187214611872143</v>
      </c>
      <c r="D60" s="566">
        <v>0.88059360730593605</v>
      </c>
      <c r="E60" s="566">
        <v>0.89908675799086757</v>
      </c>
      <c r="F60" s="566">
        <v>0.93550228310502281</v>
      </c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  <c r="U60" s="566"/>
      <c r="V60" s="566"/>
      <c r="W60" s="566"/>
      <c r="X60" s="566"/>
      <c r="Y60" s="566"/>
      <c r="Z60" s="566"/>
      <c r="AA60" s="566"/>
      <c r="AB60" s="566"/>
      <c r="AC60" s="566"/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66"/>
    </row>
    <row r="61" spans="2:41" x14ac:dyDescent="0.15">
      <c r="B61" s="567">
        <v>17</v>
      </c>
      <c r="C61" s="566">
        <v>0.88995433789954337</v>
      </c>
      <c r="D61" s="566">
        <v>0.90388127853881284</v>
      </c>
      <c r="E61" s="566">
        <v>0.92100456621004567</v>
      </c>
      <c r="F61" s="566">
        <v>0.95273972602739732</v>
      </c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66"/>
    </row>
    <row r="62" spans="2:41" x14ac:dyDescent="0.15">
      <c r="B62" s="567">
        <v>18</v>
      </c>
      <c r="C62" s="566">
        <v>0.91358447488584471</v>
      </c>
      <c r="D62" s="566">
        <v>0.92260273972602735</v>
      </c>
      <c r="E62" s="566">
        <v>0.9389269406392694</v>
      </c>
      <c r="F62" s="566">
        <v>0.9671232876712329</v>
      </c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</row>
    <row r="63" spans="2:41" x14ac:dyDescent="0.15">
      <c r="B63" s="567">
        <v>19</v>
      </c>
      <c r="C63" s="566">
        <v>0.93219178082191778</v>
      </c>
      <c r="D63" s="566">
        <v>0.93835616438356162</v>
      </c>
      <c r="E63" s="566">
        <v>0.95490867579908678</v>
      </c>
      <c r="F63" s="566">
        <v>0.97602739726027399</v>
      </c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66"/>
    </row>
    <row r="64" spans="2:41" x14ac:dyDescent="0.15">
      <c r="B64" s="567">
        <v>20</v>
      </c>
      <c r="C64" s="566">
        <v>0.94783105022831049</v>
      </c>
      <c r="D64" s="566">
        <v>0.95490867579908678</v>
      </c>
      <c r="E64" s="566">
        <v>0.96700913242009134</v>
      </c>
      <c r="F64" s="566">
        <v>0.98264840182648405</v>
      </c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66"/>
    </row>
    <row r="65" spans="2:41" x14ac:dyDescent="0.15">
      <c r="B65" s="567">
        <v>21</v>
      </c>
      <c r="C65" s="566">
        <v>0.96324200913242009</v>
      </c>
      <c r="D65" s="566">
        <v>0.96757990867579913</v>
      </c>
      <c r="E65" s="566">
        <v>0.9780821917808219</v>
      </c>
      <c r="F65" s="566">
        <v>0.98789954337899544</v>
      </c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6"/>
    </row>
    <row r="66" spans="2:41" x14ac:dyDescent="0.15">
      <c r="B66" s="567">
        <v>22</v>
      </c>
      <c r="C66" s="566">
        <v>0.97283105022831051</v>
      </c>
      <c r="D66" s="566">
        <v>0.97751141552511411</v>
      </c>
      <c r="E66" s="566">
        <v>0.98652968036529676</v>
      </c>
      <c r="F66" s="566">
        <v>0.9916666666666667</v>
      </c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</row>
    <row r="67" spans="2:41" x14ac:dyDescent="0.15">
      <c r="B67" s="567">
        <v>23</v>
      </c>
      <c r="C67" s="566">
        <v>0.98082191780821915</v>
      </c>
      <c r="D67" s="566">
        <v>0.9853881278538813</v>
      </c>
      <c r="E67" s="566">
        <v>0.99303652968036527</v>
      </c>
      <c r="F67" s="566">
        <v>0.99497716894977173</v>
      </c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566"/>
      <c r="AK67" s="566"/>
      <c r="AL67" s="566"/>
      <c r="AM67" s="566"/>
      <c r="AN67" s="566"/>
      <c r="AO67" s="566"/>
    </row>
    <row r="68" spans="2:41" x14ac:dyDescent="0.15">
      <c r="B68" s="567">
        <v>24</v>
      </c>
      <c r="C68" s="566">
        <v>0.98550228310502286</v>
      </c>
      <c r="D68" s="566">
        <v>0.99098173515981736</v>
      </c>
      <c r="E68" s="566">
        <v>0.99760273972602742</v>
      </c>
      <c r="F68" s="566">
        <v>0.99748858447488586</v>
      </c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</row>
    <row r="69" spans="2:41" x14ac:dyDescent="0.15">
      <c r="B69" s="567">
        <v>25</v>
      </c>
      <c r="C69" s="566">
        <v>0.98949771689497712</v>
      </c>
      <c r="D69" s="566">
        <v>0.99520547945205484</v>
      </c>
      <c r="E69" s="566">
        <v>0.9992009132420091</v>
      </c>
      <c r="F69" s="566">
        <v>0.99851598173515976</v>
      </c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</row>
    <row r="70" spans="2:41" x14ac:dyDescent="0.15">
      <c r="B70" s="567">
        <v>26</v>
      </c>
      <c r="C70" s="566">
        <v>0.99372146118721461</v>
      </c>
      <c r="D70" s="566">
        <v>0.99691780821917808</v>
      </c>
      <c r="E70" s="566">
        <v>0.99965753424657533</v>
      </c>
      <c r="F70" s="566">
        <v>0.99954337899543377</v>
      </c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66"/>
    </row>
    <row r="71" spans="2:41" x14ac:dyDescent="0.15">
      <c r="B71" s="567">
        <v>27</v>
      </c>
      <c r="C71" s="566">
        <v>0.99668949771689497</v>
      </c>
      <c r="D71" s="566">
        <v>0.99840182648401832</v>
      </c>
      <c r="E71" s="566">
        <v>1</v>
      </c>
      <c r="F71" s="566">
        <v>1</v>
      </c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</row>
    <row r="72" spans="2:41" x14ac:dyDescent="0.15">
      <c r="B72" s="567">
        <v>28</v>
      </c>
      <c r="C72" s="566">
        <v>0.99874429223744288</v>
      </c>
      <c r="D72" s="566">
        <v>0.9992009132420091</v>
      </c>
      <c r="E72" s="566">
        <v>1</v>
      </c>
      <c r="F72" s="566">
        <v>1</v>
      </c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</row>
    <row r="73" spans="2:41" x14ac:dyDescent="0.15">
      <c r="B73" s="567">
        <v>29</v>
      </c>
      <c r="C73" s="566">
        <v>0.99965753424657533</v>
      </c>
      <c r="D73" s="566">
        <v>0.99977168949771689</v>
      </c>
      <c r="E73" s="566">
        <v>1</v>
      </c>
      <c r="F73" s="566">
        <v>1</v>
      </c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</row>
    <row r="74" spans="2:41" x14ac:dyDescent="0.15">
      <c r="B74" s="567">
        <v>30</v>
      </c>
      <c r="C74" s="566">
        <v>1</v>
      </c>
      <c r="D74" s="566">
        <v>1</v>
      </c>
      <c r="E74" s="566">
        <v>1</v>
      </c>
      <c r="F74" s="566">
        <v>1</v>
      </c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</row>
    <row r="75" spans="2:41" x14ac:dyDescent="0.15">
      <c r="B75" s="567">
        <v>31</v>
      </c>
      <c r="C75" s="566">
        <v>1</v>
      </c>
      <c r="D75" s="566">
        <v>1</v>
      </c>
      <c r="E75" s="566">
        <v>1</v>
      </c>
      <c r="F75" s="566">
        <v>1</v>
      </c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</row>
    <row r="76" spans="2:41" x14ac:dyDescent="0.15">
      <c r="B76" s="567">
        <v>32</v>
      </c>
      <c r="C76" s="566">
        <v>1</v>
      </c>
      <c r="D76" s="566">
        <v>1</v>
      </c>
      <c r="E76" s="566">
        <v>1</v>
      </c>
      <c r="F76" s="566">
        <v>1</v>
      </c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</row>
    <row r="77" spans="2:41" x14ac:dyDescent="0.15">
      <c r="B77" s="567">
        <v>33</v>
      </c>
      <c r="C77" s="566">
        <v>1</v>
      </c>
      <c r="D77" s="566">
        <v>1</v>
      </c>
      <c r="E77" s="566">
        <v>1</v>
      </c>
      <c r="F77" s="566">
        <v>1</v>
      </c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</row>
    <row r="78" spans="2:41" x14ac:dyDescent="0.15">
      <c r="B78" s="567">
        <v>34</v>
      </c>
      <c r="C78" s="566">
        <v>1</v>
      </c>
      <c r="D78" s="566">
        <v>1</v>
      </c>
      <c r="E78" s="566">
        <v>1</v>
      </c>
      <c r="F78" s="566">
        <v>1</v>
      </c>
      <c r="G78" s="566"/>
      <c r="H78" s="566"/>
      <c r="I78" s="566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</row>
    <row r="79" spans="2:41" x14ac:dyDescent="0.15">
      <c r="B79" s="567">
        <v>35</v>
      </c>
      <c r="C79" s="566">
        <v>1</v>
      </c>
      <c r="D79" s="566">
        <v>1</v>
      </c>
      <c r="E79" s="566">
        <v>1</v>
      </c>
      <c r="F79" s="566">
        <v>1</v>
      </c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</row>
    <row r="80" spans="2:41" x14ac:dyDescent="0.15">
      <c r="B80" s="567">
        <v>36</v>
      </c>
      <c r="C80" s="566">
        <v>1</v>
      </c>
      <c r="D80" s="566">
        <v>1</v>
      </c>
      <c r="E80" s="566">
        <v>1</v>
      </c>
      <c r="F80" s="566">
        <v>1</v>
      </c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</row>
    <row r="81" spans="2:41" x14ac:dyDescent="0.15">
      <c r="B81" s="567">
        <v>37</v>
      </c>
      <c r="C81" s="566">
        <v>1</v>
      </c>
      <c r="D81" s="566">
        <v>1</v>
      </c>
      <c r="E81" s="566">
        <v>1</v>
      </c>
      <c r="F81" s="566">
        <v>1</v>
      </c>
      <c r="G81" s="566"/>
      <c r="H81" s="566"/>
      <c r="I81" s="566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</row>
    <row r="82" spans="2:41" x14ac:dyDescent="0.15">
      <c r="B82" s="567">
        <v>38</v>
      </c>
      <c r="C82" s="566">
        <v>1</v>
      </c>
      <c r="D82" s="566">
        <v>1</v>
      </c>
      <c r="E82" s="566">
        <v>1</v>
      </c>
      <c r="F82" s="566">
        <v>1</v>
      </c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</row>
    <row r="83" spans="2:41" x14ac:dyDescent="0.15">
      <c r="B83" s="567">
        <v>39</v>
      </c>
      <c r="C83" s="566">
        <v>1</v>
      </c>
      <c r="D83" s="566">
        <v>1</v>
      </c>
      <c r="E83" s="566">
        <v>1</v>
      </c>
      <c r="F83" s="566">
        <v>1</v>
      </c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</row>
    <row r="84" spans="2:41" x14ac:dyDescent="0.15">
      <c r="B84" s="568">
        <v>40</v>
      </c>
      <c r="C84" s="566">
        <v>1</v>
      </c>
      <c r="D84" s="566">
        <v>1</v>
      </c>
      <c r="E84" s="566">
        <v>1</v>
      </c>
      <c r="F84" s="566">
        <v>1</v>
      </c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</row>
    <row r="93" spans="2:41" s="563" customFormat="1" ht="14" x14ac:dyDescent="0.15">
      <c r="B93" s="560" t="str" cm="1">
        <f t="array" ref="B93:AO93">TRANSPOSE('Syötä kaupungit KIRJASTOLINKIT!'!$C$1:$C$40)</f>
        <v>MAA 2</v>
      </c>
      <c r="C93" s="564" t="str">
        <v>Tukholma</v>
      </c>
      <c r="D93" s="564">
        <v>0</v>
      </c>
      <c r="E93" s="564">
        <v>0</v>
      </c>
      <c r="F93" s="564">
        <v>0</v>
      </c>
      <c r="G93" s="564">
        <v>0</v>
      </c>
      <c r="H93" s="564">
        <v>0</v>
      </c>
      <c r="I93" s="564">
        <v>0</v>
      </c>
      <c r="J93" s="564">
        <v>0</v>
      </c>
      <c r="K93" s="564">
        <v>0</v>
      </c>
      <c r="L93" s="564">
        <v>0</v>
      </c>
      <c r="M93" s="564">
        <v>0</v>
      </c>
      <c r="N93" s="564">
        <v>0</v>
      </c>
      <c r="O93" s="564">
        <v>0</v>
      </c>
      <c r="P93" s="564">
        <v>0</v>
      </c>
      <c r="Q93" s="564">
        <v>0</v>
      </c>
      <c r="R93" s="564">
        <v>0</v>
      </c>
      <c r="S93" s="564">
        <v>0</v>
      </c>
      <c r="T93" s="564">
        <v>0</v>
      </c>
      <c r="U93" s="564">
        <v>0</v>
      </c>
      <c r="V93" s="564">
        <v>0</v>
      </c>
      <c r="W93" s="564">
        <v>0</v>
      </c>
      <c r="X93" s="564">
        <v>0</v>
      </c>
      <c r="Y93" s="564">
        <v>0</v>
      </c>
      <c r="Z93" s="564">
        <v>0</v>
      </c>
      <c r="AA93" s="564">
        <v>0</v>
      </c>
      <c r="AB93" s="564">
        <v>0</v>
      </c>
      <c r="AC93" s="564">
        <v>0</v>
      </c>
      <c r="AD93" s="564">
        <v>0</v>
      </c>
      <c r="AE93" s="564">
        <v>0</v>
      </c>
      <c r="AF93" s="564">
        <v>0</v>
      </c>
      <c r="AG93" s="564">
        <v>0</v>
      </c>
      <c r="AH93" s="564">
        <v>0</v>
      </c>
      <c r="AI93" s="564">
        <v>0</v>
      </c>
      <c r="AJ93" s="564">
        <v>0</v>
      </c>
      <c r="AK93" s="564">
        <v>0</v>
      </c>
      <c r="AL93" s="564">
        <v>0</v>
      </c>
      <c r="AM93" s="564">
        <v>0</v>
      </c>
      <c r="AN93" s="564">
        <v>0</v>
      </c>
      <c r="AO93" s="564">
        <v>0</v>
      </c>
    </row>
    <row r="94" spans="2:41" x14ac:dyDescent="0.15">
      <c r="B94" s="565">
        <v>-40</v>
      </c>
      <c r="C94" s="566">
        <v>0</v>
      </c>
      <c r="D94" s="566"/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66"/>
      <c r="Q94" s="566"/>
      <c r="R94" s="566"/>
      <c r="S94" s="566"/>
      <c r="T94" s="566"/>
      <c r="U94" s="566"/>
      <c r="V94" s="566"/>
      <c r="W94" s="566"/>
      <c r="X94" s="566"/>
      <c r="Y94" s="566"/>
      <c r="Z94" s="566"/>
      <c r="AA94" s="566"/>
      <c r="AB94" s="566"/>
      <c r="AC94" s="566"/>
      <c r="AD94" s="566"/>
      <c r="AE94" s="566"/>
      <c r="AF94" s="566"/>
      <c r="AG94" s="566"/>
      <c r="AH94" s="566"/>
      <c r="AI94" s="566"/>
      <c r="AJ94" s="566"/>
      <c r="AK94" s="566"/>
      <c r="AL94" s="566"/>
      <c r="AM94" s="566"/>
      <c r="AN94" s="566"/>
      <c r="AO94" s="566"/>
    </row>
    <row r="95" spans="2:41" x14ac:dyDescent="0.15">
      <c r="B95" s="567">
        <v>-39</v>
      </c>
      <c r="C95" s="566">
        <v>0</v>
      </c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66"/>
      <c r="Q95" s="566"/>
      <c r="R95" s="566"/>
      <c r="S95" s="566"/>
      <c r="T95" s="566"/>
      <c r="U95" s="566"/>
      <c r="V95" s="566"/>
      <c r="W95" s="566"/>
      <c r="X95" s="566"/>
      <c r="Y95" s="566"/>
      <c r="Z95" s="566"/>
      <c r="AA95" s="566"/>
      <c r="AB95" s="566"/>
      <c r="AC95" s="566"/>
      <c r="AD95" s="566"/>
      <c r="AE95" s="566"/>
      <c r="AF95" s="566"/>
      <c r="AG95" s="566"/>
      <c r="AH95" s="566"/>
      <c r="AI95" s="566"/>
      <c r="AJ95" s="566"/>
      <c r="AK95" s="566"/>
      <c r="AL95" s="566"/>
      <c r="AM95" s="566"/>
      <c r="AN95" s="566"/>
      <c r="AO95" s="566"/>
    </row>
    <row r="96" spans="2:41" x14ac:dyDescent="0.15">
      <c r="B96" s="567">
        <v>-38</v>
      </c>
      <c r="C96" s="566">
        <v>0</v>
      </c>
      <c r="D96" s="566"/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566"/>
      <c r="X96" s="566"/>
      <c r="Y96" s="566"/>
      <c r="Z96" s="566"/>
      <c r="AA96" s="566"/>
      <c r="AB96" s="566"/>
      <c r="AC96" s="566"/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66"/>
    </row>
    <row r="97" spans="2:41" x14ac:dyDescent="0.15">
      <c r="B97" s="567">
        <v>-37</v>
      </c>
      <c r="C97" s="566">
        <v>0</v>
      </c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66"/>
    </row>
    <row r="98" spans="2:41" x14ac:dyDescent="0.15">
      <c r="B98" s="567">
        <v>-36</v>
      </c>
      <c r="C98" s="566">
        <v>0</v>
      </c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</row>
    <row r="99" spans="2:41" x14ac:dyDescent="0.15">
      <c r="B99" s="567">
        <v>-35</v>
      </c>
      <c r="C99" s="566">
        <v>0</v>
      </c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66"/>
      <c r="Q99" s="566"/>
      <c r="R99" s="566"/>
      <c r="S99" s="566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66"/>
    </row>
    <row r="100" spans="2:41" x14ac:dyDescent="0.15">
      <c r="B100" s="567">
        <v>-34</v>
      </c>
      <c r="C100" s="566">
        <v>0</v>
      </c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</row>
    <row r="101" spans="2:41" x14ac:dyDescent="0.15">
      <c r="B101" s="567">
        <v>-33</v>
      </c>
      <c r="C101" s="566">
        <v>0</v>
      </c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66"/>
      <c r="Q101" s="566"/>
      <c r="R101" s="566"/>
      <c r="S101" s="566"/>
      <c r="T101" s="566"/>
      <c r="U101" s="566"/>
      <c r="V101" s="566"/>
      <c r="W101" s="566"/>
      <c r="X101" s="566"/>
      <c r="Y101" s="566"/>
      <c r="Z101" s="566"/>
      <c r="AA101" s="566"/>
      <c r="AB101" s="566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6"/>
    </row>
    <row r="102" spans="2:41" x14ac:dyDescent="0.15">
      <c r="B102" s="567">
        <v>-32</v>
      </c>
      <c r="C102" s="566">
        <v>0</v>
      </c>
      <c r="D102" s="566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  <c r="AL102" s="566"/>
      <c r="AM102" s="566"/>
      <c r="AN102" s="566"/>
      <c r="AO102" s="566"/>
    </row>
    <row r="103" spans="2:41" x14ac:dyDescent="0.15">
      <c r="B103" s="567">
        <v>-31</v>
      </c>
      <c r="C103" s="566">
        <v>0</v>
      </c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66"/>
      <c r="Q103" s="566"/>
      <c r="R103" s="566"/>
      <c r="S103" s="566"/>
      <c r="T103" s="566"/>
      <c r="U103" s="566"/>
      <c r="V103" s="566"/>
      <c r="W103" s="566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  <c r="AL103" s="566"/>
      <c r="AM103" s="566"/>
      <c r="AN103" s="566"/>
      <c r="AO103" s="566"/>
    </row>
    <row r="104" spans="2:41" x14ac:dyDescent="0.15">
      <c r="B104" s="567">
        <v>-30</v>
      </c>
      <c r="C104" s="566">
        <v>0</v>
      </c>
      <c r="D104" s="566"/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66"/>
      <c r="Q104" s="566"/>
      <c r="R104" s="566"/>
      <c r="S104" s="566"/>
      <c r="T104" s="566"/>
      <c r="U104" s="566"/>
      <c r="V104" s="566"/>
      <c r="W104" s="566"/>
      <c r="X104" s="566"/>
      <c r="Y104" s="566"/>
      <c r="Z104" s="566"/>
      <c r="AA104" s="566"/>
      <c r="AB104" s="566"/>
      <c r="AC104" s="566"/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66"/>
    </row>
    <row r="105" spans="2:41" x14ac:dyDescent="0.15">
      <c r="B105" s="567">
        <v>-29</v>
      </c>
      <c r="C105" s="566">
        <v>0</v>
      </c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66"/>
      <c r="Q105" s="566"/>
      <c r="R105" s="566"/>
      <c r="S105" s="566"/>
      <c r="T105" s="566"/>
      <c r="U105" s="566"/>
      <c r="V105" s="566"/>
      <c r="W105" s="566"/>
      <c r="X105" s="566"/>
      <c r="Y105" s="566"/>
      <c r="Z105" s="566"/>
      <c r="AA105" s="566"/>
      <c r="AB105" s="566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66"/>
    </row>
    <row r="106" spans="2:41" x14ac:dyDescent="0.15">
      <c r="B106" s="567">
        <v>-28</v>
      </c>
      <c r="C106" s="566">
        <v>0</v>
      </c>
      <c r="D106" s="566"/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66"/>
      <c r="Q106" s="566"/>
      <c r="R106" s="566"/>
      <c r="S106" s="566"/>
      <c r="T106" s="566"/>
      <c r="U106" s="566"/>
      <c r="V106" s="566"/>
      <c r="W106" s="566"/>
      <c r="X106" s="566"/>
      <c r="Y106" s="566"/>
      <c r="Z106" s="566"/>
      <c r="AA106" s="566"/>
      <c r="AB106" s="566"/>
      <c r="AC106" s="566"/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66"/>
    </row>
    <row r="107" spans="2:41" x14ac:dyDescent="0.15">
      <c r="B107" s="567">
        <v>-27</v>
      </c>
      <c r="C107" s="566">
        <v>0</v>
      </c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</row>
    <row r="108" spans="2:41" x14ac:dyDescent="0.15">
      <c r="B108" s="567">
        <v>-26</v>
      </c>
      <c r="C108" s="566">
        <v>0</v>
      </c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</row>
    <row r="109" spans="2:41" x14ac:dyDescent="0.15">
      <c r="B109" s="567">
        <v>-25</v>
      </c>
      <c r="C109" s="566">
        <v>0</v>
      </c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</row>
    <row r="110" spans="2:41" x14ac:dyDescent="0.15">
      <c r="B110" s="567">
        <v>-24</v>
      </c>
      <c r="C110" s="566">
        <v>0</v>
      </c>
      <c r="D110" s="566"/>
      <c r="E110" s="566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6"/>
      <c r="Y110" s="566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66"/>
    </row>
    <row r="111" spans="2:41" x14ac:dyDescent="0.15">
      <c r="B111" s="567">
        <v>-23</v>
      </c>
      <c r="C111" s="566">
        <v>0</v>
      </c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</row>
    <row r="112" spans="2:41" x14ac:dyDescent="0.15">
      <c r="B112" s="567">
        <v>-22</v>
      </c>
      <c r="C112" s="566">
        <v>0</v>
      </c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</row>
    <row r="113" spans="2:41" x14ac:dyDescent="0.15">
      <c r="B113" s="567">
        <v>-21</v>
      </c>
      <c r="C113" s="566">
        <v>0</v>
      </c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</row>
    <row r="114" spans="2:41" x14ac:dyDescent="0.15">
      <c r="B114" s="567">
        <v>-20</v>
      </c>
      <c r="C114" s="566">
        <v>0</v>
      </c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</row>
    <row r="115" spans="2:41" x14ac:dyDescent="0.15">
      <c r="B115" s="567">
        <v>-19</v>
      </c>
      <c r="C115" s="566">
        <v>0</v>
      </c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</row>
    <row r="116" spans="2:41" x14ac:dyDescent="0.15">
      <c r="B116" s="567">
        <v>-18</v>
      </c>
      <c r="C116" s="566">
        <v>0</v>
      </c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</row>
    <row r="117" spans="2:41" x14ac:dyDescent="0.15">
      <c r="B117" s="567">
        <v>-17</v>
      </c>
      <c r="C117" s="566">
        <v>2.2831050228310502E-4</v>
      </c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  <c r="R117" s="566"/>
      <c r="S117" s="566"/>
      <c r="T117" s="566"/>
      <c r="U117" s="566"/>
      <c r="V117" s="566"/>
      <c r="W117" s="566"/>
      <c r="X117" s="566"/>
      <c r="Y117" s="566"/>
      <c r="Z117" s="566"/>
      <c r="AA117" s="566"/>
      <c r="AB117" s="566"/>
      <c r="AC117" s="566"/>
      <c r="AD117" s="566"/>
      <c r="AE117" s="566"/>
      <c r="AF117" s="566"/>
      <c r="AG117" s="566"/>
      <c r="AH117" s="566"/>
      <c r="AI117" s="566"/>
      <c r="AJ117" s="566"/>
      <c r="AK117" s="566"/>
      <c r="AL117" s="566"/>
      <c r="AM117" s="566"/>
      <c r="AN117" s="566"/>
      <c r="AO117" s="566"/>
    </row>
    <row r="118" spans="2:41" x14ac:dyDescent="0.15">
      <c r="B118" s="567">
        <v>-16</v>
      </c>
      <c r="C118" s="566">
        <v>1.2557077625570776E-3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</row>
    <row r="119" spans="2:41" x14ac:dyDescent="0.15">
      <c r="B119" s="567">
        <v>-15</v>
      </c>
      <c r="C119" s="566">
        <v>4.7945205479452057E-3</v>
      </c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  <c r="AL119" s="566"/>
      <c r="AM119" s="566"/>
      <c r="AN119" s="566"/>
      <c r="AO119" s="566"/>
    </row>
    <row r="120" spans="2:41" x14ac:dyDescent="0.15">
      <c r="B120" s="567">
        <v>-14</v>
      </c>
      <c r="C120" s="566">
        <v>6.8493150684931503E-3</v>
      </c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</row>
    <row r="121" spans="2:41" x14ac:dyDescent="0.15">
      <c r="B121" s="567">
        <v>-13</v>
      </c>
      <c r="C121" s="566">
        <v>1.2557077625570776E-2</v>
      </c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</row>
    <row r="122" spans="2:41" x14ac:dyDescent="0.15">
      <c r="B122" s="567">
        <v>-12</v>
      </c>
      <c r="C122" s="566">
        <v>1.9748858447488585E-2</v>
      </c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</row>
    <row r="123" spans="2:41" x14ac:dyDescent="0.15">
      <c r="B123" s="567">
        <v>-11</v>
      </c>
      <c r="C123" s="566">
        <v>2.9223744292237442E-2</v>
      </c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</row>
    <row r="124" spans="2:41" x14ac:dyDescent="0.15">
      <c r="B124" s="567">
        <v>-10</v>
      </c>
      <c r="C124" s="566">
        <v>4.029680365296804E-2</v>
      </c>
      <c r="D124" s="566"/>
      <c r="E124" s="566"/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6"/>
      <c r="Y124" s="566"/>
      <c r="Z124" s="566"/>
      <c r="AA124" s="566"/>
      <c r="AB124" s="566"/>
      <c r="AC124" s="566"/>
      <c r="AD124" s="566"/>
      <c r="AE124" s="566"/>
      <c r="AF124" s="566"/>
      <c r="AG124" s="566"/>
      <c r="AH124" s="566"/>
      <c r="AI124" s="566"/>
      <c r="AJ124" s="566"/>
      <c r="AK124" s="566"/>
      <c r="AL124" s="566"/>
      <c r="AM124" s="566"/>
      <c r="AN124" s="566"/>
      <c r="AO124" s="566"/>
    </row>
    <row r="125" spans="2:41" x14ac:dyDescent="0.15">
      <c r="B125" s="567">
        <v>-9</v>
      </c>
      <c r="C125" s="566">
        <v>4.8744292237442921E-2</v>
      </c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  <c r="AL125" s="566"/>
      <c r="AM125" s="566"/>
      <c r="AN125" s="566"/>
      <c r="AO125" s="566"/>
    </row>
    <row r="126" spans="2:41" x14ac:dyDescent="0.15">
      <c r="B126" s="567">
        <v>-8</v>
      </c>
      <c r="C126" s="566">
        <v>6.2557077625570778E-2</v>
      </c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  <c r="AL126" s="566"/>
      <c r="AM126" s="566"/>
      <c r="AN126" s="566"/>
      <c r="AO126" s="566"/>
    </row>
    <row r="127" spans="2:41" x14ac:dyDescent="0.15">
      <c r="B127" s="567">
        <v>-7</v>
      </c>
      <c r="C127" s="566">
        <v>8.4474885844748854E-2</v>
      </c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  <c r="R127" s="566"/>
      <c r="S127" s="566"/>
      <c r="T127" s="566"/>
      <c r="U127" s="566"/>
      <c r="V127" s="566"/>
      <c r="W127" s="566"/>
      <c r="X127" s="566"/>
      <c r="Y127" s="566"/>
      <c r="Z127" s="566"/>
      <c r="AA127" s="566"/>
      <c r="AB127" s="566"/>
      <c r="AC127" s="566"/>
      <c r="AD127" s="566"/>
      <c r="AE127" s="566"/>
      <c r="AF127" s="566"/>
      <c r="AG127" s="566"/>
      <c r="AH127" s="566"/>
      <c r="AI127" s="566"/>
      <c r="AJ127" s="566"/>
      <c r="AK127" s="566"/>
      <c r="AL127" s="566"/>
      <c r="AM127" s="566"/>
      <c r="AN127" s="566"/>
      <c r="AO127" s="566"/>
    </row>
    <row r="128" spans="2:41" x14ac:dyDescent="0.15">
      <c r="B128" s="567">
        <v>-6</v>
      </c>
      <c r="C128" s="566">
        <v>0.10616438356164383</v>
      </c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</row>
    <row r="129" spans="2:41" x14ac:dyDescent="0.15">
      <c r="B129" s="567">
        <v>-5</v>
      </c>
      <c r="C129" s="566">
        <v>0.13070776255707764</v>
      </c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66"/>
      <c r="AC129" s="566"/>
      <c r="AD129" s="566"/>
      <c r="AE129" s="566"/>
      <c r="AF129" s="566"/>
      <c r="AG129" s="566"/>
      <c r="AH129" s="566"/>
      <c r="AI129" s="566"/>
      <c r="AJ129" s="566"/>
      <c r="AK129" s="566"/>
      <c r="AL129" s="566"/>
      <c r="AM129" s="566"/>
      <c r="AN129" s="566"/>
      <c r="AO129" s="566"/>
    </row>
    <row r="130" spans="2:41" x14ac:dyDescent="0.15">
      <c r="B130" s="567">
        <v>-4</v>
      </c>
      <c r="C130" s="566">
        <v>0.14771689497716894</v>
      </c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  <c r="AJ130" s="566"/>
      <c r="AK130" s="566"/>
      <c r="AL130" s="566"/>
      <c r="AM130" s="566"/>
      <c r="AN130" s="566"/>
      <c r="AO130" s="566"/>
    </row>
    <row r="131" spans="2:41" x14ac:dyDescent="0.15">
      <c r="B131" s="567">
        <v>-3</v>
      </c>
      <c r="C131" s="566">
        <v>0.17340182648401825</v>
      </c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6"/>
      <c r="Y131" s="566"/>
      <c r="Z131" s="566"/>
      <c r="AA131" s="566"/>
      <c r="AB131" s="566"/>
      <c r="AC131" s="566"/>
      <c r="AD131" s="566"/>
      <c r="AE131" s="566"/>
      <c r="AF131" s="566"/>
      <c r="AG131" s="566"/>
      <c r="AH131" s="566"/>
      <c r="AI131" s="566"/>
      <c r="AJ131" s="566"/>
      <c r="AK131" s="566"/>
      <c r="AL131" s="566"/>
      <c r="AM131" s="566"/>
      <c r="AN131" s="566"/>
      <c r="AO131" s="566"/>
    </row>
    <row r="132" spans="2:41" x14ac:dyDescent="0.15">
      <c r="B132" s="567">
        <v>-2</v>
      </c>
      <c r="C132" s="566">
        <v>0.20468036529680364</v>
      </c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6"/>
      <c r="Y132" s="566"/>
      <c r="Z132" s="566"/>
      <c r="AA132" s="566"/>
      <c r="AB132" s="566"/>
      <c r="AC132" s="566"/>
      <c r="AD132" s="566"/>
      <c r="AE132" s="566"/>
      <c r="AF132" s="566"/>
      <c r="AG132" s="566"/>
      <c r="AH132" s="566"/>
      <c r="AI132" s="566"/>
      <c r="AJ132" s="566"/>
      <c r="AK132" s="566"/>
      <c r="AL132" s="566"/>
      <c r="AM132" s="566"/>
      <c r="AN132" s="566"/>
      <c r="AO132" s="566"/>
    </row>
    <row r="133" spans="2:41" x14ac:dyDescent="0.15">
      <c r="B133" s="567">
        <v>-1</v>
      </c>
      <c r="C133" s="566">
        <v>0.23184931506849316</v>
      </c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6"/>
      <c r="Y133" s="566"/>
      <c r="Z133" s="566"/>
      <c r="AA133" s="566"/>
      <c r="AB133" s="566"/>
      <c r="AC133" s="566"/>
      <c r="AD133" s="566"/>
      <c r="AE133" s="566"/>
      <c r="AF133" s="566"/>
      <c r="AG133" s="566"/>
      <c r="AH133" s="566"/>
      <c r="AI133" s="566"/>
      <c r="AJ133" s="566"/>
      <c r="AK133" s="566"/>
      <c r="AL133" s="566"/>
      <c r="AM133" s="566"/>
      <c r="AN133" s="566"/>
      <c r="AO133" s="566"/>
    </row>
    <row r="134" spans="2:41" x14ac:dyDescent="0.15">
      <c r="B134" s="567">
        <v>0</v>
      </c>
      <c r="C134" s="566">
        <v>0.27363013698630134</v>
      </c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6"/>
      <c r="Y134" s="566"/>
      <c r="Z134" s="566"/>
      <c r="AA134" s="566"/>
      <c r="AB134" s="566"/>
      <c r="AC134" s="566"/>
      <c r="AD134" s="566"/>
      <c r="AE134" s="566"/>
      <c r="AF134" s="566"/>
      <c r="AG134" s="566"/>
      <c r="AH134" s="566"/>
      <c r="AI134" s="566"/>
      <c r="AJ134" s="566"/>
      <c r="AK134" s="566"/>
      <c r="AL134" s="566"/>
      <c r="AM134" s="566"/>
      <c r="AN134" s="566"/>
      <c r="AO134" s="566"/>
    </row>
    <row r="135" spans="2:41" x14ac:dyDescent="0.15">
      <c r="B135" s="567">
        <v>1</v>
      </c>
      <c r="C135" s="566">
        <v>0.30490867579908676</v>
      </c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6"/>
      <c r="Y135" s="566"/>
      <c r="Z135" s="566"/>
      <c r="AA135" s="566"/>
      <c r="AB135" s="566"/>
      <c r="AC135" s="566"/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</row>
    <row r="136" spans="2:41" x14ac:dyDescent="0.15">
      <c r="B136" s="567">
        <v>2</v>
      </c>
      <c r="C136" s="566">
        <v>0.36506849315068496</v>
      </c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/>
      <c r="AD136" s="566"/>
      <c r="AE136" s="566"/>
      <c r="AF136" s="566"/>
      <c r="AG136" s="566"/>
      <c r="AH136" s="566"/>
      <c r="AI136" s="566"/>
      <c r="AJ136" s="566"/>
      <c r="AK136" s="566"/>
      <c r="AL136" s="566"/>
      <c r="AM136" s="566"/>
      <c r="AN136" s="566"/>
      <c r="AO136" s="566"/>
    </row>
    <row r="137" spans="2:41" x14ac:dyDescent="0.15">
      <c r="B137" s="567">
        <v>3</v>
      </c>
      <c r="C137" s="566">
        <v>0.40559360730593608</v>
      </c>
      <c r="D137" s="56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  <c r="R137" s="566"/>
      <c r="S137" s="566"/>
      <c r="T137" s="566"/>
      <c r="U137" s="566"/>
      <c r="V137" s="566"/>
      <c r="W137" s="566"/>
      <c r="X137" s="566"/>
      <c r="Y137" s="566"/>
      <c r="Z137" s="566"/>
      <c r="AA137" s="566"/>
      <c r="AB137" s="566"/>
      <c r="AC137" s="566"/>
      <c r="AD137" s="566"/>
      <c r="AE137" s="566"/>
      <c r="AF137" s="566"/>
      <c r="AG137" s="566"/>
      <c r="AH137" s="566"/>
      <c r="AI137" s="566"/>
      <c r="AJ137" s="566"/>
      <c r="AK137" s="566"/>
      <c r="AL137" s="566"/>
      <c r="AM137" s="566"/>
      <c r="AN137" s="566"/>
      <c r="AO137" s="566"/>
    </row>
    <row r="138" spans="2:41" x14ac:dyDescent="0.15">
      <c r="B138" s="567">
        <v>4</v>
      </c>
      <c r="C138" s="566">
        <v>0.4534246575342466</v>
      </c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</row>
    <row r="139" spans="2:41" x14ac:dyDescent="0.15">
      <c r="B139" s="567">
        <v>5</v>
      </c>
      <c r="C139" s="566">
        <v>0.49874429223744293</v>
      </c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566"/>
      <c r="Z139" s="566"/>
      <c r="AA139" s="566"/>
      <c r="AB139" s="566"/>
      <c r="AC139" s="566"/>
      <c r="AD139" s="566"/>
      <c r="AE139" s="566"/>
      <c r="AF139" s="566"/>
      <c r="AG139" s="566"/>
      <c r="AH139" s="566"/>
      <c r="AI139" s="566"/>
      <c r="AJ139" s="566"/>
      <c r="AK139" s="566"/>
      <c r="AL139" s="566"/>
      <c r="AM139" s="566"/>
      <c r="AN139" s="566"/>
      <c r="AO139" s="566"/>
    </row>
    <row r="140" spans="2:41" x14ac:dyDescent="0.15">
      <c r="B140" s="567">
        <v>6</v>
      </c>
      <c r="C140" s="566">
        <v>0.51609589041095894</v>
      </c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</row>
    <row r="141" spans="2:41" x14ac:dyDescent="0.15">
      <c r="B141" s="567">
        <v>7</v>
      </c>
      <c r="C141" s="566">
        <v>0.5501141552511416</v>
      </c>
      <c r="D141" s="566"/>
      <c r="E141" s="566"/>
      <c r="F141" s="566"/>
      <c r="G141" s="566"/>
      <c r="H141" s="566"/>
      <c r="I141" s="566"/>
      <c r="J141" s="566"/>
      <c r="K141" s="566"/>
      <c r="L141" s="566"/>
      <c r="M141" s="566"/>
      <c r="N141" s="566"/>
      <c r="O141" s="566"/>
      <c r="P141" s="566"/>
      <c r="Q141" s="566"/>
      <c r="R141" s="566"/>
      <c r="S141" s="566"/>
      <c r="T141" s="566"/>
      <c r="U141" s="566"/>
      <c r="V141" s="566"/>
      <c r="W141" s="566"/>
      <c r="X141" s="566"/>
      <c r="Y141" s="566"/>
      <c r="Z141" s="566"/>
      <c r="AA141" s="566"/>
      <c r="AB141" s="566"/>
      <c r="AC141" s="566"/>
      <c r="AD141" s="566"/>
      <c r="AE141" s="566"/>
      <c r="AF141" s="566"/>
      <c r="AG141" s="566"/>
      <c r="AH141" s="566"/>
      <c r="AI141" s="566"/>
      <c r="AJ141" s="566"/>
      <c r="AK141" s="566"/>
      <c r="AL141" s="566"/>
      <c r="AM141" s="566"/>
      <c r="AN141" s="566"/>
      <c r="AO141" s="566"/>
    </row>
    <row r="142" spans="2:41" x14ac:dyDescent="0.15">
      <c r="B142" s="567">
        <v>8</v>
      </c>
      <c r="C142" s="566">
        <v>0.58858447488584476</v>
      </c>
      <c r="D142" s="56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  <c r="R142" s="566"/>
      <c r="S142" s="566"/>
      <c r="T142" s="566"/>
      <c r="U142" s="566"/>
      <c r="V142" s="566"/>
      <c r="W142" s="566"/>
      <c r="X142" s="566"/>
      <c r="Y142" s="566"/>
      <c r="Z142" s="566"/>
      <c r="AA142" s="566"/>
      <c r="AB142" s="566"/>
      <c r="AC142" s="566"/>
      <c r="AD142" s="566"/>
      <c r="AE142" s="566"/>
      <c r="AF142" s="566"/>
      <c r="AG142" s="566"/>
      <c r="AH142" s="566"/>
      <c r="AI142" s="566"/>
      <c r="AJ142" s="566"/>
      <c r="AK142" s="566"/>
      <c r="AL142" s="566"/>
      <c r="AM142" s="566"/>
      <c r="AN142" s="566"/>
      <c r="AO142" s="566"/>
    </row>
    <row r="143" spans="2:41" x14ac:dyDescent="0.15">
      <c r="B143" s="567">
        <v>9</v>
      </c>
      <c r="C143" s="566">
        <v>0.6205479452054794</v>
      </c>
      <c r="D143" s="566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  <c r="R143" s="566"/>
      <c r="S143" s="566"/>
      <c r="T143" s="566"/>
      <c r="U143" s="566"/>
      <c r="V143" s="566"/>
      <c r="W143" s="566"/>
      <c r="X143" s="566"/>
      <c r="Y143" s="566"/>
      <c r="Z143" s="566"/>
      <c r="AA143" s="566"/>
      <c r="AB143" s="566"/>
      <c r="AC143" s="566"/>
      <c r="AD143" s="566"/>
      <c r="AE143" s="566"/>
      <c r="AF143" s="566"/>
      <c r="AG143" s="566"/>
      <c r="AH143" s="566"/>
      <c r="AI143" s="566"/>
      <c r="AJ143" s="566"/>
      <c r="AK143" s="566"/>
      <c r="AL143" s="566"/>
      <c r="AM143" s="566"/>
      <c r="AN143" s="566"/>
      <c r="AO143" s="566"/>
    </row>
    <row r="144" spans="2:41" x14ac:dyDescent="0.15">
      <c r="B144" s="567">
        <v>10</v>
      </c>
      <c r="C144" s="566">
        <v>0.65936073059360734</v>
      </c>
      <c r="D144" s="566"/>
      <c r="E144" s="566"/>
      <c r="F144" s="566"/>
      <c r="G144" s="566"/>
      <c r="H144" s="566"/>
      <c r="I144" s="566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6"/>
      <c r="Y144" s="566"/>
      <c r="Z144" s="566"/>
      <c r="AA144" s="566"/>
      <c r="AB144" s="566"/>
      <c r="AC144" s="566"/>
      <c r="AD144" s="566"/>
      <c r="AE144" s="566"/>
      <c r="AF144" s="566"/>
      <c r="AG144" s="566"/>
      <c r="AH144" s="566"/>
      <c r="AI144" s="566"/>
      <c r="AJ144" s="566"/>
      <c r="AK144" s="566"/>
      <c r="AL144" s="566"/>
      <c r="AM144" s="566"/>
      <c r="AN144" s="566"/>
      <c r="AO144" s="566"/>
    </row>
    <row r="145" spans="2:41" x14ac:dyDescent="0.15">
      <c r="B145" s="567">
        <v>11</v>
      </c>
      <c r="C145" s="566">
        <v>0.68093607305936077</v>
      </c>
      <c r="D145" s="566"/>
      <c r="E145" s="566"/>
      <c r="F145" s="566"/>
      <c r="G145" s="566"/>
      <c r="H145" s="566"/>
      <c r="I145" s="566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6"/>
      <c r="Y145" s="566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</row>
    <row r="146" spans="2:41" x14ac:dyDescent="0.15">
      <c r="B146" s="567">
        <v>12</v>
      </c>
      <c r="C146" s="566">
        <v>0.71860730593607303</v>
      </c>
      <c r="D146" s="566"/>
      <c r="E146" s="566"/>
      <c r="F146" s="566"/>
      <c r="G146" s="566"/>
      <c r="H146" s="566"/>
      <c r="I146" s="566"/>
      <c r="J146" s="566"/>
      <c r="K146" s="566"/>
      <c r="L146" s="566"/>
      <c r="M146" s="566"/>
      <c r="N146" s="566"/>
      <c r="O146" s="566"/>
      <c r="P146" s="566"/>
      <c r="Q146" s="566"/>
      <c r="R146" s="566"/>
      <c r="S146" s="566"/>
      <c r="T146" s="566"/>
      <c r="U146" s="566"/>
      <c r="V146" s="566"/>
      <c r="W146" s="566"/>
      <c r="X146" s="566"/>
      <c r="Y146" s="566"/>
      <c r="Z146" s="566"/>
      <c r="AA146" s="566"/>
      <c r="AB146" s="566"/>
      <c r="AC146" s="566"/>
      <c r="AD146" s="566"/>
      <c r="AE146" s="566"/>
      <c r="AF146" s="566"/>
      <c r="AG146" s="566"/>
      <c r="AH146" s="566"/>
      <c r="AI146" s="566"/>
      <c r="AJ146" s="566"/>
      <c r="AK146" s="566"/>
      <c r="AL146" s="566"/>
      <c r="AM146" s="566"/>
      <c r="AN146" s="566"/>
      <c r="AO146" s="566"/>
    </row>
    <row r="147" spans="2:41" x14ac:dyDescent="0.15">
      <c r="B147" s="567">
        <v>13</v>
      </c>
      <c r="C147" s="566">
        <v>0.76404109589041092</v>
      </c>
      <c r="D147" s="566"/>
      <c r="E147" s="566"/>
      <c r="F147" s="566"/>
      <c r="G147" s="566"/>
      <c r="H147" s="566"/>
      <c r="I147" s="566"/>
      <c r="J147" s="566"/>
      <c r="K147" s="566"/>
      <c r="L147" s="566"/>
      <c r="M147" s="566"/>
      <c r="N147" s="566"/>
      <c r="O147" s="566"/>
      <c r="P147" s="566"/>
      <c r="Q147" s="566"/>
      <c r="R147" s="566"/>
      <c r="S147" s="566"/>
      <c r="T147" s="566"/>
      <c r="U147" s="566"/>
      <c r="V147" s="566"/>
      <c r="W147" s="566"/>
      <c r="X147" s="566"/>
      <c r="Y147" s="566"/>
      <c r="Z147" s="566"/>
      <c r="AA147" s="566"/>
      <c r="AB147" s="566"/>
      <c r="AC147" s="566"/>
      <c r="AD147" s="566"/>
      <c r="AE147" s="566"/>
      <c r="AF147" s="566"/>
      <c r="AG147" s="566"/>
      <c r="AH147" s="566"/>
      <c r="AI147" s="566"/>
      <c r="AJ147" s="566"/>
      <c r="AK147" s="566"/>
      <c r="AL147" s="566"/>
      <c r="AM147" s="566"/>
      <c r="AN147" s="566"/>
      <c r="AO147" s="566"/>
    </row>
    <row r="148" spans="2:41" x14ac:dyDescent="0.15">
      <c r="B148" s="567">
        <v>14</v>
      </c>
      <c r="C148" s="566">
        <v>0.80936073059360736</v>
      </c>
      <c r="D148" s="566"/>
      <c r="E148" s="566"/>
      <c r="F148" s="566"/>
      <c r="G148" s="566"/>
      <c r="H148" s="566"/>
      <c r="I148" s="566"/>
      <c r="J148" s="566"/>
      <c r="K148" s="566"/>
      <c r="L148" s="566"/>
      <c r="M148" s="566"/>
      <c r="N148" s="566"/>
      <c r="O148" s="566"/>
      <c r="P148" s="566"/>
      <c r="Q148" s="566"/>
      <c r="R148" s="566"/>
      <c r="S148" s="566"/>
      <c r="T148" s="566"/>
      <c r="U148" s="566"/>
      <c r="V148" s="566"/>
      <c r="W148" s="566"/>
      <c r="X148" s="566"/>
      <c r="Y148" s="566"/>
      <c r="Z148" s="566"/>
      <c r="AA148" s="566"/>
      <c r="AB148" s="566"/>
      <c r="AC148" s="566"/>
      <c r="AD148" s="566"/>
      <c r="AE148" s="566"/>
      <c r="AF148" s="566"/>
      <c r="AG148" s="566"/>
      <c r="AH148" s="566"/>
      <c r="AI148" s="566"/>
      <c r="AJ148" s="566"/>
      <c r="AK148" s="566"/>
      <c r="AL148" s="566"/>
      <c r="AM148" s="566"/>
      <c r="AN148" s="566"/>
      <c r="AO148" s="566"/>
    </row>
    <row r="149" spans="2:41" x14ac:dyDescent="0.15">
      <c r="B149" s="567">
        <v>15</v>
      </c>
      <c r="C149" s="566">
        <v>0.84531963470319638</v>
      </c>
      <c r="D149" s="566"/>
      <c r="E149" s="566"/>
      <c r="F149" s="566"/>
      <c r="G149" s="566"/>
      <c r="H149" s="566"/>
      <c r="I149" s="566"/>
      <c r="J149" s="566"/>
      <c r="K149" s="566"/>
      <c r="L149" s="566"/>
      <c r="M149" s="566"/>
      <c r="N149" s="566"/>
      <c r="O149" s="566"/>
      <c r="P149" s="566"/>
      <c r="Q149" s="566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</row>
    <row r="150" spans="2:41" x14ac:dyDescent="0.15">
      <c r="B150" s="567">
        <v>16</v>
      </c>
      <c r="C150" s="566">
        <v>0.86312785388127855</v>
      </c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</row>
    <row r="151" spans="2:41" x14ac:dyDescent="0.15">
      <c r="B151" s="567">
        <v>17</v>
      </c>
      <c r="C151" s="566">
        <v>0.88949771689497714</v>
      </c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</row>
    <row r="152" spans="2:41" x14ac:dyDescent="0.15">
      <c r="B152" s="567">
        <v>18</v>
      </c>
      <c r="C152" s="566">
        <v>0.91461187214611872</v>
      </c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</row>
    <row r="153" spans="2:41" x14ac:dyDescent="0.15">
      <c r="B153" s="567">
        <v>19</v>
      </c>
      <c r="C153" s="566">
        <v>0.93641552511415527</v>
      </c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</row>
    <row r="154" spans="2:41" x14ac:dyDescent="0.15">
      <c r="B154" s="567">
        <v>20</v>
      </c>
      <c r="C154" s="566">
        <v>0.95399543378995433</v>
      </c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</row>
    <row r="155" spans="2:41" x14ac:dyDescent="0.15">
      <c r="B155" s="567">
        <v>21</v>
      </c>
      <c r="C155" s="566">
        <v>0.96107305936073062</v>
      </c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</row>
    <row r="156" spans="2:41" x14ac:dyDescent="0.15">
      <c r="B156" s="567">
        <v>22</v>
      </c>
      <c r="C156" s="566">
        <v>0.97305936073059363</v>
      </c>
      <c r="D156" s="566"/>
      <c r="E156" s="566"/>
      <c r="F156" s="566"/>
      <c r="G156" s="566"/>
      <c r="H156" s="566"/>
      <c r="I156" s="566"/>
      <c r="J156" s="566"/>
      <c r="K156" s="566"/>
      <c r="L156" s="566"/>
      <c r="M156" s="566"/>
      <c r="N156" s="566"/>
      <c r="O156" s="566"/>
      <c r="P156" s="566"/>
      <c r="Q156" s="566"/>
      <c r="R156" s="566"/>
      <c r="S156" s="566"/>
      <c r="T156" s="566"/>
      <c r="U156" s="566"/>
      <c r="V156" s="566"/>
      <c r="W156" s="566"/>
      <c r="X156" s="566"/>
      <c r="Y156" s="566"/>
      <c r="Z156" s="566"/>
      <c r="AA156" s="566"/>
      <c r="AB156" s="566"/>
      <c r="AC156" s="566"/>
      <c r="AD156" s="566"/>
      <c r="AE156" s="566"/>
      <c r="AF156" s="566"/>
      <c r="AG156" s="566"/>
      <c r="AH156" s="566"/>
      <c r="AI156" s="566"/>
      <c r="AJ156" s="566"/>
      <c r="AK156" s="566"/>
      <c r="AL156" s="566"/>
      <c r="AM156" s="566"/>
      <c r="AN156" s="566"/>
      <c r="AO156" s="566"/>
    </row>
    <row r="157" spans="2:41" x14ac:dyDescent="0.15">
      <c r="B157" s="567">
        <v>23</v>
      </c>
      <c r="C157" s="566">
        <v>0.98264840182648405</v>
      </c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</row>
    <row r="158" spans="2:41" x14ac:dyDescent="0.15">
      <c r="B158" s="567">
        <v>24</v>
      </c>
      <c r="C158" s="566">
        <v>0.99041095890410957</v>
      </c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  <c r="P158" s="566"/>
      <c r="Q158" s="566"/>
      <c r="R158" s="566"/>
      <c r="S158" s="566"/>
      <c r="T158" s="566"/>
      <c r="U158" s="566"/>
      <c r="V158" s="566"/>
      <c r="W158" s="566"/>
      <c r="X158" s="566"/>
      <c r="Y158" s="566"/>
      <c r="Z158" s="566"/>
      <c r="AA158" s="566"/>
      <c r="AB158" s="566"/>
      <c r="AC158" s="566"/>
      <c r="AD158" s="566"/>
      <c r="AE158" s="566"/>
      <c r="AF158" s="566"/>
      <c r="AG158" s="566"/>
      <c r="AH158" s="566"/>
      <c r="AI158" s="566"/>
      <c r="AJ158" s="566"/>
      <c r="AK158" s="566"/>
      <c r="AL158" s="566"/>
      <c r="AM158" s="566"/>
      <c r="AN158" s="566"/>
      <c r="AO158" s="566"/>
    </row>
    <row r="159" spans="2:41" x14ac:dyDescent="0.15">
      <c r="B159" s="567">
        <v>25</v>
      </c>
      <c r="C159" s="566">
        <v>0.99566210045662096</v>
      </c>
      <c r="D159" s="566"/>
      <c r="E159" s="566"/>
      <c r="F159" s="566"/>
      <c r="G159" s="566"/>
      <c r="H159" s="566"/>
      <c r="I159" s="566"/>
      <c r="J159" s="566"/>
      <c r="K159" s="566"/>
      <c r="L159" s="566"/>
      <c r="M159" s="566"/>
      <c r="N159" s="566"/>
      <c r="O159" s="566"/>
      <c r="P159" s="566"/>
      <c r="Q159" s="566"/>
      <c r="R159" s="566"/>
      <c r="S159" s="566"/>
      <c r="T159" s="566"/>
      <c r="U159" s="566"/>
      <c r="V159" s="566"/>
      <c r="W159" s="566"/>
      <c r="X159" s="566"/>
      <c r="Y159" s="566"/>
      <c r="Z159" s="566"/>
      <c r="AA159" s="566"/>
      <c r="AB159" s="566"/>
      <c r="AC159" s="566"/>
      <c r="AD159" s="566"/>
      <c r="AE159" s="566"/>
      <c r="AF159" s="566"/>
      <c r="AG159" s="566"/>
      <c r="AH159" s="566"/>
      <c r="AI159" s="566"/>
      <c r="AJ159" s="566"/>
      <c r="AK159" s="566"/>
      <c r="AL159" s="566"/>
      <c r="AM159" s="566"/>
      <c r="AN159" s="566"/>
      <c r="AO159" s="566"/>
    </row>
    <row r="160" spans="2:41" x14ac:dyDescent="0.15">
      <c r="B160" s="567">
        <v>26</v>
      </c>
      <c r="C160" s="566">
        <v>0.9981735159817352</v>
      </c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</row>
    <row r="161" spans="2:41" x14ac:dyDescent="0.15">
      <c r="B161" s="567">
        <v>27</v>
      </c>
      <c r="C161" s="566">
        <v>0.9992009132420091</v>
      </c>
      <c r="D161" s="566"/>
      <c r="E161" s="566"/>
      <c r="F161" s="566"/>
      <c r="G161" s="566"/>
      <c r="H161" s="566"/>
      <c r="I161" s="566"/>
      <c r="J161" s="566"/>
      <c r="K161" s="566"/>
      <c r="L161" s="566"/>
      <c r="M161" s="566"/>
      <c r="N161" s="566"/>
      <c r="O161" s="566"/>
      <c r="P161" s="566"/>
      <c r="Q161" s="566"/>
      <c r="R161" s="566"/>
      <c r="S161" s="566"/>
      <c r="T161" s="566"/>
      <c r="U161" s="566"/>
      <c r="V161" s="566"/>
      <c r="W161" s="566"/>
      <c r="X161" s="566"/>
      <c r="Y161" s="566"/>
      <c r="Z161" s="566"/>
      <c r="AA161" s="566"/>
      <c r="AB161" s="566"/>
      <c r="AC161" s="566"/>
      <c r="AD161" s="566"/>
      <c r="AE161" s="566"/>
      <c r="AF161" s="566"/>
      <c r="AG161" s="566"/>
      <c r="AH161" s="566"/>
      <c r="AI161" s="566"/>
      <c r="AJ161" s="566"/>
      <c r="AK161" s="566"/>
      <c r="AL161" s="566"/>
      <c r="AM161" s="566"/>
      <c r="AN161" s="566"/>
      <c r="AO161" s="566"/>
    </row>
    <row r="162" spans="2:41" x14ac:dyDescent="0.15">
      <c r="B162" s="567">
        <v>28</v>
      </c>
      <c r="C162" s="566">
        <v>1</v>
      </c>
      <c r="D162" s="566"/>
      <c r="E162" s="566"/>
      <c r="F162" s="566"/>
      <c r="G162" s="566"/>
      <c r="H162" s="566"/>
      <c r="I162" s="566"/>
      <c r="J162" s="566"/>
      <c r="K162" s="566"/>
      <c r="L162" s="566"/>
      <c r="M162" s="566"/>
      <c r="N162" s="566"/>
      <c r="O162" s="566"/>
      <c r="P162" s="566"/>
      <c r="Q162" s="566"/>
      <c r="R162" s="566"/>
      <c r="S162" s="566"/>
      <c r="T162" s="566"/>
      <c r="U162" s="566"/>
      <c r="V162" s="566"/>
      <c r="W162" s="566"/>
      <c r="X162" s="566"/>
      <c r="Y162" s="566"/>
      <c r="Z162" s="566"/>
      <c r="AA162" s="566"/>
      <c r="AB162" s="566"/>
      <c r="AC162" s="566"/>
      <c r="AD162" s="566"/>
      <c r="AE162" s="566"/>
      <c r="AF162" s="566"/>
      <c r="AG162" s="566"/>
      <c r="AH162" s="566"/>
      <c r="AI162" s="566"/>
      <c r="AJ162" s="566"/>
      <c r="AK162" s="566"/>
      <c r="AL162" s="566"/>
      <c r="AM162" s="566"/>
      <c r="AN162" s="566"/>
      <c r="AO162" s="566"/>
    </row>
    <row r="163" spans="2:41" x14ac:dyDescent="0.15">
      <c r="B163" s="567">
        <v>29</v>
      </c>
      <c r="C163" s="566">
        <v>1</v>
      </c>
      <c r="D163" s="566"/>
      <c r="E163" s="566"/>
      <c r="F163" s="566"/>
      <c r="G163" s="566"/>
      <c r="H163" s="566"/>
      <c r="I163" s="566"/>
      <c r="J163" s="566"/>
      <c r="K163" s="566"/>
      <c r="L163" s="566"/>
      <c r="M163" s="566"/>
      <c r="N163" s="566"/>
      <c r="O163" s="566"/>
      <c r="P163" s="566"/>
      <c r="Q163" s="566"/>
      <c r="R163" s="566"/>
      <c r="S163" s="566"/>
      <c r="T163" s="566"/>
      <c r="U163" s="566"/>
      <c r="V163" s="566"/>
      <c r="W163" s="566"/>
      <c r="X163" s="566"/>
      <c r="Y163" s="566"/>
      <c r="Z163" s="566"/>
      <c r="AA163" s="566"/>
      <c r="AB163" s="566"/>
      <c r="AC163" s="566"/>
      <c r="AD163" s="566"/>
      <c r="AE163" s="566"/>
      <c r="AF163" s="566"/>
      <c r="AG163" s="566"/>
      <c r="AH163" s="566"/>
      <c r="AI163" s="566"/>
      <c r="AJ163" s="566"/>
      <c r="AK163" s="566"/>
      <c r="AL163" s="566"/>
      <c r="AM163" s="566"/>
      <c r="AN163" s="566"/>
      <c r="AO163" s="566"/>
    </row>
    <row r="164" spans="2:41" x14ac:dyDescent="0.15">
      <c r="B164" s="567">
        <v>30</v>
      </c>
      <c r="C164" s="566">
        <v>1</v>
      </c>
      <c r="D164" s="566"/>
      <c r="E164" s="566"/>
      <c r="F164" s="566"/>
      <c r="G164" s="566"/>
      <c r="H164" s="566"/>
      <c r="I164" s="566"/>
      <c r="J164" s="566"/>
      <c r="K164" s="566"/>
      <c r="L164" s="566"/>
      <c r="M164" s="566"/>
      <c r="N164" s="566"/>
      <c r="O164" s="566"/>
      <c r="P164" s="566"/>
      <c r="Q164" s="566"/>
      <c r="R164" s="566"/>
      <c r="S164" s="566"/>
      <c r="T164" s="566"/>
      <c r="U164" s="566"/>
      <c r="V164" s="566"/>
      <c r="W164" s="566"/>
      <c r="X164" s="566"/>
      <c r="Y164" s="566"/>
      <c r="Z164" s="566"/>
      <c r="AA164" s="566"/>
      <c r="AB164" s="566"/>
      <c r="AC164" s="566"/>
      <c r="AD164" s="566"/>
      <c r="AE164" s="566"/>
      <c r="AF164" s="566"/>
      <c r="AG164" s="566"/>
      <c r="AH164" s="566"/>
      <c r="AI164" s="566"/>
      <c r="AJ164" s="566"/>
      <c r="AK164" s="566"/>
      <c r="AL164" s="566"/>
      <c r="AM164" s="566"/>
      <c r="AN164" s="566"/>
      <c r="AO164" s="566"/>
    </row>
    <row r="165" spans="2:41" x14ac:dyDescent="0.15">
      <c r="B165" s="567">
        <v>31</v>
      </c>
      <c r="C165" s="566">
        <v>1</v>
      </c>
      <c r="D165" s="566"/>
      <c r="E165" s="566"/>
      <c r="F165" s="566"/>
      <c r="G165" s="566"/>
      <c r="H165" s="566"/>
      <c r="I165" s="566"/>
      <c r="J165" s="566"/>
      <c r="K165" s="566"/>
      <c r="L165" s="566"/>
      <c r="M165" s="566"/>
      <c r="N165" s="566"/>
      <c r="O165" s="566"/>
      <c r="P165" s="566"/>
      <c r="Q165" s="566"/>
      <c r="R165" s="566"/>
      <c r="S165" s="566"/>
      <c r="T165" s="566"/>
      <c r="U165" s="566"/>
      <c r="V165" s="566"/>
      <c r="W165" s="566"/>
      <c r="X165" s="566"/>
      <c r="Y165" s="566"/>
      <c r="Z165" s="566"/>
      <c r="AA165" s="566"/>
      <c r="AB165" s="566"/>
      <c r="AC165" s="566"/>
      <c r="AD165" s="566"/>
      <c r="AE165" s="566"/>
      <c r="AF165" s="566"/>
      <c r="AG165" s="566"/>
      <c r="AH165" s="566"/>
      <c r="AI165" s="566"/>
      <c r="AJ165" s="566"/>
      <c r="AK165" s="566"/>
      <c r="AL165" s="566"/>
      <c r="AM165" s="566"/>
      <c r="AN165" s="566"/>
      <c r="AO165" s="566"/>
    </row>
    <row r="166" spans="2:41" x14ac:dyDescent="0.15">
      <c r="B166" s="567">
        <v>32</v>
      </c>
      <c r="C166" s="566">
        <v>1</v>
      </c>
      <c r="D166" s="566"/>
      <c r="E166" s="566"/>
      <c r="F166" s="566"/>
      <c r="G166" s="566"/>
      <c r="H166" s="566"/>
      <c r="I166" s="566"/>
      <c r="J166" s="566"/>
      <c r="K166" s="566"/>
      <c r="L166" s="566"/>
      <c r="M166" s="566"/>
      <c r="N166" s="566"/>
      <c r="O166" s="566"/>
      <c r="P166" s="566"/>
      <c r="Q166" s="566"/>
      <c r="R166" s="566"/>
      <c r="S166" s="566"/>
      <c r="T166" s="566"/>
      <c r="U166" s="566"/>
      <c r="V166" s="566"/>
      <c r="W166" s="566"/>
      <c r="X166" s="566"/>
      <c r="Y166" s="566"/>
      <c r="Z166" s="566"/>
      <c r="AA166" s="566"/>
      <c r="AB166" s="566"/>
      <c r="AC166" s="566"/>
      <c r="AD166" s="566"/>
      <c r="AE166" s="566"/>
      <c r="AF166" s="566"/>
      <c r="AG166" s="566"/>
      <c r="AH166" s="566"/>
      <c r="AI166" s="566"/>
      <c r="AJ166" s="566"/>
      <c r="AK166" s="566"/>
      <c r="AL166" s="566"/>
      <c r="AM166" s="566"/>
      <c r="AN166" s="566"/>
      <c r="AO166" s="566"/>
    </row>
    <row r="167" spans="2:41" x14ac:dyDescent="0.15">
      <c r="B167" s="567">
        <v>33</v>
      </c>
      <c r="C167" s="566">
        <v>1</v>
      </c>
      <c r="D167" s="566"/>
      <c r="E167" s="566"/>
      <c r="F167" s="566"/>
      <c r="G167" s="566"/>
      <c r="H167" s="566"/>
      <c r="I167" s="566"/>
      <c r="J167" s="566"/>
      <c r="K167" s="566"/>
      <c r="L167" s="566"/>
      <c r="M167" s="566"/>
      <c r="N167" s="566"/>
      <c r="O167" s="566"/>
      <c r="P167" s="566"/>
      <c r="Q167" s="566"/>
      <c r="R167" s="566"/>
      <c r="S167" s="566"/>
      <c r="T167" s="566"/>
      <c r="U167" s="566"/>
      <c r="V167" s="566"/>
      <c r="W167" s="566"/>
      <c r="X167" s="566"/>
      <c r="Y167" s="566"/>
      <c r="Z167" s="566"/>
      <c r="AA167" s="566"/>
      <c r="AB167" s="566"/>
      <c r="AC167" s="566"/>
      <c r="AD167" s="566"/>
      <c r="AE167" s="566"/>
      <c r="AF167" s="566"/>
      <c r="AG167" s="566"/>
      <c r="AH167" s="566"/>
      <c r="AI167" s="566"/>
      <c r="AJ167" s="566"/>
      <c r="AK167" s="566"/>
      <c r="AL167" s="566"/>
      <c r="AM167" s="566"/>
      <c r="AN167" s="566"/>
      <c r="AO167" s="566"/>
    </row>
    <row r="168" spans="2:41" x14ac:dyDescent="0.15">
      <c r="B168" s="567">
        <v>34</v>
      </c>
      <c r="C168" s="566">
        <v>1</v>
      </c>
      <c r="D168" s="566"/>
      <c r="E168" s="566"/>
      <c r="F168" s="566"/>
      <c r="G168" s="566"/>
      <c r="H168" s="566"/>
      <c r="I168" s="566"/>
      <c r="J168" s="566"/>
      <c r="K168" s="566"/>
      <c r="L168" s="566"/>
      <c r="M168" s="566"/>
      <c r="N168" s="566"/>
      <c r="O168" s="566"/>
      <c r="P168" s="566"/>
      <c r="Q168" s="566"/>
      <c r="R168" s="566"/>
      <c r="S168" s="566"/>
      <c r="T168" s="566"/>
      <c r="U168" s="566"/>
      <c r="V168" s="566"/>
      <c r="W168" s="566"/>
      <c r="X168" s="566"/>
      <c r="Y168" s="566"/>
      <c r="Z168" s="566"/>
      <c r="AA168" s="566"/>
      <c r="AB168" s="566"/>
      <c r="AC168" s="566"/>
      <c r="AD168" s="566"/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</row>
    <row r="169" spans="2:41" x14ac:dyDescent="0.15">
      <c r="B169" s="567">
        <v>35</v>
      </c>
      <c r="C169" s="566">
        <v>1</v>
      </c>
      <c r="D169" s="566"/>
      <c r="E169" s="566"/>
      <c r="F169" s="566"/>
      <c r="G169" s="566"/>
      <c r="H169" s="566"/>
      <c r="I169" s="566"/>
      <c r="J169" s="566"/>
      <c r="K169" s="566"/>
      <c r="L169" s="566"/>
      <c r="M169" s="566"/>
      <c r="N169" s="566"/>
      <c r="O169" s="566"/>
      <c r="P169" s="566"/>
      <c r="Q169" s="566"/>
      <c r="R169" s="566"/>
      <c r="S169" s="566"/>
      <c r="T169" s="566"/>
      <c r="U169" s="566"/>
      <c r="V169" s="566"/>
      <c r="W169" s="566"/>
      <c r="X169" s="566"/>
      <c r="Y169" s="566"/>
      <c r="Z169" s="566"/>
      <c r="AA169" s="566"/>
      <c r="AB169" s="566"/>
      <c r="AC169" s="566"/>
      <c r="AD169" s="566"/>
      <c r="AE169" s="566"/>
      <c r="AF169" s="566"/>
      <c r="AG169" s="566"/>
      <c r="AH169" s="566"/>
      <c r="AI169" s="566"/>
      <c r="AJ169" s="566"/>
      <c r="AK169" s="566"/>
      <c r="AL169" s="566"/>
      <c r="AM169" s="566"/>
      <c r="AN169" s="566"/>
      <c r="AO169" s="566"/>
    </row>
    <row r="170" spans="2:41" x14ac:dyDescent="0.15">
      <c r="B170" s="567">
        <v>36</v>
      </c>
      <c r="C170" s="566">
        <v>1</v>
      </c>
      <c r="D170" s="566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  <c r="R170" s="566"/>
      <c r="S170" s="566"/>
      <c r="T170" s="566"/>
      <c r="U170" s="566"/>
      <c r="V170" s="566"/>
      <c r="W170" s="566"/>
      <c r="X170" s="566"/>
      <c r="Y170" s="566"/>
      <c r="Z170" s="566"/>
      <c r="AA170" s="566"/>
      <c r="AB170" s="566"/>
      <c r="AC170" s="566"/>
      <c r="AD170" s="566"/>
      <c r="AE170" s="566"/>
      <c r="AF170" s="566"/>
      <c r="AG170" s="566"/>
      <c r="AH170" s="566"/>
      <c r="AI170" s="566"/>
      <c r="AJ170" s="566"/>
      <c r="AK170" s="566"/>
      <c r="AL170" s="566"/>
      <c r="AM170" s="566"/>
      <c r="AN170" s="566"/>
      <c r="AO170" s="566"/>
    </row>
    <row r="171" spans="2:41" x14ac:dyDescent="0.15">
      <c r="B171" s="567">
        <v>37</v>
      </c>
      <c r="C171" s="566">
        <v>1</v>
      </c>
      <c r="D171" s="566"/>
      <c r="E171" s="566"/>
      <c r="F171" s="566"/>
      <c r="G171" s="566"/>
      <c r="H171" s="566"/>
      <c r="I171" s="566"/>
      <c r="J171" s="566"/>
      <c r="K171" s="566"/>
      <c r="L171" s="566"/>
      <c r="M171" s="566"/>
      <c r="N171" s="566"/>
      <c r="O171" s="566"/>
      <c r="P171" s="566"/>
      <c r="Q171" s="566"/>
      <c r="R171" s="566"/>
      <c r="S171" s="566"/>
      <c r="T171" s="566"/>
      <c r="U171" s="566"/>
      <c r="V171" s="566"/>
      <c r="W171" s="566"/>
      <c r="X171" s="566"/>
      <c r="Y171" s="566"/>
      <c r="Z171" s="566"/>
      <c r="AA171" s="566"/>
      <c r="AB171" s="566"/>
      <c r="AC171" s="566"/>
      <c r="AD171" s="566"/>
      <c r="AE171" s="566"/>
      <c r="AF171" s="566"/>
      <c r="AG171" s="566"/>
      <c r="AH171" s="566"/>
      <c r="AI171" s="566"/>
      <c r="AJ171" s="566"/>
      <c r="AK171" s="566"/>
      <c r="AL171" s="566"/>
      <c r="AM171" s="566"/>
      <c r="AN171" s="566"/>
      <c r="AO171" s="566"/>
    </row>
    <row r="172" spans="2:41" x14ac:dyDescent="0.15">
      <c r="B172" s="567">
        <v>38</v>
      </c>
      <c r="C172" s="566">
        <v>1</v>
      </c>
      <c r="D172" s="566"/>
      <c r="E172" s="566"/>
      <c r="F172" s="566"/>
      <c r="G172" s="56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  <c r="R172" s="566"/>
      <c r="S172" s="566"/>
      <c r="T172" s="566"/>
      <c r="U172" s="566"/>
      <c r="V172" s="566"/>
      <c r="W172" s="566"/>
      <c r="X172" s="566"/>
      <c r="Y172" s="566"/>
      <c r="Z172" s="566"/>
      <c r="AA172" s="566"/>
      <c r="AB172" s="566"/>
      <c r="AC172" s="566"/>
      <c r="AD172" s="566"/>
      <c r="AE172" s="566"/>
      <c r="AF172" s="566"/>
      <c r="AG172" s="566"/>
      <c r="AH172" s="566"/>
      <c r="AI172" s="566"/>
      <c r="AJ172" s="566"/>
      <c r="AK172" s="566"/>
      <c r="AL172" s="566"/>
      <c r="AM172" s="566"/>
      <c r="AN172" s="566"/>
      <c r="AO172" s="566"/>
    </row>
    <row r="173" spans="2:41" x14ac:dyDescent="0.15">
      <c r="B173" s="567">
        <v>39</v>
      </c>
      <c r="C173" s="566">
        <v>1</v>
      </c>
      <c r="D173" s="566"/>
      <c r="E173" s="566"/>
      <c r="F173" s="566"/>
      <c r="G173" s="566"/>
      <c r="H173" s="566"/>
      <c r="I173" s="566"/>
      <c r="J173" s="566"/>
      <c r="K173" s="566"/>
      <c r="L173" s="566"/>
      <c r="M173" s="566"/>
      <c r="N173" s="566"/>
      <c r="O173" s="566"/>
      <c r="P173" s="566"/>
      <c r="Q173" s="566"/>
      <c r="R173" s="566"/>
      <c r="S173" s="566"/>
      <c r="T173" s="566"/>
      <c r="U173" s="566"/>
      <c r="V173" s="566"/>
      <c r="W173" s="566"/>
      <c r="X173" s="566"/>
      <c r="Y173" s="566"/>
      <c r="Z173" s="566"/>
      <c r="AA173" s="566"/>
      <c r="AB173" s="566"/>
      <c r="AC173" s="566"/>
      <c r="AD173" s="566"/>
      <c r="AE173" s="566"/>
      <c r="AF173" s="566"/>
      <c r="AG173" s="566"/>
      <c r="AH173" s="566"/>
      <c r="AI173" s="566"/>
      <c r="AJ173" s="566"/>
      <c r="AK173" s="566"/>
      <c r="AL173" s="566"/>
      <c r="AM173" s="566"/>
      <c r="AN173" s="566"/>
      <c r="AO173" s="566"/>
    </row>
    <row r="174" spans="2:41" x14ac:dyDescent="0.15">
      <c r="B174" s="568">
        <v>40</v>
      </c>
      <c r="C174" s="566">
        <v>1</v>
      </c>
      <c r="D174" s="566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  <c r="R174" s="566"/>
      <c r="S174" s="566"/>
      <c r="T174" s="566"/>
      <c r="U174" s="566"/>
      <c r="V174" s="566"/>
      <c r="W174" s="566"/>
      <c r="X174" s="566"/>
      <c r="Y174" s="566"/>
      <c r="Z174" s="566"/>
      <c r="AA174" s="566"/>
      <c r="AB174" s="566"/>
      <c r="AC174" s="566"/>
      <c r="AD174" s="566"/>
      <c r="AE174" s="566"/>
      <c r="AF174" s="566"/>
      <c r="AG174" s="566"/>
      <c r="AH174" s="566"/>
      <c r="AI174" s="566"/>
      <c r="AJ174" s="566"/>
      <c r="AK174" s="566"/>
      <c r="AL174" s="566"/>
      <c r="AM174" s="566"/>
      <c r="AN174" s="566"/>
      <c r="AO174" s="566"/>
    </row>
    <row r="183" spans="2:41" s="563" customFormat="1" ht="14" x14ac:dyDescent="0.15">
      <c r="B183" s="560" t="str" cm="1">
        <f t="array" ref="B183:AO183">TRANSPOSE('Syötä kaupungit KIRJASTOLINKIT!'!$D$1:$D$40)</f>
        <v>MAA 3</v>
      </c>
      <c r="C183" s="564" t="str">
        <v>Göteborg</v>
      </c>
      <c r="D183" s="564">
        <v>0</v>
      </c>
      <c r="E183" s="564">
        <v>0</v>
      </c>
      <c r="F183" s="564">
        <v>0</v>
      </c>
      <c r="G183" s="564">
        <v>0</v>
      </c>
      <c r="H183" s="564">
        <v>0</v>
      </c>
      <c r="I183" s="564">
        <v>0</v>
      </c>
      <c r="J183" s="564">
        <v>0</v>
      </c>
      <c r="K183" s="564">
        <v>0</v>
      </c>
      <c r="L183" s="564">
        <v>0</v>
      </c>
      <c r="M183" s="564">
        <v>0</v>
      </c>
      <c r="N183" s="564">
        <v>0</v>
      </c>
      <c r="O183" s="564">
        <v>0</v>
      </c>
      <c r="P183" s="564">
        <v>0</v>
      </c>
      <c r="Q183" s="564">
        <v>0</v>
      </c>
      <c r="R183" s="564">
        <v>0</v>
      </c>
      <c r="S183" s="564">
        <v>0</v>
      </c>
      <c r="T183" s="564">
        <v>0</v>
      </c>
      <c r="U183" s="564">
        <v>0</v>
      </c>
      <c r="V183" s="564">
        <v>0</v>
      </c>
      <c r="W183" s="564">
        <v>0</v>
      </c>
      <c r="X183" s="564">
        <v>0</v>
      </c>
      <c r="Y183" s="564">
        <v>0</v>
      </c>
      <c r="Z183" s="564">
        <v>0</v>
      </c>
      <c r="AA183" s="564">
        <v>0</v>
      </c>
      <c r="AB183" s="564">
        <v>0</v>
      </c>
      <c r="AC183" s="564">
        <v>0</v>
      </c>
      <c r="AD183" s="564">
        <v>0</v>
      </c>
      <c r="AE183" s="564">
        <v>0</v>
      </c>
      <c r="AF183" s="564">
        <v>0</v>
      </c>
      <c r="AG183" s="564">
        <v>0</v>
      </c>
      <c r="AH183" s="564">
        <v>0</v>
      </c>
      <c r="AI183" s="564">
        <v>0</v>
      </c>
      <c r="AJ183" s="564">
        <v>0</v>
      </c>
      <c r="AK183" s="564">
        <v>0</v>
      </c>
      <c r="AL183" s="564">
        <v>0</v>
      </c>
      <c r="AM183" s="564">
        <v>0</v>
      </c>
      <c r="AN183" s="564">
        <v>0</v>
      </c>
      <c r="AO183" s="564">
        <v>0</v>
      </c>
    </row>
    <row r="184" spans="2:41" x14ac:dyDescent="0.15">
      <c r="B184" s="565">
        <v>-40</v>
      </c>
      <c r="C184" s="566">
        <v>0</v>
      </c>
      <c r="D184" s="566"/>
      <c r="E184" s="566"/>
      <c r="F184" s="566"/>
      <c r="G184" s="566"/>
      <c r="H184" s="566"/>
      <c r="I184" s="566"/>
      <c r="J184" s="566"/>
      <c r="K184" s="566"/>
      <c r="L184" s="566"/>
      <c r="M184" s="566"/>
      <c r="N184" s="566"/>
      <c r="O184" s="566"/>
      <c r="P184" s="566"/>
      <c r="Q184" s="566"/>
      <c r="R184" s="566"/>
      <c r="S184" s="566"/>
      <c r="T184" s="566"/>
      <c r="U184" s="566"/>
      <c r="V184" s="566"/>
      <c r="W184" s="566"/>
      <c r="X184" s="566"/>
      <c r="Y184" s="566"/>
      <c r="Z184" s="566"/>
      <c r="AA184" s="566"/>
      <c r="AB184" s="566"/>
      <c r="AC184" s="566"/>
      <c r="AD184" s="566"/>
      <c r="AE184" s="566"/>
      <c r="AF184" s="566"/>
      <c r="AG184" s="566"/>
      <c r="AH184" s="566"/>
      <c r="AI184" s="566"/>
      <c r="AJ184" s="566"/>
      <c r="AK184" s="566"/>
      <c r="AL184" s="566"/>
      <c r="AM184" s="566"/>
      <c r="AN184" s="566"/>
      <c r="AO184" s="566"/>
    </row>
    <row r="185" spans="2:41" x14ac:dyDescent="0.15">
      <c r="B185" s="567">
        <v>-39</v>
      </c>
      <c r="C185" s="566">
        <v>0</v>
      </c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566"/>
      <c r="S185" s="566"/>
      <c r="T185" s="566"/>
      <c r="U185" s="566"/>
      <c r="V185" s="566"/>
      <c r="W185" s="566"/>
      <c r="X185" s="566"/>
      <c r="Y185" s="566"/>
      <c r="Z185" s="566"/>
      <c r="AA185" s="566"/>
      <c r="AB185" s="566"/>
      <c r="AC185" s="566"/>
      <c r="AD185" s="566"/>
      <c r="AE185" s="566"/>
      <c r="AF185" s="566"/>
      <c r="AG185" s="566"/>
      <c r="AH185" s="566"/>
      <c r="AI185" s="566"/>
      <c r="AJ185" s="566"/>
      <c r="AK185" s="566"/>
      <c r="AL185" s="566"/>
      <c r="AM185" s="566"/>
      <c r="AN185" s="566"/>
      <c r="AO185" s="566"/>
    </row>
    <row r="186" spans="2:41" x14ac:dyDescent="0.15">
      <c r="B186" s="567">
        <v>-38</v>
      </c>
      <c r="C186" s="566">
        <v>0</v>
      </c>
      <c r="D186" s="566"/>
      <c r="E186" s="566"/>
      <c r="F186" s="566"/>
      <c r="G186" s="566"/>
      <c r="H186" s="566"/>
      <c r="I186" s="566"/>
      <c r="J186" s="566"/>
      <c r="K186" s="566"/>
      <c r="L186" s="566"/>
      <c r="M186" s="566"/>
      <c r="N186" s="566"/>
      <c r="O186" s="566"/>
      <c r="P186" s="566"/>
      <c r="Q186" s="566"/>
      <c r="R186" s="566"/>
      <c r="S186" s="566"/>
      <c r="T186" s="566"/>
      <c r="U186" s="566"/>
      <c r="V186" s="566"/>
      <c r="W186" s="566"/>
      <c r="X186" s="566"/>
      <c r="Y186" s="566"/>
      <c r="Z186" s="566"/>
      <c r="AA186" s="566"/>
      <c r="AB186" s="566"/>
      <c r="AC186" s="566"/>
      <c r="AD186" s="566"/>
      <c r="AE186" s="566"/>
      <c r="AF186" s="566"/>
      <c r="AG186" s="566"/>
      <c r="AH186" s="566"/>
      <c r="AI186" s="566"/>
      <c r="AJ186" s="566"/>
      <c r="AK186" s="566"/>
      <c r="AL186" s="566"/>
      <c r="AM186" s="566"/>
      <c r="AN186" s="566"/>
      <c r="AO186" s="566"/>
    </row>
    <row r="187" spans="2:41" x14ac:dyDescent="0.15">
      <c r="B187" s="567">
        <v>-37</v>
      </c>
      <c r="C187" s="566">
        <v>0</v>
      </c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</row>
    <row r="188" spans="2:41" x14ac:dyDescent="0.15">
      <c r="B188" s="567">
        <v>-36</v>
      </c>
      <c r="C188" s="566">
        <v>0</v>
      </c>
      <c r="D188" s="566"/>
      <c r="E188" s="566"/>
      <c r="F188" s="566"/>
      <c r="G188" s="566"/>
      <c r="H188" s="566"/>
      <c r="I188" s="566"/>
      <c r="J188" s="566"/>
      <c r="K188" s="566"/>
      <c r="L188" s="566"/>
      <c r="M188" s="566"/>
      <c r="N188" s="566"/>
      <c r="O188" s="566"/>
      <c r="P188" s="566"/>
      <c r="Q188" s="566"/>
      <c r="R188" s="566"/>
      <c r="S188" s="566"/>
      <c r="T188" s="566"/>
      <c r="U188" s="566"/>
      <c r="V188" s="566"/>
      <c r="W188" s="566"/>
      <c r="X188" s="566"/>
      <c r="Y188" s="566"/>
      <c r="Z188" s="566"/>
      <c r="AA188" s="566"/>
      <c r="AB188" s="566"/>
      <c r="AC188" s="566"/>
      <c r="AD188" s="566"/>
      <c r="AE188" s="566"/>
      <c r="AF188" s="566"/>
      <c r="AG188" s="566"/>
      <c r="AH188" s="566"/>
      <c r="AI188" s="566"/>
      <c r="AJ188" s="566"/>
      <c r="AK188" s="566"/>
      <c r="AL188" s="566"/>
      <c r="AM188" s="566"/>
      <c r="AN188" s="566"/>
      <c r="AO188" s="566"/>
    </row>
    <row r="189" spans="2:41" x14ac:dyDescent="0.15">
      <c r="B189" s="567">
        <v>-35</v>
      </c>
      <c r="C189" s="566">
        <v>0</v>
      </c>
      <c r="D189" s="566"/>
      <c r="E189" s="566"/>
      <c r="F189" s="566"/>
      <c r="G189" s="566"/>
      <c r="H189" s="566"/>
      <c r="I189" s="566"/>
      <c r="J189" s="566"/>
      <c r="K189" s="566"/>
      <c r="L189" s="566"/>
      <c r="M189" s="566"/>
      <c r="N189" s="566"/>
      <c r="O189" s="566"/>
      <c r="P189" s="566"/>
      <c r="Q189" s="566"/>
      <c r="R189" s="566"/>
      <c r="S189" s="566"/>
      <c r="T189" s="566"/>
      <c r="U189" s="566"/>
      <c r="V189" s="566"/>
      <c r="W189" s="566"/>
      <c r="X189" s="566"/>
      <c r="Y189" s="566"/>
      <c r="Z189" s="566"/>
      <c r="AA189" s="566"/>
      <c r="AB189" s="566"/>
      <c r="AC189" s="566"/>
      <c r="AD189" s="566"/>
      <c r="AE189" s="566"/>
      <c r="AF189" s="566"/>
      <c r="AG189" s="566"/>
      <c r="AH189" s="566"/>
      <c r="AI189" s="566"/>
      <c r="AJ189" s="566"/>
      <c r="AK189" s="566"/>
      <c r="AL189" s="566"/>
      <c r="AM189" s="566"/>
      <c r="AN189" s="566"/>
      <c r="AO189" s="566"/>
    </row>
    <row r="190" spans="2:41" x14ac:dyDescent="0.15">
      <c r="B190" s="567">
        <v>-34</v>
      </c>
      <c r="C190" s="566">
        <v>0</v>
      </c>
      <c r="D190" s="566"/>
      <c r="E190" s="566"/>
      <c r="F190" s="566"/>
      <c r="G190" s="566"/>
      <c r="H190" s="566"/>
      <c r="I190" s="566"/>
      <c r="J190" s="566"/>
      <c r="K190" s="566"/>
      <c r="L190" s="566"/>
      <c r="M190" s="566"/>
      <c r="N190" s="566"/>
      <c r="O190" s="566"/>
      <c r="P190" s="566"/>
      <c r="Q190" s="566"/>
      <c r="R190" s="566"/>
      <c r="S190" s="566"/>
      <c r="T190" s="566"/>
      <c r="U190" s="566"/>
      <c r="V190" s="566"/>
      <c r="W190" s="566"/>
      <c r="X190" s="566"/>
      <c r="Y190" s="566"/>
      <c r="Z190" s="566"/>
      <c r="AA190" s="566"/>
      <c r="AB190" s="566"/>
      <c r="AC190" s="566"/>
      <c r="AD190" s="566"/>
      <c r="AE190" s="566"/>
      <c r="AF190" s="566"/>
      <c r="AG190" s="566"/>
      <c r="AH190" s="566"/>
      <c r="AI190" s="566"/>
      <c r="AJ190" s="566"/>
      <c r="AK190" s="566"/>
      <c r="AL190" s="566"/>
      <c r="AM190" s="566"/>
      <c r="AN190" s="566"/>
      <c r="AO190" s="566"/>
    </row>
    <row r="191" spans="2:41" x14ac:dyDescent="0.15">
      <c r="B191" s="567">
        <v>-33</v>
      </c>
      <c r="C191" s="566">
        <v>0</v>
      </c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6"/>
    </row>
    <row r="192" spans="2:41" x14ac:dyDescent="0.15">
      <c r="B192" s="567">
        <v>-32</v>
      </c>
      <c r="C192" s="566">
        <v>0</v>
      </c>
      <c r="D192" s="566"/>
      <c r="E192" s="566"/>
      <c r="F192" s="566"/>
      <c r="G192" s="566"/>
      <c r="H192" s="566"/>
      <c r="I192" s="566"/>
      <c r="J192" s="566"/>
      <c r="K192" s="566"/>
      <c r="L192" s="566"/>
      <c r="M192" s="566"/>
      <c r="N192" s="566"/>
      <c r="O192" s="566"/>
      <c r="P192" s="566"/>
      <c r="Q192" s="566"/>
      <c r="R192" s="566"/>
      <c r="S192" s="566"/>
      <c r="T192" s="566"/>
      <c r="U192" s="566"/>
      <c r="V192" s="566"/>
      <c r="W192" s="566"/>
      <c r="X192" s="566"/>
      <c r="Y192" s="566"/>
      <c r="Z192" s="566"/>
      <c r="AA192" s="566"/>
      <c r="AB192" s="566"/>
      <c r="AC192" s="566"/>
      <c r="AD192" s="566"/>
      <c r="AE192" s="566"/>
      <c r="AF192" s="566"/>
      <c r="AG192" s="566"/>
      <c r="AH192" s="566"/>
      <c r="AI192" s="566"/>
      <c r="AJ192" s="566"/>
      <c r="AK192" s="566"/>
      <c r="AL192" s="566"/>
      <c r="AM192" s="566"/>
      <c r="AN192" s="566"/>
      <c r="AO192" s="566"/>
    </row>
    <row r="193" spans="2:41" x14ac:dyDescent="0.15">
      <c r="B193" s="567">
        <v>-31</v>
      </c>
      <c r="C193" s="566">
        <v>0</v>
      </c>
      <c r="D193" s="566"/>
      <c r="E193" s="566"/>
      <c r="F193" s="566"/>
      <c r="G193" s="566"/>
      <c r="H193" s="566"/>
      <c r="I193" s="566"/>
      <c r="J193" s="566"/>
      <c r="K193" s="566"/>
      <c r="L193" s="566"/>
      <c r="M193" s="566"/>
      <c r="N193" s="566"/>
      <c r="O193" s="566"/>
      <c r="P193" s="566"/>
      <c r="Q193" s="566"/>
      <c r="R193" s="566"/>
      <c r="S193" s="566"/>
      <c r="T193" s="566"/>
      <c r="U193" s="566"/>
      <c r="V193" s="566"/>
      <c r="W193" s="566"/>
      <c r="X193" s="566"/>
      <c r="Y193" s="566"/>
      <c r="Z193" s="566"/>
      <c r="AA193" s="566"/>
      <c r="AB193" s="566"/>
      <c r="AC193" s="566"/>
      <c r="AD193" s="566"/>
      <c r="AE193" s="566"/>
      <c r="AF193" s="566"/>
      <c r="AG193" s="566"/>
      <c r="AH193" s="566"/>
      <c r="AI193" s="566"/>
      <c r="AJ193" s="566"/>
      <c r="AK193" s="566"/>
      <c r="AL193" s="566"/>
      <c r="AM193" s="566"/>
      <c r="AN193" s="566"/>
      <c r="AO193" s="566"/>
    </row>
    <row r="194" spans="2:41" x14ac:dyDescent="0.15">
      <c r="B194" s="567">
        <v>-30</v>
      </c>
      <c r="C194" s="566">
        <v>0</v>
      </c>
      <c r="D194" s="566"/>
      <c r="E194" s="566"/>
      <c r="F194" s="566"/>
      <c r="G194" s="566"/>
      <c r="H194" s="566"/>
      <c r="I194" s="566"/>
      <c r="J194" s="566"/>
      <c r="K194" s="566"/>
      <c r="L194" s="566"/>
      <c r="M194" s="566"/>
      <c r="N194" s="566"/>
      <c r="O194" s="566"/>
      <c r="P194" s="566"/>
      <c r="Q194" s="566"/>
      <c r="R194" s="566"/>
      <c r="S194" s="566"/>
      <c r="T194" s="566"/>
      <c r="U194" s="566"/>
      <c r="V194" s="566"/>
      <c r="W194" s="566"/>
      <c r="X194" s="566"/>
      <c r="Y194" s="566"/>
      <c r="Z194" s="566"/>
      <c r="AA194" s="566"/>
      <c r="AB194" s="566"/>
      <c r="AC194" s="566"/>
      <c r="AD194" s="566"/>
      <c r="AE194" s="566"/>
      <c r="AF194" s="566"/>
      <c r="AG194" s="566"/>
      <c r="AH194" s="566"/>
      <c r="AI194" s="566"/>
      <c r="AJ194" s="566"/>
      <c r="AK194" s="566"/>
      <c r="AL194" s="566"/>
      <c r="AM194" s="566"/>
      <c r="AN194" s="566"/>
      <c r="AO194" s="566"/>
    </row>
    <row r="195" spans="2:41" x14ac:dyDescent="0.15">
      <c r="B195" s="567">
        <v>-29</v>
      </c>
      <c r="C195" s="566">
        <v>0</v>
      </c>
      <c r="D195" s="566"/>
      <c r="E195" s="566"/>
      <c r="F195" s="566"/>
      <c r="G195" s="566"/>
      <c r="H195" s="566"/>
      <c r="I195" s="566"/>
      <c r="J195" s="566"/>
      <c r="K195" s="566"/>
      <c r="L195" s="566"/>
      <c r="M195" s="566"/>
      <c r="N195" s="566"/>
      <c r="O195" s="566"/>
      <c r="P195" s="566"/>
      <c r="Q195" s="566"/>
      <c r="R195" s="566"/>
      <c r="S195" s="566"/>
      <c r="T195" s="566"/>
      <c r="U195" s="566"/>
      <c r="V195" s="566"/>
      <c r="W195" s="566"/>
      <c r="X195" s="566"/>
      <c r="Y195" s="566"/>
      <c r="Z195" s="566"/>
      <c r="AA195" s="566"/>
      <c r="AB195" s="566"/>
      <c r="AC195" s="566"/>
      <c r="AD195" s="566"/>
      <c r="AE195" s="566"/>
      <c r="AF195" s="566"/>
      <c r="AG195" s="566"/>
      <c r="AH195" s="566"/>
      <c r="AI195" s="566"/>
      <c r="AJ195" s="566"/>
      <c r="AK195" s="566"/>
      <c r="AL195" s="566"/>
      <c r="AM195" s="566"/>
      <c r="AN195" s="566"/>
      <c r="AO195" s="566"/>
    </row>
    <row r="196" spans="2:41" x14ac:dyDescent="0.15">
      <c r="B196" s="567">
        <v>-28</v>
      </c>
      <c r="C196" s="566">
        <v>0</v>
      </c>
      <c r="D196" s="566"/>
      <c r="E196" s="566"/>
      <c r="F196" s="566"/>
      <c r="G196" s="566"/>
      <c r="H196" s="566"/>
      <c r="I196" s="566"/>
      <c r="J196" s="566"/>
      <c r="K196" s="566"/>
      <c r="L196" s="566"/>
      <c r="M196" s="566"/>
      <c r="N196" s="566"/>
      <c r="O196" s="566"/>
      <c r="P196" s="566"/>
      <c r="Q196" s="566"/>
      <c r="R196" s="566"/>
      <c r="S196" s="566"/>
      <c r="T196" s="566"/>
      <c r="U196" s="566"/>
      <c r="V196" s="566"/>
      <c r="W196" s="566"/>
      <c r="X196" s="566"/>
      <c r="Y196" s="566"/>
      <c r="Z196" s="566"/>
      <c r="AA196" s="566"/>
      <c r="AB196" s="566"/>
      <c r="AC196" s="566"/>
      <c r="AD196" s="566"/>
      <c r="AE196" s="566"/>
      <c r="AF196" s="566"/>
      <c r="AG196" s="566"/>
      <c r="AH196" s="566"/>
      <c r="AI196" s="566"/>
      <c r="AJ196" s="566"/>
      <c r="AK196" s="566"/>
      <c r="AL196" s="566"/>
      <c r="AM196" s="566"/>
      <c r="AN196" s="566"/>
      <c r="AO196" s="566"/>
    </row>
    <row r="197" spans="2:41" x14ac:dyDescent="0.15">
      <c r="B197" s="567">
        <v>-27</v>
      </c>
      <c r="C197" s="566">
        <v>0</v>
      </c>
      <c r="D197" s="566"/>
      <c r="E197" s="566"/>
      <c r="F197" s="566"/>
      <c r="G197" s="566"/>
      <c r="H197" s="566"/>
      <c r="I197" s="566"/>
      <c r="J197" s="566"/>
      <c r="K197" s="566"/>
      <c r="L197" s="566"/>
      <c r="M197" s="566"/>
      <c r="N197" s="566"/>
      <c r="O197" s="566"/>
      <c r="P197" s="566"/>
      <c r="Q197" s="566"/>
      <c r="R197" s="566"/>
      <c r="S197" s="566"/>
      <c r="T197" s="566"/>
      <c r="U197" s="566"/>
      <c r="V197" s="566"/>
      <c r="W197" s="566"/>
      <c r="X197" s="566"/>
      <c r="Y197" s="566"/>
      <c r="Z197" s="566"/>
      <c r="AA197" s="566"/>
      <c r="AB197" s="566"/>
      <c r="AC197" s="566"/>
      <c r="AD197" s="566"/>
      <c r="AE197" s="566"/>
      <c r="AF197" s="566"/>
      <c r="AG197" s="566"/>
      <c r="AH197" s="566"/>
      <c r="AI197" s="566"/>
      <c r="AJ197" s="566"/>
      <c r="AK197" s="566"/>
      <c r="AL197" s="566"/>
      <c r="AM197" s="566"/>
      <c r="AN197" s="566"/>
      <c r="AO197" s="566"/>
    </row>
    <row r="198" spans="2:41" x14ac:dyDescent="0.15">
      <c r="B198" s="567">
        <v>-26</v>
      </c>
      <c r="C198" s="566">
        <v>0</v>
      </c>
      <c r="D198" s="566"/>
      <c r="E198" s="566"/>
      <c r="F198" s="566"/>
      <c r="G198" s="566"/>
      <c r="H198" s="566"/>
      <c r="I198" s="566"/>
      <c r="J198" s="566"/>
      <c r="K198" s="566"/>
      <c r="L198" s="566"/>
      <c r="M198" s="566"/>
      <c r="N198" s="566"/>
      <c r="O198" s="566"/>
      <c r="P198" s="566"/>
      <c r="Q198" s="566"/>
      <c r="R198" s="566"/>
      <c r="S198" s="566"/>
      <c r="T198" s="566"/>
      <c r="U198" s="566"/>
      <c r="V198" s="566"/>
      <c r="W198" s="566"/>
      <c r="X198" s="566"/>
      <c r="Y198" s="566"/>
      <c r="Z198" s="566"/>
      <c r="AA198" s="566"/>
      <c r="AB198" s="566"/>
      <c r="AC198" s="566"/>
      <c r="AD198" s="566"/>
      <c r="AE198" s="566"/>
      <c r="AF198" s="566"/>
      <c r="AG198" s="566"/>
      <c r="AH198" s="566"/>
      <c r="AI198" s="566"/>
      <c r="AJ198" s="566"/>
      <c r="AK198" s="566"/>
      <c r="AL198" s="566"/>
      <c r="AM198" s="566"/>
      <c r="AN198" s="566"/>
      <c r="AO198" s="566"/>
    </row>
    <row r="199" spans="2:41" x14ac:dyDescent="0.15">
      <c r="B199" s="567">
        <v>-25</v>
      </c>
      <c r="C199" s="566">
        <v>0</v>
      </c>
      <c r="D199" s="566"/>
      <c r="E199" s="566"/>
      <c r="F199" s="566"/>
      <c r="G199" s="566"/>
      <c r="H199" s="566"/>
      <c r="I199" s="566"/>
      <c r="J199" s="566"/>
      <c r="K199" s="566"/>
      <c r="L199" s="566"/>
      <c r="M199" s="566"/>
      <c r="N199" s="566"/>
      <c r="O199" s="566"/>
      <c r="P199" s="566"/>
      <c r="Q199" s="566"/>
      <c r="R199" s="566"/>
      <c r="S199" s="566"/>
      <c r="T199" s="566"/>
      <c r="U199" s="566"/>
      <c r="V199" s="566"/>
      <c r="W199" s="566"/>
      <c r="X199" s="566"/>
      <c r="Y199" s="566"/>
      <c r="Z199" s="566"/>
      <c r="AA199" s="566"/>
      <c r="AB199" s="566"/>
      <c r="AC199" s="566"/>
      <c r="AD199" s="566"/>
      <c r="AE199" s="566"/>
      <c r="AF199" s="566"/>
      <c r="AG199" s="566"/>
      <c r="AH199" s="566"/>
      <c r="AI199" s="566"/>
      <c r="AJ199" s="566"/>
      <c r="AK199" s="566"/>
      <c r="AL199" s="566"/>
      <c r="AM199" s="566"/>
      <c r="AN199" s="566"/>
      <c r="AO199" s="566"/>
    </row>
    <row r="200" spans="2:41" x14ac:dyDescent="0.15">
      <c r="B200" s="567">
        <v>-24</v>
      </c>
      <c r="C200" s="566">
        <v>0</v>
      </c>
      <c r="D200" s="566"/>
      <c r="E200" s="566"/>
      <c r="F200" s="566"/>
      <c r="G200" s="566"/>
      <c r="H200" s="566"/>
      <c r="I200" s="566"/>
      <c r="J200" s="566"/>
      <c r="K200" s="566"/>
      <c r="L200" s="566"/>
      <c r="M200" s="566"/>
      <c r="N200" s="566"/>
      <c r="O200" s="566"/>
      <c r="P200" s="566"/>
      <c r="Q200" s="566"/>
      <c r="R200" s="566"/>
      <c r="S200" s="566"/>
      <c r="T200" s="566"/>
      <c r="U200" s="566"/>
      <c r="V200" s="566"/>
      <c r="W200" s="566"/>
      <c r="X200" s="566"/>
      <c r="Y200" s="566"/>
      <c r="Z200" s="566"/>
      <c r="AA200" s="566"/>
      <c r="AB200" s="566"/>
      <c r="AC200" s="566"/>
      <c r="AD200" s="566"/>
      <c r="AE200" s="566"/>
      <c r="AF200" s="566"/>
      <c r="AG200" s="566"/>
      <c r="AH200" s="566"/>
      <c r="AI200" s="566"/>
      <c r="AJ200" s="566"/>
      <c r="AK200" s="566"/>
      <c r="AL200" s="566"/>
      <c r="AM200" s="566"/>
      <c r="AN200" s="566"/>
      <c r="AO200" s="566"/>
    </row>
    <row r="201" spans="2:41" x14ac:dyDescent="0.15">
      <c r="B201" s="567">
        <v>-23</v>
      </c>
      <c r="C201" s="566">
        <v>0</v>
      </c>
      <c r="D201" s="566"/>
      <c r="E201" s="566"/>
      <c r="F201" s="566"/>
      <c r="G201" s="566"/>
      <c r="H201" s="566"/>
      <c r="I201" s="566"/>
      <c r="J201" s="566"/>
      <c r="K201" s="566"/>
      <c r="L201" s="566"/>
      <c r="M201" s="566"/>
      <c r="N201" s="566"/>
      <c r="O201" s="566"/>
      <c r="P201" s="566"/>
      <c r="Q201" s="566"/>
      <c r="R201" s="566"/>
      <c r="S201" s="566"/>
      <c r="T201" s="566"/>
      <c r="U201" s="566"/>
      <c r="V201" s="566"/>
      <c r="W201" s="566"/>
      <c r="X201" s="566"/>
      <c r="Y201" s="566"/>
      <c r="Z201" s="566"/>
      <c r="AA201" s="566"/>
      <c r="AB201" s="566"/>
      <c r="AC201" s="566"/>
      <c r="AD201" s="566"/>
      <c r="AE201" s="566"/>
      <c r="AF201" s="566"/>
      <c r="AG201" s="566"/>
      <c r="AH201" s="566"/>
      <c r="AI201" s="566"/>
      <c r="AJ201" s="566"/>
      <c r="AK201" s="566"/>
      <c r="AL201" s="566"/>
      <c r="AM201" s="566"/>
      <c r="AN201" s="566"/>
      <c r="AO201" s="566"/>
    </row>
    <row r="202" spans="2:41" x14ac:dyDescent="0.15">
      <c r="B202" s="567">
        <v>-22</v>
      </c>
      <c r="C202" s="566">
        <v>0</v>
      </c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</row>
    <row r="203" spans="2:41" x14ac:dyDescent="0.15">
      <c r="B203" s="567">
        <v>-21</v>
      </c>
      <c r="C203" s="566">
        <v>0</v>
      </c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</row>
    <row r="204" spans="2:41" x14ac:dyDescent="0.15">
      <c r="B204" s="567">
        <v>-20</v>
      </c>
      <c r="C204" s="566">
        <v>0</v>
      </c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66"/>
      <c r="O204" s="566"/>
      <c r="P204" s="566"/>
      <c r="Q204" s="566"/>
      <c r="R204" s="566"/>
      <c r="S204" s="566"/>
      <c r="T204" s="566"/>
      <c r="U204" s="566"/>
      <c r="V204" s="566"/>
      <c r="W204" s="566"/>
      <c r="X204" s="566"/>
      <c r="Y204" s="566"/>
      <c r="Z204" s="566"/>
      <c r="AA204" s="566"/>
      <c r="AB204" s="566"/>
      <c r="AC204" s="566"/>
      <c r="AD204" s="566"/>
      <c r="AE204" s="566"/>
      <c r="AF204" s="566"/>
      <c r="AG204" s="566"/>
      <c r="AH204" s="566"/>
      <c r="AI204" s="566"/>
      <c r="AJ204" s="566"/>
      <c r="AK204" s="566"/>
      <c r="AL204" s="566"/>
      <c r="AM204" s="566"/>
      <c r="AN204" s="566"/>
      <c r="AO204" s="566"/>
    </row>
    <row r="205" spans="2:41" x14ac:dyDescent="0.15">
      <c r="B205" s="567">
        <v>-19</v>
      </c>
      <c r="C205" s="566">
        <v>0</v>
      </c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66"/>
      <c r="O205" s="566"/>
      <c r="P205" s="566"/>
      <c r="Q205" s="566"/>
      <c r="R205" s="566"/>
      <c r="S205" s="566"/>
      <c r="T205" s="566"/>
      <c r="U205" s="566"/>
      <c r="V205" s="566"/>
      <c r="W205" s="566"/>
      <c r="X205" s="566"/>
      <c r="Y205" s="566"/>
      <c r="Z205" s="566"/>
      <c r="AA205" s="566"/>
      <c r="AB205" s="566"/>
      <c r="AC205" s="566"/>
      <c r="AD205" s="566"/>
      <c r="AE205" s="566"/>
      <c r="AF205" s="566"/>
      <c r="AG205" s="566"/>
      <c r="AH205" s="566"/>
      <c r="AI205" s="566"/>
      <c r="AJ205" s="566"/>
      <c r="AK205" s="566"/>
      <c r="AL205" s="566"/>
      <c r="AM205" s="566"/>
      <c r="AN205" s="566"/>
      <c r="AO205" s="566"/>
    </row>
    <row r="206" spans="2:41" x14ac:dyDescent="0.15">
      <c r="B206" s="567">
        <v>-18</v>
      </c>
      <c r="C206" s="566">
        <v>4.5662100456621003E-4</v>
      </c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</row>
    <row r="207" spans="2:41" x14ac:dyDescent="0.15">
      <c r="B207" s="567">
        <v>-17</v>
      </c>
      <c r="C207" s="566">
        <v>1.8264840182648401E-3</v>
      </c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  <c r="AG207" s="566"/>
      <c r="AH207" s="566"/>
      <c r="AI207" s="566"/>
      <c r="AJ207" s="566"/>
      <c r="AK207" s="566"/>
      <c r="AL207" s="566"/>
      <c r="AM207" s="566"/>
      <c r="AN207" s="566"/>
      <c r="AO207" s="566"/>
    </row>
    <row r="208" spans="2:41" x14ac:dyDescent="0.15">
      <c r="B208" s="567">
        <v>-16</v>
      </c>
      <c r="C208" s="566">
        <v>3.767123287671233E-3</v>
      </c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66"/>
      <c r="O208" s="566"/>
      <c r="P208" s="566"/>
      <c r="Q208" s="566"/>
      <c r="R208" s="566"/>
      <c r="S208" s="566"/>
      <c r="T208" s="566"/>
      <c r="U208" s="566"/>
      <c r="V208" s="566"/>
      <c r="W208" s="566"/>
      <c r="X208" s="566"/>
      <c r="Y208" s="566"/>
      <c r="Z208" s="566"/>
      <c r="AA208" s="566"/>
      <c r="AB208" s="566"/>
      <c r="AC208" s="566"/>
      <c r="AD208" s="566"/>
      <c r="AE208" s="566"/>
      <c r="AF208" s="566"/>
      <c r="AG208" s="566"/>
      <c r="AH208" s="566"/>
      <c r="AI208" s="566"/>
      <c r="AJ208" s="566"/>
      <c r="AK208" s="566"/>
      <c r="AL208" s="566"/>
      <c r="AM208" s="566"/>
      <c r="AN208" s="566"/>
      <c r="AO208" s="566"/>
    </row>
    <row r="209" spans="2:41" x14ac:dyDescent="0.15">
      <c r="B209" s="567">
        <v>-15</v>
      </c>
      <c r="C209" s="566">
        <v>6.392694063926941E-3</v>
      </c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</row>
    <row r="210" spans="2:41" x14ac:dyDescent="0.15">
      <c r="B210" s="567">
        <v>-14</v>
      </c>
      <c r="C210" s="566">
        <v>7.4200913242009128E-3</v>
      </c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66"/>
      <c r="O210" s="566"/>
      <c r="P210" s="566"/>
      <c r="Q210" s="566"/>
      <c r="R210" s="566"/>
      <c r="S210" s="566"/>
      <c r="T210" s="566"/>
      <c r="U210" s="566"/>
      <c r="V210" s="566"/>
      <c r="W210" s="566"/>
      <c r="X210" s="566"/>
      <c r="Y210" s="566"/>
      <c r="Z210" s="566"/>
      <c r="AA210" s="566"/>
      <c r="AB210" s="566"/>
      <c r="AC210" s="566"/>
      <c r="AD210" s="566"/>
      <c r="AE210" s="566"/>
      <c r="AF210" s="566"/>
      <c r="AG210" s="566"/>
      <c r="AH210" s="566"/>
      <c r="AI210" s="566"/>
      <c r="AJ210" s="566"/>
      <c r="AK210" s="566"/>
      <c r="AL210" s="566"/>
      <c r="AM210" s="566"/>
      <c r="AN210" s="566"/>
      <c r="AO210" s="566"/>
    </row>
    <row r="211" spans="2:41" x14ac:dyDescent="0.15">
      <c r="B211" s="567">
        <v>-13</v>
      </c>
      <c r="C211" s="566">
        <v>1.1301369863013699E-2</v>
      </c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66"/>
      <c r="O211" s="566"/>
      <c r="P211" s="566"/>
      <c r="Q211" s="566"/>
      <c r="R211" s="566"/>
      <c r="S211" s="566"/>
      <c r="T211" s="566"/>
      <c r="U211" s="566"/>
      <c r="V211" s="566"/>
      <c r="W211" s="566"/>
      <c r="X211" s="566"/>
      <c r="Y211" s="566"/>
      <c r="Z211" s="566"/>
      <c r="AA211" s="566"/>
      <c r="AB211" s="566"/>
      <c r="AC211" s="566"/>
      <c r="AD211" s="566"/>
      <c r="AE211" s="566"/>
      <c r="AF211" s="566"/>
      <c r="AG211" s="566"/>
      <c r="AH211" s="566"/>
      <c r="AI211" s="566"/>
      <c r="AJ211" s="566"/>
      <c r="AK211" s="566"/>
      <c r="AL211" s="566"/>
      <c r="AM211" s="566"/>
      <c r="AN211" s="566"/>
      <c r="AO211" s="566"/>
    </row>
    <row r="212" spans="2:41" x14ac:dyDescent="0.15">
      <c r="B212" s="567">
        <v>-12</v>
      </c>
      <c r="C212" s="566">
        <v>1.4041095890410958E-2</v>
      </c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66"/>
      <c r="O212" s="566"/>
      <c r="P212" s="566"/>
      <c r="Q212" s="566"/>
      <c r="R212" s="566"/>
      <c r="S212" s="566"/>
      <c r="T212" s="566"/>
      <c r="U212" s="566"/>
      <c r="V212" s="566"/>
      <c r="W212" s="566"/>
      <c r="X212" s="566"/>
      <c r="Y212" s="566"/>
      <c r="Z212" s="566"/>
      <c r="AA212" s="566"/>
      <c r="AB212" s="566"/>
      <c r="AC212" s="566"/>
      <c r="AD212" s="566"/>
      <c r="AE212" s="566"/>
      <c r="AF212" s="566"/>
      <c r="AG212" s="566"/>
      <c r="AH212" s="566"/>
      <c r="AI212" s="566"/>
      <c r="AJ212" s="566"/>
      <c r="AK212" s="566"/>
      <c r="AL212" s="566"/>
      <c r="AM212" s="566"/>
      <c r="AN212" s="566"/>
      <c r="AO212" s="566"/>
    </row>
    <row r="213" spans="2:41" x14ac:dyDescent="0.15">
      <c r="B213" s="567">
        <v>-11</v>
      </c>
      <c r="C213" s="566">
        <v>1.872146118721461E-2</v>
      </c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  <c r="Y213" s="566"/>
      <c r="Z213" s="566"/>
      <c r="AA213" s="566"/>
      <c r="AB213" s="566"/>
      <c r="AC213" s="566"/>
      <c r="AD213" s="566"/>
      <c r="AE213" s="566"/>
      <c r="AF213" s="566"/>
      <c r="AG213" s="566"/>
      <c r="AH213" s="566"/>
      <c r="AI213" s="566"/>
      <c r="AJ213" s="566"/>
      <c r="AK213" s="566"/>
      <c r="AL213" s="566"/>
      <c r="AM213" s="566"/>
      <c r="AN213" s="566"/>
      <c r="AO213" s="566"/>
    </row>
    <row r="214" spans="2:41" x14ac:dyDescent="0.15">
      <c r="B214" s="567">
        <v>-10</v>
      </c>
      <c r="C214" s="566">
        <v>2.1232876712328767E-2</v>
      </c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66"/>
      <c r="O214" s="566"/>
      <c r="P214" s="566"/>
      <c r="Q214" s="566"/>
      <c r="R214" s="566"/>
      <c r="S214" s="566"/>
      <c r="T214" s="566"/>
      <c r="U214" s="566"/>
      <c r="V214" s="566"/>
      <c r="W214" s="566"/>
      <c r="X214" s="566"/>
      <c r="Y214" s="566"/>
      <c r="Z214" s="566"/>
      <c r="AA214" s="566"/>
      <c r="AB214" s="566"/>
      <c r="AC214" s="566"/>
      <c r="AD214" s="566"/>
      <c r="AE214" s="566"/>
      <c r="AF214" s="566"/>
      <c r="AG214" s="566"/>
      <c r="AH214" s="566"/>
      <c r="AI214" s="566"/>
      <c r="AJ214" s="566"/>
      <c r="AK214" s="566"/>
      <c r="AL214" s="566"/>
      <c r="AM214" s="566"/>
      <c r="AN214" s="566"/>
      <c r="AO214" s="566"/>
    </row>
    <row r="215" spans="2:41" x14ac:dyDescent="0.15">
      <c r="B215" s="567">
        <v>-9</v>
      </c>
      <c r="C215" s="566">
        <v>2.3173515981735161E-2</v>
      </c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66"/>
      <c r="O215" s="566"/>
      <c r="P215" s="566"/>
      <c r="Q215" s="566"/>
      <c r="R215" s="566"/>
      <c r="S215" s="566"/>
      <c r="T215" s="566"/>
      <c r="U215" s="566"/>
      <c r="V215" s="566"/>
      <c r="W215" s="566"/>
      <c r="X215" s="566"/>
      <c r="Y215" s="566"/>
      <c r="Z215" s="566"/>
      <c r="AA215" s="566"/>
      <c r="AB215" s="566"/>
      <c r="AC215" s="566"/>
      <c r="AD215" s="566"/>
      <c r="AE215" s="566"/>
      <c r="AF215" s="566"/>
      <c r="AG215" s="566"/>
      <c r="AH215" s="566"/>
      <c r="AI215" s="566"/>
      <c r="AJ215" s="566"/>
      <c r="AK215" s="566"/>
      <c r="AL215" s="566"/>
      <c r="AM215" s="566"/>
      <c r="AN215" s="566"/>
      <c r="AO215" s="566"/>
    </row>
    <row r="216" spans="2:41" x14ac:dyDescent="0.15">
      <c r="B216" s="567">
        <v>-8</v>
      </c>
      <c r="C216" s="566">
        <v>3.0365296803652967E-2</v>
      </c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66"/>
      <c r="O216" s="566"/>
      <c r="P216" s="566"/>
      <c r="Q216" s="566"/>
      <c r="R216" s="566"/>
      <c r="S216" s="566"/>
      <c r="T216" s="566"/>
      <c r="U216" s="566"/>
      <c r="V216" s="566"/>
      <c r="W216" s="566"/>
      <c r="X216" s="566"/>
      <c r="Y216" s="566"/>
      <c r="Z216" s="566"/>
      <c r="AA216" s="566"/>
      <c r="AB216" s="566"/>
      <c r="AC216" s="566"/>
      <c r="AD216" s="566"/>
      <c r="AE216" s="566"/>
      <c r="AF216" s="566"/>
      <c r="AG216" s="566"/>
      <c r="AH216" s="566"/>
      <c r="AI216" s="566"/>
      <c r="AJ216" s="566"/>
      <c r="AK216" s="566"/>
      <c r="AL216" s="566"/>
      <c r="AM216" s="566"/>
      <c r="AN216" s="566"/>
      <c r="AO216" s="566"/>
    </row>
    <row r="217" spans="2:41" x14ac:dyDescent="0.15">
      <c r="B217" s="567">
        <v>-7</v>
      </c>
      <c r="C217" s="566">
        <v>3.9041095890410958E-2</v>
      </c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66"/>
      <c r="O217" s="566"/>
      <c r="P217" s="566"/>
      <c r="Q217" s="566"/>
      <c r="R217" s="566"/>
      <c r="S217" s="566"/>
      <c r="T217" s="566"/>
      <c r="U217" s="566"/>
      <c r="V217" s="566"/>
      <c r="W217" s="566"/>
      <c r="X217" s="566"/>
      <c r="Y217" s="566"/>
      <c r="Z217" s="566"/>
      <c r="AA217" s="566"/>
      <c r="AB217" s="566"/>
      <c r="AC217" s="566"/>
      <c r="AD217" s="566"/>
      <c r="AE217" s="566"/>
      <c r="AF217" s="566"/>
      <c r="AG217" s="566"/>
      <c r="AH217" s="566"/>
      <c r="AI217" s="566"/>
      <c r="AJ217" s="566"/>
      <c r="AK217" s="566"/>
      <c r="AL217" s="566"/>
      <c r="AM217" s="566"/>
      <c r="AN217" s="566"/>
      <c r="AO217" s="566"/>
    </row>
    <row r="218" spans="2:41" x14ac:dyDescent="0.15">
      <c r="B218" s="567">
        <v>-6</v>
      </c>
      <c r="C218" s="566">
        <v>5.3538812785388128E-2</v>
      </c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66"/>
      <c r="O218" s="566"/>
      <c r="P218" s="566"/>
      <c r="Q218" s="566"/>
      <c r="R218" s="566"/>
      <c r="S218" s="566"/>
      <c r="T218" s="566"/>
      <c r="U218" s="566"/>
      <c r="V218" s="566"/>
      <c r="W218" s="566"/>
      <c r="X218" s="566"/>
      <c r="Y218" s="566"/>
      <c r="Z218" s="566"/>
      <c r="AA218" s="566"/>
      <c r="AB218" s="566"/>
      <c r="AC218" s="566"/>
      <c r="AD218" s="566"/>
      <c r="AE218" s="566"/>
      <c r="AF218" s="566"/>
      <c r="AG218" s="566"/>
      <c r="AH218" s="566"/>
      <c r="AI218" s="566"/>
      <c r="AJ218" s="566"/>
      <c r="AK218" s="566"/>
      <c r="AL218" s="566"/>
      <c r="AM218" s="566"/>
      <c r="AN218" s="566"/>
      <c r="AO218" s="566"/>
    </row>
    <row r="219" spans="2:41" x14ac:dyDescent="0.15">
      <c r="B219" s="567">
        <v>-5</v>
      </c>
      <c r="C219" s="566">
        <v>7.4543378995433784E-2</v>
      </c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66"/>
      <c r="O219" s="566"/>
      <c r="P219" s="566"/>
      <c r="Q219" s="566"/>
      <c r="R219" s="566"/>
      <c r="S219" s="566"/>
      <c r="T219" s="566"/>
      <c r="U219" s="566"/>
      <c r="V219" s="566"/>
      <c r="W219" s="566"/>
      <c r="X219" s="566"/>
      <c r="Y219" s="566"/>
      <c r="Z219" s="566"/>
      <c r="AA219" s="566"/>
      <c r="AB219" s="566"/>
      <c r="AC219" s="566"/>
      <c r="AD219" s="566"/>
      <c r="AE219" s="566"/>
      <c r="AF219" s="566"/>
      <c r="AG219" s="566"/>
      <c r="AH219" s="566"/>
      <c r="AI219" s="566"/>
      <c r="AJ219" s="566"/>
      <c r="AK219" s="566"/>
      <c r="AL219" s="566"/>
      <c r="AM219" s="566"/>
      <c r="AN219" s="566"/>
      <c r="AO219" s="566"/>
    </row>
    <row r="220" spans="2:41" x14ac:dyDescent="0.15">
      <c r="B220" s="567">
        <v>-4</v>
      </c>
      <c r="C220" s="566">
        <v>8.6872146118721461E-2</v>
      </c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66"/>
      <c r="O220" s="566"/>
      <c r="P220" s="566"/>
      <c r="Q220" s="566"/>
      <c r="R220" s="566"/>
      <c r="S220" s="566"/>
      <c r="T220" s="566"/>
      <c r="U220" s="566"/>
      <c r="V220" s="566"/>
      <c r="W220" s="566"/>
      <c r="X220" s="566"/>
      <c r="Y220" s="566"/>
      <c r="Z220" s="566"/>
      <c r="AA220" s="566"/>
      <c r="AB220" s="566"/>
      <c r="AC220" s="566"/>
      <c r="AD220" s="566"/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</row>
    <row r="221" spans="2:41" x14ac:dyDescent="0.15">
      <c r="B221" s="567">
        <v>-3</v>
      </c>
      <c r="C221" s="566">
        <v>0.11780821917808219</v>
      </c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66"/>
      <c r="O221" s="566"/>
      <c r="P221" s="566"/>
      <c r="Q221" s="566"/>
      <c r="R221" s="566"/>
      <c r="S221" s="566"/>
      <c r="T221" s="566"/>
      <c r="U221" s="566"/>
      <c r="V221" s="566"/>
      <c r="W221" s="566"/>
      <c r="X221" s="566"/>
      <c r="Y221" s="566"/>
      <c r="Z221" s="566"/>
      <c r="AA221" s="566"/>
      <c r="AB221" s="566"/>
      <c r="AC221" s="566"/>
      <c r="AD221" s="566"/>
      <c r="AE221" s="566"/>
      <c r="AF221" s="566"/>
      <c r="AG221" s="566"/>
      <c r="AH221" s="566"/>
      <c r="AI221" s="566"/>
      <c r="AJ221" s="566"/>
      <c r="AK221" s="566"/>
      <c r="AL221" s="566"/>
      <c r="AM221" s="566"/>
      <c r="AN221" s="566"/>
      <c r="AO221" s="566"/>
    </row>
    <row r="222" spans="2:41" x14ac:dyDescent="0.15">
      <c r="B222" s="567">
        <v>-2</v>
      </c>
      <c r="C222" s="566">
        <v>0.16244292237442923</v>
      </c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66"/>
      <c r="O222" s="566"/>
      <c r="P222" s="566"/>
      <c r="Q222" s="566"/>
      <c r="R222" s="566"/>
      <c r="S222" s="566"/>
      <c r="T222" s="566"/>
      <c r="U222" s="566"/>
      <c r="V222" s="566"/>
      <c r="W222" s="566"/>
      <c r="X222" s="566"/>
      <c r="Y222" s="566"/>
      <c r="Z222" s="566"/>
      <c r="AA222" s="566"/>
      <c r="AB222" s="566"/>
      <c r="AC222" s="566"/>
      <c r="AD222" s="566"/>
      <c r="AE222" s="566"/>
      <c r="AF222" s="566"/>
      <c r="AG222" s="566"/>
      <c r="AH222" s="566"/>
      <c r="AI222" s="566"/>
      <c r="AJ222" s="566"/>
      <c r="AK222" s="566"/>
      <c r="AL222" s="566"/>
      <c r="AM222" s="566"/>
      <c r="AN222" s="566"/>
      <c r="AO222" s="566"/>
    </row>
    <row r="223" spans="2:41" x14ac:dyDescent="0.15">
      <c r="B223" s="567">
        <v>-1</v>
      </c>
      <c r="C223" s="566">
        <v>0.21118721461187215</v>
      </c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66"/>
      <c r="O223" s="566"/>
      <c r="P223" s="566"/>
      <c r="Q223" s="566"/>
      <c r="R223" s="566"/>
      <c r="S223" s="566"/>
      <c r="T223" s="566"/>
      <c r="U223" s="566"/>
      <c r="V223" s="566"/>
      <c r="W223" s="566"/>
      <c r="X223" s="566"/>
      <c r="Y223" s="566"/>
      <c r="Z223" s="566"/>
      <c r="AA223" s="566"/>
      <c r="AB223" s="566"/>
      <c r="AC223" s="566"/>
      <c r="AD223" s="566"/>
      <c r="AE223" s="566"/>
      <c r="AF223" s="566"/>
      <c r="AG223" s="566"/>
      <c r="AH223" s="566"/>
      <c r="AI223" s="566"/>
      <c r="AJ223" s="566"/>
      <c r="AK223" s="566"/>
      <c r="AL223" s="566"/>
      <c r="AM223" s="566"/>
      <c r="AN223" s="566"/>
      <c r="AO223" s="566"/>
    </row>
    <row r="224" spans="2:41" x14ac:dyDescent="0.15">
      <c r="B224" s="567">
        <v>0</v>
      </c>
      <c r="C224" s="566">
        <v>0.25753424657534246</v>
      </c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66"/>
      <c r="O224" s="566"/>
      <c r="P224" s="566"/>
      <c r="Q224" s="566"/>
      <c r="R224" s="566"/>
      <c r="S224" s="566"/>
      <c r="T224" s="566"/>
      <c r="U224" s="566"/>
      <c r="V224" s="566"/>
      <c r="W224" s="566"/>
      <c r="X224" s="566"/>
      <c r="Y224" s="566"/>
      <c r="Z224" s="566"/>
      <c r="AA224" s="566"/>
      <c r="AB224" s="566"/>
      <c r="AC224" s="566"/>
      <c r="AD224" s="566"/>
      <c r="AE224" s="566"/>
      <c r="AF224" s="566"/>
      <c r="AG224" s="566"/>
      <c r="AH224" s="566"/>
      <c r="AI224" s="566"/>
      <c r="AJ224" s="566"/>
      <c r="AK224" s="566"/>
      <c r="AL224" s="566"/>
      <c r="AM224" s="566"/>
      <c r="AN224" s="566"/>
      <c r="AO224" s="566"/>
    </row>
    <row r="225" spans="2:41" x14ac:dyDescent="0.15">
      <c r="B225" s="567">
        <v>1</v>
      </c>
      <c r="C225" s="566">
        <v>0.28150684931506847</v>
      </c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66"/>
      <c r="O225" s="566"/>
      <c r="P225" s="566"/>
      <c r="Q225" s="566"/>
      <c r="R225" s="566"/>
      <c r="S225" s="566"/>
      <c r="T225" s="566"/>
      <c r="U225" s="566"/>
      <c r="V225" s="566"/>
      <c r="W225" s="566"/>
      <c r="X225" s="566"/>
      <c r="Y225" s="566"/>
      <c r="Z225" s="566"/>
      <c r="AA225" s="566"/>
      <c r="AB225" s="566"/>
      <c r="AC225" s="566"/>
      <c r="AD225" s="566"/>
      <c r="AE225" s="566"/>
      <c r="AF225" s="566"/>
      <c r="AG225" s="566"/>
      <c r="AH225" s="566"/>
      <c r="AI225" s="566"/>
      <c r="AJ225" s="566"/>
      <c r="AK225" s="566"/>
      <c r="AL225" s="566"/>
      <c r="AM225" s="566"/>
      <c r="AN225" s="566"/>
      <c r="AO225" s="566"/>
    </row>
    <row r="226" spans="2:41" x14ac:dyDescent="0.15">
      <c r="B226" s="567">
        <v>2</v>
      </c>
      <c r="C226" s="566">
        <v>0.33550228310502284</v>
      </c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66"/>
      <c r="O226" s="566"/>
      <c r="P226" s="566"/>
      <c r="Q226" s="566"/>
      <c r="R226" s="566"/>
      <c r="S226" s="566"/>
      <c r="T226" s="566"/>
      <c r="U226" s="566"/>
      <c r="V226" s="566"/>
      <c r="W226" s="566"/>
      <c r="X226" s="566"/>
      <c r="Y226" s="566"/>
      <c r="Z226" s="566"/>
      <c r="AA226" s="566"/>
      <c r="AB226" s="566"/>
      <c r="AC226" s="566"/>
      <c r="AD226" s="566"/>
      <c r="AE226" s="566"/>
      <c r="AF226" s="566"/>
      <c r="AG226" s="566"/>
      <c r="AH226" s="566"/>
      <c r="AI226" s="566"/>
      <c r="AJ226" s="566"/>
      <c r="AK226" s="566"/>
      <c r="AL226" s="566"/>
      <c r="AM226" s="566"/>
      <c r="AN226" s="566"/>
      <c r="AO226" s="566"/>
    </row>
    <row r="227" spans="2:41" x14ac:dyDescent="0.15">
      <c r="B227" s="567">
        <v>3</v>
      </c>
      <c r="C227" s="566">
        <v>0.38824200913242007</v>
      </c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66"/>
      <c r="O227" s="566"/>
      <c r="P227" s="566"/>
      <c r="Q227" s="566"/>
      <c r="R227" s="566"/>
      <c r="S227" s="566"/>
      <c r="T227" s="566"/>
      <c r="U227" s="566"/>
      <c r="V227" s="566"/>
      <c r="W227" s="566"/>
      <c r="X227" s="566"/>
      <c r="Y227" s="566"/>
      <c r="Z227" s="566"/>
      <c r="AA227" s="566"/>
      <c r="AB227" s="566"/>
      <c r="AC227" s="566"/>
      <c r="AD227" s="566"/>
      <c r="AE227" s="566"/>
      <c r="AF227" s="566"/>
      <c r="AG227" s="566"/>
      <c r="AH227" s="566"/>
      <c r="AI227" s="566"/>
      <c r="AJ227" s="566"/>
      <c r="AK227" s="566"/>
      <c r="AL227" s="566"/>
      <c r="AM227" s="566"/>
      <c r="AN227" s="566"/>
      <c r="AO227" s="566"/>
    </row>
    <row r="228" spans="2:41" x14ac:dyDescent="0.15">
      <c r="B228" s="567">
        <v>4</v>
      </c>
      <c r="C228" s="566">
        <v>0.44189497716894977</v>
      </c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66"/>
      <c r="O228" s="566"/>
      <c r="P228" s="566"/>
      <c r="Q228" s="566"/>
      <c r="R228" s="566"/>
      <c r="S228" s="566"/>
      <c r="T228" s="566"/>
      <c r="U228" s="566"/>
      <c r="V228" s="566"/>
      <c r="W228" s="566"/>
      <c r="X228" s="566"/>
      <c r="Y228" s="566"/>
      <c r="Z228" s="566"/>
      <c r="AA228" s="566"/>
      <c r="AB228" s="566"/>
      <c r="AC228" s="566"/>
      <c r="AD228" s="566"/>
      <c r="AE228" s="566"/>
      <c r="AF228" s="566"/>
      <c r="AG228" s="566"/>
      <c r="AH228" s="566"/>
      <c r="AI228" s="566"/>
      <c r="AJ228" s="566"/>
      <c r="AK228" s="566"/>
      <c r="AL228" s="566"/>
      <c r="AM228" s="566"/>
      <c r="AN228" s="566"/>
      <c r="AO228" s="566"/>
    </row>
    <row r="229" spans="2:41" x14ac:dyDescent="0.15">
      <c r="B229" s="567">
        <v>5</v>
      </c>
      <c r="C229" s="566">
        <v>0.48162100456621004</v>
      </c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66"/>
      <c r="O229" s="566"/>
      <c r="P229" s="566"/>
      <c r="Q229" s="566"/>
      <c r="R229" s="566"/>
      <c r="S229" s="566"/>
      <c r="T229" s="566"/>
      <c r="U229" s="566"/>
      <c r="V229" s="566"/>
      <c r="W229" s="566"/>
      <c r="X229" s="566"/>
      <c r="Y229" s="566"/>
      <c r="Z229" s="566"/>
      <c r="AA229" s="566"/>
      <c r="AB229" s="566"/>
      <c r="AC229" s="566"/>
      <c r="AD229" s="566"/>
      <c r="AE229" s="566"/>
      <c r="AF229" s="566"/>
      <c r="AG229" s="566"/>
      <c r="AH229" s="566"/>
      <c r="AI229" s="566"/>
      <c r="AJ229" s="566"/>
      <c r="AK229" s="566"/>
      <c r="AL229" s="566"/>
      <c r="AM229" s="566"/>
      <c r="AN229" s="566"/>
      <c r="AO229" s="566"/>
    </row>
    <row r="230" spans="2:41" x14ac:dyDescent="0.15">
      <c r="B230" s="567">
        <v>6</v>
      </c>
      <c r="C230" s="566">
        <v>0.49771689497716892</v>
      </c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66"/>
      <c r="O230" s="566"/>
      <c r="P230" s="566"/>
      <c r="Q230" s="566"/>
      <c r="R230" s="566"/>
      <c r="S230" s="566"/>
      <c r="T230" s="566"/>
      <c r="U230" s="566"/>
      <c r="V230" s="566"/>
      <c r="W230" s="566"/>
      <c r="X230" s="566"/>
      <c r="Y230" s="566"/>
      <c r="Z230" s="566"/>
      <c r="AA230" s="566"/>
      <c r="AB230" s="566"/>
      <c r="AC230" s="566"/>
      <c r="AD230" s="566"/>
      <c r="AE230" s="566"/>
      <c r="AF230" s="566"/>
      <c r="AG230" s="566"/>
      <c r="AH230" s="566"/>
      <c r="AI230" s="566"/>
      <c r="AJ230" s="566"/>
      <c r="AK230" s="566"/>
      <c r="AL230" s="566"/>
      <c r="AM230" s="566"/>
      <c r="AN230" s="566"/>
      <c r="AO230" s="566"/>
    </row>
    <row r="231" spans="2:41" x14ac:dyDescent="0.15">
      <c r="B231" s="567">
        <v>7</v>
      </c>
      <c r="C231" s="566">
        <v>0.53230593607305932</v>
      </c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66"/>
      <c r="O231" s="566"/>
      <c r="P231" s="566"/>
      <c r="Q231" s="566"/>
      <c r="R231" s="566"/>
      <c r="S231" s="566"/>
      <c r="T231" s="566"/>
      <c r="U231" s="566"/>
      <c r="V231" s="566"/>
      <c r="W231" s="566"/>
      <c r="X231" s="566"/>
      <c r="Y231" s="566"/>
      <c r="Z231" s="566"/>
      <c r="AA231" s="566"/>
      <c r="AB231" s="566"/>
      <c r="AC231" s="566"/>
      <c r="AD231" s="566"/>
      <c r="AE231" s="566"/>
      <c r="AF231" s="566"/>
      <c r="AG231" s="566"/>
      <c r="AH231" s="566"/>
      <c r="AI231" s="566"/>
      <c r="AJ231" s="566"/>
      <c r="AK231" s="566"/>
      <c r="AL231" s="566"/>
      <c r="AM231" s="566"/>
      <c r="AN231" s="566"/>
      <c r="AO231" s="566"/>
    </row>
    <row r="232" spans="2:41" x14ac:dyDescent="0.15">
      <c r="B232" s="567">
        <v>8</v>
      </c>
      <c r="C232" s="566">
        <v>0.56666666666666665</v>
      </c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66"/>
      <c r="O232" s="566"/>
      <c r="P232" s="566"/>
      <c r="Q232" s="566"/>
      <c r="R232" s="566"/>
      <c r="S232" s="566"/>
      <c r="T232" s="566"/>
      <c r="U232" s="566"/>
      <c r="V232" s="566"/>
      <c r="W232" s="566"/>
      <c r="X232" s="566"/>
      <c r="Y232" s="566"/>
      <c r="Z232" s="566"/>
      <c r="AA232" s="566"/>
      <c r="AB232" s="566"/>
      <c r="AC232" s="566"/>
      <c r="AD232" s="566"/>
      <c r="AE232" s="566"/>
      <c r="AF232" s="566"/>
      <c r="AG232" s="566"/>
      <c r="AH232" s="566"/>
      <c r="AI232" s="566"/>
      <c r="AJ232" s="566"/>
      <c r="AK232" s="566"/>
      <c r="AL232" s="566"/>
      <c r="AM232" s="566"/>
      <c r="AN232" s="566"/>
      <c r="AO232" s="566"/>
    </row>
    <row r="233" spans="2:41" x14ac:dyDescent="0.15">
      <c r="B233" s="567">
        <v>9</v>
      </c>
      <c r="C233" s="566">
        <v>0.60136986301369866</v>
      </c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66"/>
      <c r="O233" s="566"/>
      <c r="P233" s="566"/>
      <c r="Q233" s="566"/>
      <c r="R233" s="566"/>
      <c r="S233" s="566"/>
      <c r="T233" s="566"/>
      <c r="U233" s="566"/>
      <c r="V233" s="566"/>
      <c r="W233" s="566"/>
      <c r="X233" s="566"/>
      <c r="Y233" s="566"/>
      <c r="Z233" s="566"/>
      <c r="AA233" s="566"/>
      <c r="AB233" s="566"/>
      <c r="AC233" s="566"/>
      <c r="AD233" s="566"/>
      <c r="AE233" s="566"/>
      <c r="AF233" s="566"/>
      <c r="AG233" s="566"/>
      <c r="AH233" s="566"/>
      <c r="AI233" s="566"/>
      <c r="AJ233" s="566"/>
      <c r="AK233" s="566"/>
      <c r="AL233" s="566"/>
      <c r="AM233" s="566"/>
      <c r="AN233" s="566"/>
      <c r="AO233" s="566"/>
    </row>
    <row r="234" spans="2:41" x14ac:dyDescent="0.15">
      <c r="B234" s="567">
        <v>10</v>
      </c>
      <c r="C234" s="566">
        <v>0.64577625570776254</v>
      </c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66"/>
      <c r="O234" s="566"/>
      <c r="P234" s="566"/>
      <c r="Q234" s="566"/>
      <c r="R234" s="566"/>
      <c r="S234" s="566"/>
      <c r="T234" s="566"/>
      <c r="U234" s="566"/>
      <c r="V234" s="566"/>
      <c r="W234" s="566"/>
      <c r="X234" s="566"/>
      <c r="Y234" s="566"/>
      <c r="Z234" s="566"/>
      <c r="AA234" s="566"/>
      <c r="AB234" s="566"/>
      <c r="AC234" s="566"/>
      <c r="AD234" s="566"/>
      <c r="AE234" s="566"/>
      <c r="AF234" s="566"/>
      <c r="AG234" s="566"/>
      <c r="AH234" s="566"/>
      <c r="AI234" s="566"/>
      <c r="AJ234" s="566"/>
      <c r="AK234" s="566"/>
      <c r="AL234" s="566"/>
      <c r="AM234" s="566"/>
      <c r="AN234" s="566"/>
      <c r="AO234" s="566"/>
    </row>
    <row r="235" spans="2:41" x14ac:dyDescent="0.15">
      <c r="B235" s="567">
        <v>11</v>
      </c>
      <c r="C235" s="566">
        <v>0.67168949771689501</v>
      </c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66"/>
      <c r="O235" s="566"/>
      <c r="P235" s="566"/>
      <c r="Q235" s="566"/>
      <c r="R235" s="566"/>
      <c r="S235" s="566"/>
      <c r="T235" s="566"/>
      <c r="U235" s="566"/>
      <c r="V235" s="566"/>
      <c r="W235" s="566"/>
      <c r="X235" s="566"/>
      <c r="Y235" s="566"/>
      <c r="Z235" s="566"/>
      <c r="AA235" s="566"/>
      <c r="AB235" s="566"/>
      <c r="AC235" s="566"/>
      <c r="AD235" s="566"/>
      <c r="AE235" s="566"/>
      <c r="AF235" s="566"/>
      <c r="AG235" s="566"/>
      <c r="AH235" s="566"/>
      <c r="AI235" s="566"/>
      <c r="AJ235" s="566"/>
      <c r="AK235" s="566"/>
      <c r="AL235" s="566"/>
      <c r="AM235" s="566"/>
      <c r="AN235" s="566"/>
      <c r="AO235" s="566"/>
    </row>
    <row r="236" spans="2:41" x14ac:dyDescent="0.15">
      <c r="B236" s="567">
        <v>12</v>
      </c>
      <c r="C236" s="566">
        <v>0.72568493150684932</v>
      </c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</row>
    <row r="237" spans="2:41" x14ac:dyDescent="0.15">
      <c r="B237" s="567">
        <v>13</v>
      </c>
      <c r="C237" s="566">
        <v>0.77579908675799092</v>
      </c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66"/>
      <c r="O237" s="566"/>
      <c r="P237" s="566"/>
      <c r="Q237" s="566"/>
      <c r="R237" s="566"/>
      <c r="S237" s="566"/>
      <c r="T237" s="566"/>
      <c r="U237" s="566"/>
      <c r="V237" s="566"/>
      <c r="W237" s="566"/>
      <c r="X237" s="566"/>
      <c r="Y237" s="566"/>
      <c r="Z237" s="566"/>
      <c r="AA237" s="566"/>
      <c r="AB237" s="566"/>
      <c r="AC237" s="566"/>
      <c r="AD237" s="566"/>
      <c r="AE237" s="566"/>
      <c r="AF237" s="566"/>
      <c r="AG237" s="566"/>
      <c r="AH237" s="566"/>
      <c r="AI237" s="566"/>
      <c r="AJ237" s="566"/>
      <c r="AK237" s="566"/>
      <c r="AL237" s="566"/>
      <c r="AM237" s="566"/>
      <c r="AN237" s="566"/>
      <c r="AO237" s="566"/>
    </row>
    <row r="238" spans="2:41" x14ac:dyDescent="0.15">
      <c r="B238" s="567">
        <v>14</v>
      </c>
      <c r="C238" s="566">
        <v>0.82248858447488582</v>
      </c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66"/>
      <c r="O238" s="566"/>
      <c r="P238" s="566"/>
      <c r="Q238" s="566"/>
      <c r="R238" s="566"/>
      <c r="S238" s="566"/>
      <c r="T238" s="566"/>
      <c r="U238" s="566"/>
      <c r="V238" s="566"/>
      <c r="W238" s="566"/>
      <c r="X238" s="566"/>
      <c r="Y238" s="566"/>
      <c r="Z238" s="566"/>
      <c r="AA238" s="566"/>
      <c r="AB238" s="566"/>
      <c r="AC238" s="566"/>
      <c r="AD238" s="566"/>
      <c r="AE238" s="566"/>
      <c r="AF238" s="566"/>
      <c r="AG238" s="566"/>
      <c r="AH238" s="566"/>
      <c r="AI238" s="566"/>
      <c r="AJ238" s="566"/>
      <c r="AK238" s="566"/>
      <c r="AL238" s="566"/>
      <c r="AM238" s="566"/>
      <c r="AN238" s="566"/>
      <c r="AO238" s="566"/>
    </row>
    <row r="239" spans="2:41" x14ac:dyDescent="0.15">
      <c r="B239" s="567">
        <v>15</v>
      </c>
      <c r="C239" s="566">
        <v>0.86130136986301364</v>
      </c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66"/>
      <c r="O239" s="566"/>
      <c r="P239" s="566"/>
      <c r="Q239" s="566"/>
      <c r="R239" s="566"/>
      <c r="S239" s="566"/>
      <c r="T239" s="566"/>
      <c r="U239" s="566"/>
      <c r="V239" s="566"/>
      <c r="W239" s="566"/>
      <c r="X239" s="566"/>
      <c r="Y239" s="566"/>
      <c r="Z239" s="566"/>
      <c r="AA239" s="566"/>
      <c r="AB239" s="566"/>
      <c r="AC239" s="566"/>
      <c r="AD239" s="566"/>
      <c r="AE239" s="566"/>
      <c r="AF239" s="566"/>
      <c r="AG239" s="566"/>
      <c r="AH239" s="566"/>
      <c r="AI239" s="566"/>
      <c r="AJ239" s="566"/>
      <c r="AK239" s="566"/>
      <c r="AL239" s="566"/>
      <c r="AM239" s="566"/>
      <c r="AN239" s="566"/>
      <c r="AO239" s="566"/>
    </row>
    <row r="240" spans="2:41" x14ac:dyDescent="0.15">
      <c r="B240" s="567">
        <v>16</v>
      </c>
      <c r="C240" s="566">
        <v>0.88299086757990863</v>
      </c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</row>
    <row r="241" spans="2:41" x14ac:dyDescent="0.15">
      <c r="B241" s="567">
        <v>17</v>
      </c>
      <c r="C241" s="566">
        <v>0.9178082191780822</v>
      </c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66"/>
      <c r="O241" s="566"/>
      <c r="P241" s="566"/>
      <c r="Q241" s="566"/>
      <c r="R241" s="566"/>
      <c r="S241" s="566"/>
      <c r="T241" s="566"/>
      <c r="U241" s="566"/>
      <c r="V241" s="566"/>
      <c r="W241" s="566"/>
      <c r="X241" s="566"/>
      <c r="Y241" s="566"/>
      <c r="Z241" s="566"/>
      <c r="AA241" s="566"/>
      <c r="AB241" s="566"/>
      <c r="AC241" s="566"/>
      <c r="AD241" s="566"/>
      <c r="AE241" s="566"/>
      <c r="AF241" s="566"/>
      <c r="AG241" s="566"/>
      <c r="AH241" s="566"/>
      <c r="AI241" s="566"/>
      <c r="AJ241" s="566"/>
      <c r="AK241" s="566"/>
      <c r="AL241" s="566"/>
      <c r="AM241" s="566"/>
      <c r="AN241" s="566"/>
      <c r="AO241" s="566"/>
    </row>
    <row r="242" spans="2:41" x14ac:dyDescent="0.15">
      <c r="B242" s="567">
        <v>18</v>
      </c>
      <c r="C242" s="566">
        <v>0.94509132420091324</v>
      </c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66"/>
      <c r="O242" s="566"/>
      <c r="P242" s="566"/>
      <c r="Q242" s="566"/>
      <c r="R242" s="566"/>
      <c r="S242" s="566"/>
      <c r="T242" s="566"/>
      <c r="U242" s="566"/>
      <c r="V242" s="566"/>
      <c r="W242" s="566"/>
      <c r="X242" s="566"/>
      <c r="Y242" s="566"/>
      <c r="Z242" s="566"/>
      <c r="AA242" s="566"/>
      <c r="AB242" s="566"/>
      <c r="AC242" s="566"/>
      <c r="AD242" s="566"/>
      <c r="AE242" s="566"/>
      <c r="AF242" s="566"/>
      <c r="AG242" s="566"/>
      <c r="AH242" s="566"/>
      <c r="AI242" s="566"/>
      <c r="AJ242" s="566"/>
      <c r="AK242" s="566"/>
      <c r="AL242" s="566"/>
      <c r="AM242" s="566"/>
      <c r="AN242" s="566"/>
      <c r="AO242" s="566"/>
    </row>
    <row r="243" spans="2:41" x14ac:dyDescent="0.15">
      <c r="B243" s="567">
        <v>19</v>
      </c>
      <c r="C243" s="566">
        <v>0.96369863013698631</v>
      </c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</row>
    <row r="244" spans="2:41" x14ac:dyDescent="0.15">
      <c r="B244" s="567">
        <v>20</v>
      </c>
      <c r="C244" s="566">
        <v>0.97659817351598177</v>
      </c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66"/>
      <c r="O244" s="566"/>
      <c r="P244" s="566"/>
      <c r="Q244" s="566"/>
      <c r="R244" s="566"/>
      <c r="S244" s="566"/>
      <c r="T244" s="566"/>
      <c r="U244" s="566"/>
      <c r="V244" s="566"/>
      <c r="W244" s="566"/>
      <c r="X244" s="566"/>
      <c r="Y244" s="566"/>
      <c r="Z244" s="566"/>
      <c r="AA244" s="566"/>
      <c r="AB244" s="566"/>
      <c r="AC244" s="566"/>
      <c r="AD244" s="566"/>
      <c r="AE244" s="566"/>
      <c r="AF244" s="566"/>
      <c r="AG244" s="566"/>
      <c r="AH244" s="566"/>
      <c r="AI244" s="566"/>
      <c r="AJ244" s="566"/>
      <c r="AK244" s="566"/>
      <c r="AL244" s="566"/>
      <c r="AM244" s="566"/>
      <c r="AN244" s="566"/>
      <c r="AO244" s="566"/>
    </row>
    <row r="245" spans="2:41" x14ac:dyDescent="0.15">
      <c r="B245" s="567">
        <v>21</v>
      </c>
      <c r="C245" s="566">
        <v>0.9817351598173516</v>
      </c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66"/>
      <c r="O245" s="566"/>
      <c r="P245" s="566"/>
      <c r="Q245" s="566"/>
      <c r="R245" s="566"/>
      <c r="S245" s="566"/>
      <c r="T245" s="566"/>
      <c r="U245" s="566"/>
      <c r="V245" s="566"/>
      <c r="W245" s="566"/>
      <c r="X245" s="566"/>
      <c r="Y245" s="566"/>
      <c r="Z245" s="566"/>
      <c r="AA245" s="566"/>
      <c r="AB245" s="566"/>
      <c r="AC245" s="566"/>
      <c r="AD245" s="566"/>
      <c r="AE245" s="566"/>
      <c r="AF245" s="566"/>
      <c r="AG245" s="566"/>
      <c r="AH245" s="566"/>
      <c r="AI245" s="566"/>
      <c r="AJ245" s="566"/>
      <c r="AK245" s="566"/>
      <c r="AL245" s="566"/>
      <c r="AM245" s="566"/>
      <c r="AN245" s="566"/>
      <c r="AO245" s="566"/>
    </row>
    <row r="246" spans="2:41" x14ac:dyDescent="0.15">
      <c r="B246" s="567">
        <v>22</v>
      </c>
      <c r="C246" s="566">
        <v>0.98847031963470322</v>
      </c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66"/>
      <c r="O246" s="566"/>
      <c r="P246" s="566"/>
      <c r="Q246" s="566"/>
      <c r="R246" s="566"/>
      <c r="S246" s="566"/>
      <c r="T246" s="566"/>
      <c r="U246" s="566"/>
      <c r="V246" s="566"/>
      <c r="W246" s="566"/>
      <c r="X246" s="566"/>
      <c r="Y246" s="566"/>
      <c r="Z246" s="566"/>
      <c r="AA246" s="566"/>
      <c r="AB246" s="566"/>
      <c r="AC246" s="566"/>
      <c r="AD246" s="566"/>
      <c r="AE246" s="566"/>
      <c r="AF246" s="566"/>
      <c r="AG246" s="566"/>
      <c r="AH246" s="566"/>
      <c r="AI246" s="566"/>
      <c r="AJ246" s="566"/>
      <c r="AK246" s="566"/>
      <c r="AL246" s="566"/>
      <c r="AM246" s="566"/>
      <c r="AN246" s="566"/>
      <c r="AO246" s="566"/>
    </row>
    <row r="247" spans="2:41" x14ac:dyDescent="0.15">
      <c r="B247" s="567">
        <v>23</v>
      </c>
      <c r="C247" s="566">
        <v>0.99372146118721461</v>
      </c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66"/>
      <c r="O247" s="566"/>
      <c r="P247" s="566"/>
      <c r="Q247" s="566"/>
      <c r="R247" s="566"/>
      <c r="S247" s="566"/>
      <c r="T247" s="566"/>
      <c r="U247" s="566"/>
      <c r="V247" s="566"/>
      <c r="W247" s="566"/>
      <c r="X247" s="566"/>
      <c r="Y247" s="566"/>
      <c r="Z247" s="566"/>
      <c r="AA247" s="566"/>
      <c r="AB247" s="566"/>
      <c r="AC247" s="566"/>
      <c r="AD247" s="566"/>
      <c r="AE247" s="566"/>
      <c r="AF247" s="566"/>
      <c r="AG247" s="566"/>
      <c r="AH247" s="566"/>
      <c r="AI247" s="566"/>
      <c r="AJ247" s="566"/>
      <c r="AK247" s="566"/>
      <c r="AL247" s="566"/>
      <c r="AM247" s="566"/>
      <c r="AN247" s="566"/>
      <c r="AO247" s="566"/>
    </row>
    <row r="248" spans="2:41" x14ac:dyDescent="0.15">
      <c r="B248" s="567">
        <v>24</v>
      </c>
      <c r="C248" s="566">
        <v>0.9963470319634703</v>
      </c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66"/>
      <c r="O248" s="566"/>
      <c r="P248" s="566"/>
      <c r="Q248" s="566"/>
      <c r="R248" s="566"/>
      <c r="S248" s="566"/>
      <c r="T248" s="566"/>
      <c r="U248" s="566"/>
      <c r="V248" s="566"/>
      <c r="W248" s="566"/>
      <c r="X248" s="566"/>
      <c r="Y248" s="566"/>
      <c r="Z248" s="566"/>
      <c r="AA248" s="566"/>
      <c r="AB248" s="566"/>
      <c r="AC248" s="566"/>
      <c r="AD248" s="566"/>
      <c r="AE248" s="566"/>
      <c r="AF248" s="566"/>
      <c r="AG248" s="566"/>
      <c r="AH248" s="566"/>
      <c r="AI248" s="566"/>
      <c r="AJ248" s="566"/>
      <c r="AK248" s="566"/>
      <c r="AL248" s="566"/>
      <c r="AM248" s="566"/>
      <c r="AN248" s="566"/>
      <c r="AO248" s="566"/>
    </row>
    <row r="249" spans="2:41" x14ac:dyDescent="0.15">
      <c r="B249" s="567">
        <v>25</v>
      </c>
      <c r="C249" s="566">
        <v>0.99840182648401832</v>
      </c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66"/>
      <c r="O249" s="566"/>
      <c r="P249" s="566"/>
      <c r="Q249" s="566"/>
      <c r="R249" s="566"/>
      <c r="S249" s="566"/>
      <c r="T249" s="566"/>
      <c r="U249" s="566"/>
      <c r="V249" s="566"/>
      <c r="W249" s="566"/>
      <c r="X249" s="566"/>
      <c r="Y249" s="566"/>
      <c r="Z249" s="566"/>
      <c r="AA249" s="566"/>
      <c r="AB249" s="566"/>
      <c r="AC249" s="566"/>
      <c r="AD249" s="566"/>
      <c r="AE249" s="566"/>
      <c r="AF249" s="566"/>
      <c r="AG249" s="566"/>
      <c r="AH249" s="566"/>
      <c r="AI249" s="566"/>
      <c r="AJ249" s="566"/>
      <c r="AK249" s="566"/>
      <c r="AL249" s="566"/>
      <c r="AM249" s="566"/>
      <c r="AN249" s="566"/>
      <c r="AO249" s="566"/>
    </row>
    <row r="250" spans="2:41" x14ac:dyDescent="0.15">
      <c r="B250" s="567">
        <v>26</v>
      </c>
      <c r="C250" s="566">
        <v>0.99908675799086755</v>
      </c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66"/>
      <c r="O250" s="566"/>
      <c r="P250" s="566"/>
      <c r="Q250" s="566"/>
      <c r="R250" s="566"/>
      <c r="S250" s="566"/>
      <c r="T250" s="566"/>
      <c r="U250" s="566"/>
      <c r="V250" s="566"/>
      <c r="W250" s="566"/>
      <c r="X250" s="566"/>
      <c r="Y250" s="566"/>
      <c r="Z250" s="566"/>
      <c r="AA250" s="566"/>
      <c r="AB250" s="566"/>
      <c r="AC250" s="566"/>
      <c r="AD250" s="566"/>
      <c r="AE250" s="566"/>
      <c r="AF250" s="566"/>
      <c r="AG250" s="566"/>
      <c r="AH250" s="566"/>
      <c r="AI250" s="566"/>
      <c r="AJ250" s="566"/>
      <c r="AK250" s="566"/>
      <c r="AL250" s="566"/>
      <c r="AM250" s="566"/>
      <c r="AN250" s="566"/>
      <c r="AO250" s="566"/>
    </row>
    <row r="251" spans="2:41" x14ac:dyDescent="0.15">
      <c r="B251" s="567">
        <v>27</v>
      </c>
      <c r="C251" s="566">
        <v>0.99965753424657533</v>
      </c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66"/>
      <c r="O251" s="566"/>
      <c r="P251" s="566"/>
      <c r="Q251" s="566"/>
      <c r="R251" s="566"/>
      <c r="S251" s="566"/>
      <c r="T251" s="566"/>
      <c r="U251" s="566"/>
      <c r="V251" s="566"/>
      <c r="W251" s="566"/>
      <c r="X251" s="566"/>
      <c r="Y251" s="566"/>
      <c r="Z251" s="566"/>
      <c r="AA251" s="566"/>
      <c r="AB251" s="566"/>
      <c r="AC251" s="566"/>
      <c r="AD251" s="566"/>
      <c r="AE251" s="566"/>
      <c r="AF251" s="566"/>
      <c r="AG251" s="566"/>
      <c r="AH251" s="566"/>
      <c r="AI251" s="566"/>
      <c r="AJ251" s="566"/>
      <c r="AK251" s="566"/>
      <c r="AL251" s="566"/>
      <c r="AM251" s="566"/>
      <c r="AN251" s="566"/>
      <c r="AO251" s="566"/>
    </row>
    <row r="252" spans="2:41" x14ac:dyDescent="0.15">
      <c r="B252" s="567">
        <v>28</v>
      </c>
      <c r="C252" s="566">
        <v>1</v>
      </c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66"/>
      <c r="O252" s="566"/>
      <c r="P252" s="566"/>
      <c r="Q252" s="566"/>
      <c r="R252" s="566"/>
      <c r="S252" s="566"/>
      <c r="T252" s="566"/>
      <c r="U252" s="566"/>
      <c r="V252" s="566"/>
      <c r="W252" s="566"/>
      <c r="X252" s="566"/>
      <c r="Y252" s="566"/>
      <c r="Z252" s="566"/>
      <c r="AA252" s="566"/>
      <c r="AB252" s="566"/>
      <c r="AC252" s="566"/>
      <c r="AD252" s="566"/>
      <c r="AE252" s="566"/>
      <c r="AF252" s="566"/>
      <c r="AG252" s="566"/>
      <c r="AH252" s="566"/>
      <c r="AI252" s="566"/>
      <c r="AJ252" s="566"/>
      <c r="AK252" s="566"/>
      <c r="AL252" s="566"/>
      <c r="AM252" s="566"/>
      <c r="AN252" s="566"/>
      <c r="AO252" s="566"/>
    </row>
    <row r="253" spans="2:41" x14ac:dyDescent="0.15">
      <c r="B253" s="567">
        <v>29</v>
      </c>
      <c r="C253" s="566">
        <v>1</v>
      </c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66"/>
      <c r="O253" s="566"/>
      <c r="P253" s="566"/>
      <c r="Q253" s="566"/>
      <c r="R253" s="566"/>
      <c r="S253" s="566"/>
      <c r="T253" s="566"/>
      <c r="U253" s="566"/>
      <c r="V253" s="566"/>
      <c r="W253" s="566"/>
      <c r="X253" s="566"/>
      <c r="Y253" s="566"/>
      <c r="Z253" s="566"/>
      <c r="AA253" s="566"/>
      <c r="AB253" s="566"/>
      <c r="AC253" s="566"/>
      <c r="AD253" s="566"/>
      <c r="AE253" s="566"/>
      <c r="AF253" s="566"/>
      <c r="AG253" s="566"/>
      <c r="AH253" s="566"/>
      <c r="AI253" s="566"/>
      <c r="AJ253" s="566"/>
      <c r="AK253" s="566"/>
      <c r="AL253" s="566"/>
      <c r="AM253" s="566"/>
      <c r="AN253" s="566"/>
      <c r="AO253" s="566"/>
    </row>
    <row r="254" spans="2:41" x14ac:dyDescent="0.15">
      <c r="B254" s="567">
        <v>30</v>
      </c>
      <c r="C254" s="566">
        <v>1</v>
      </c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66"/>
      <c r="O254" s="566"/>
      <c r="P254" s="566"/>
      <c r="Q254" s="566"/>
      <c r="R254" s="566"/>
      <c r="S254" s="566"/>
      <c r="T254" s="566"/>
      <c r="U254" s="566"/>
      <c r="V254" s="566"/>
      <c r="W254" s="566"/>
      <c r="X254" s="566"/>
      <c r="Y254" s="566"/>
      <c r="Z254" s="566"/>
      <c r="AA254" s="566"/>
      <c r="AB254" s="566"/>
      <c r="AC254" s="566"/>
      <c r="AD254" s="566"/>
      <c r="AE254" s="566"/>
      <c r="AF254" s="566"/>
      <c r="AG254" s="566"/>
      <c r="AH254" s="566"/>
      <c r="AI254" s="566"/>
      <c r="AJ254" s="566"/>
      <c r="AK254" s="566"/>
      <c r="AL254" s="566"/>
      <c r="AM254" s="566"/>
      <c r="AN254" s="566"/>
      <c r="AO254" s="566"/>
    </row>
    <row r="255" spans="2:41" x14ac:dyDescent="0.15">
      <c r="B255" s="567">
        <v>31</v>
      </c>
      <c r="C255" s="566">
        <v>1</v>
      </c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66"/>
      <c r="O255" s="566"/>
      <c r="P255" s="566"/>
      <c r="Q255" s="566"/>
      <c r="R255" s="566"/>
      <c r="S255" s="566"/>
      <c r="T255" s="566"/>
      <c r="U255" s="566"/>
      <c r="V255" s="566"/>
      <c r="W255" s="566"/>
      <c r="X255" s="566"/>
      <c r="Y255" s="566"/>
      <c r="Z255" s="566"/>
      <c r="AA255" s="566"/>
      <c r="AB255" s="566"/>
      <c r="AC255" s="566"/>
      <c r="AD255" s="566"/>
      <c r="AE255" s="566"/>
      <c r="AF255" s="566"/>
      <c r="AG255" s="566"/>
      <c r="AH255" s="566"/>
      <c r="AI255" s="566"/>
      <c r="AJ255" s="566"/>
      <c r="AK255" s="566"/>
      <c r="AL255" s="566"/>
      <c r="AM255" s="566"/>
      <c r="AN255" s="566"/>
      <c r="AO255" s="566"/>
    </row>
    <row r="256" spans="2:41" x14ac:dyDescent="0.15">
      <c r="B256" s="567">
        <v>32</v>
      </c>
      <c r="C256" s="566">
        <v>1</v>
      </c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66"/>
      <c r="O256" s="566"/>
      <c r="P256" s="566"/>
      <c r="Q256" s="566"/>
      <c r="R256" s="566"/>
      <c r="S256" s="566"/>
      <c r="T256" s="566"/>
      <c r="U256" s="566"/>
      <c r="V256" s="566"/>
      <c r="W256" s="566"/>
      <c r="X256" s="566"/>
      <c r="Y256" s="566"/>
      <c r="Z256" s="566"/>
      <c r="AA256" s="566"/>
      <c r="AB256" s="566"/>
      <c r="AC256" s="566"/>
      <c r="AD256" s="566"/>
      <c r="AE256" s="566"/>
      <c r="AF256" s="566"/>
      <c r="AG256" s="566"/>
      <c r="AH256" s="566"/>
      <c r="AI256" s="566"/>
      <c r="AJ256" s="566"/>
      <c r="AK256" s="566"/>
      <c r="AL256" s="566"/>
      <c r="AM256" s="566"/>
      <c r="AN256" s="566"/>
      <c r="AO256" s="566"/>
    </row>
    <row r="257" spans="2:41" x14ac:dyDescent="0.15">
      <c r="B257" s="567">
        <v>33</v>
      </c>
      <c r="C257" s="566">
        <v>1</v>
      </c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66"/>
      <c r="O257" s="566"/>
      <c r="P257" s="566"/>
      <c r="Q257" s="566"/>
      <c r="R257" s="566"/>
      <c r="S257" s="566"/>
      <c r="T257" s="566"/>
      <c r="U257" s="566"/>
      <c r="V257" s="566"/>
      <c r="W257" s="566"/>
      <c r="X257" s="566"/>
      <c r="Y257" s="566"/>
      <c r="Z257" s="566"/>
      <c r="AA257" s="566"/>
      <c r="AB257" s="566"/>
      <c r="AC257" s="566"/>
      <c r="AD257" s="566"/>
      <c r="AE257" s="566"/>
      <c r="AF257" s="566"/>
      <c r="AG257" s="566"/>
      <c r="AH257" s="566"/>
      <c r="AI257" s="566"/>
      <c r="AJ257" s="566"/>
      <c r="AK257" s="566"/>
      <c r="AL257" s="566"/>
      <c r="AM257" s="566"/>
      <c r="AN257" s="566"/>
      <c r="AO257" s="566"/>
    </row>
    <row r="258" spans="2:41" x14ac:dyDescent="0.15">
      <c r="B258" s="567">
        <v>34</v>
      </c>
      <c r="C258" s="566">
        <v>1</v>
      </c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66"/>
      <c r="O258" s="566"/>
      <c r="P258" s="566"/>
      <c r="Q258" s="566"/>
      <c r="R258" s="566"/>
      <c r="S258" s="566"/>
      <c r="T258" s="566"/>
      <c r="U258" s="566"/>
      <c r="V258" s="566"/>
      <c r="W258" s="566"/>
      <c r="X258" s="566"/>
      <c r="Y258" s="566"/>
      <c r="Z258" s="566"/>
      <c r="AA258" s="566"/>
      <c r="AB258" s="566"/>
      <c r="AC258" s="566"/>
      <c r="AD258" s="566"/>
      <c r="AE258" s="566"/>
      <c r="AF258" s="566"/>
      <c r="AG258" s="566"/>
      <c r="AH258" s="566"/>
      <c r="AI258" s="566"/>
      <c r="AJ258" s="566"/>
      <c r="AK258" s="566"/>
      <c r="AL258" s="566"/>
      <c r="AM258" s="566"/>
      <c r="AN258" s="566"/>
      <c r="AO258" s="566"/>
    </row>
    <row r="259" spans="2:41" x14ac:dyDescent="0.15">
      <c r="B259" s="567">
        <v>35</v>
      </c>
      <c r="C259" s="566">
        <v>1</v>
      </c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566"/>
      <c r="X259" s="566"/>
      <c r="Y259" s="566"/>
      <c r="Z259" s="566"/>
      <c r="AA259" s="566"/>
      <c r="AB259" s="566"/>
      <c r="AC259" s="566"/>
      <c r="AD259" s="566"/>
      <c r="AE259" s="566"/>
      <c r="AF259" s="566"/>
      <c r="AG259" s="566"/>
      <c r="AH259" s="566"/>
      <c r="AI259" s="566"/>
      <c r="AJ259" s="566"/>
      <c r="AK259" s="566"/>
      <c r="AL259" s="566"/>
      <c r="AM259" s="566"/>
      <c r="AN259" s="566"/>
      <c r="AO259" s="566"/>
    </row>
    <row r="260" spans="2:41" x14ac:dyDescent="0.15">
      <c r="B260" s="567">
        <v>36</v>
      </c>
      <c r="C260" s="566">
        <v>1</v>
      </c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66"/>
      <c r="O260" s="566"/>
      <c r="P260" s="566"/>
      <c r="Q260" s="566"/>
      <c r="R260" s="566"/>
      <c r="S260" s="566"/>
      <c r="T260" s="566"/>
      <c r="U260" s="566"/>
      <c r="V260" s="566"/>
      <c r="W260" s="566"/>
      <c r="X260" s="566"/>
      <c r="Y260" s="566"/>
      <c r="Z260" s="566"/>
      <c r="AA260" s="566"/>
      <c r="AB260" s="566"/>
      <c r="AC260" s="566"/>
      <c r="AD260" s="566"/>
      <c r="AE260" s="566"/>
      <c r="AF260" s="566"/>
      <c r="AG260" s="566"/>
      <c r="AH260" s="566"/>
      <c r="AI260" s="566"/>
      <c r="AJ260" s="566"/>
      <c r="AK260" s="566"/>
      <c r="AL260" s="566"/>
      <c r="AM260" s="566"/>
      <c r="AN260" s="566"/>
      <c r="AO260" s="566"/>
    </row>
    <row r="261" spans="2:41" x14ac:dyDescent="0.15">
      <c r="B261" s="567">
        <v>37</v>
      </c>
      <c r="C261" s="566">
        <v>1</v>
      </c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6"/>
    </row>
    <row r="262" spans="2:41" x14ac:dyDescent="0.15">
      <c r="B262" s="567">
        <v>38</v>
      </c>
      <c r="C262" s="566">
        <v>1</v>
      </c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66"/>
      <c r="O262" s="566"/>
      <c r="P262" s="566"/>
      <c r="Q262" s="566"/>
      <c r="R262" s="566"/>
      <c r="S262" s="566"/>
      <c r="T262" s="566"/>
      <c r="U262" s="566"/>
      <c r="V262" s="566"/>
      <c r="W262" s="566"/>
      <c r="X262" s="566"/>
      <c r="Y262" s="566"/>
      <c r="Z262" s="566"/>
      <c r="AA262" s="566"/>
      <c r="AB262" s="566"/>
      <c r="AC262" s="566"/>
      <c r="AD262" s="566"/>
      <c r="AE262" s="566"/>
      <c r="AF262" s="566"/>
      <c r="AG262" s="566"/>
      <c r="AH262" s="566"/>
      <c r="AI262" s="566"/>
      <c r="AJ262" s="566"/>
      <c r="AK262" s="566"/>
      <c r="AL262" s="566"/>
      <c r="AM262" s="566"/>
      <c r="AN262" s="566"/>
      <c r="AO262" s="566"/>
    </row>
    <row r="263" spans="2:41" x14ac:dyDescent="0.15">
      <c r="B263" s="567">
        <v>39</v>
      </c>
      <c r="C263" s="566">
        <v>1</v>
      </c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66"/>
      <c r="O263" s="566"/>
      <c r="P263" s="566"/>
      <c r="Q263" s="566"/>
      <c r="R263" s="566"/>
      <c r="S263" s="566"/>
      <c r="T263" s="566"/>
      <c r="U263" s="566"/>
      <c r="V263" s="566"/>
      <c r="W263" s="566"/>
      <c r="X263" s="566"/>
      <c r="Y263" s="566"/>
      <c r="Z263" s="566"/>
      <c r="AA263" s="566"/>
      <c r="AB263" s="566"/>
      <c r="AC263" s="566"/>
      <c r="AD263" s="566"/>
      <c r="AE263" s="566"/>
      <c r="AF263" s="566"/>
      <c r="AG263" s="566"/>
      <c r="AH263" s="566"/>
      <c r="AI263" s="566"/>
      <c r="AJ263" s="566"/>
      <c r="AK263" s="566"/>
      <c r="AL263" s="566"/>
      <c r="AM263" s="566"/>
      <c r="AN263" s="566"/>
      <c r="AO263" s="566"/>
    </row>
    <row r="264" spans="2:41" x14ac:dyDescent="0.15">
      <c r="B264" s="568">
        <v>40</v>
      </c>
      <c r="C264" s="566">
        <v>1</v>
      </c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  <c r="AA264" s="566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</row>
    <row r="273" spans="2:41" s="563" customFormat="1" ht="14" x14ac:dyDescent="0.15">
      <c r="B273" s="560" t="str" cm="1">
        <f t="array" ref="B273:AO273">TRANSPOSE('Syötä kaupungit KIRJASTOLINKIT!'!$E$1:$E$40)</f>
        <v>MAA 4</v>
      </c>
      <c r="C273" s="564" t="str">
        <v>Tallinna</v>
      </c>
      <c r="D273" s="564">
        <v>0</v>
      </c>
      <c r="E273" s="564">
        <v>0</v>
      </c>
      <c r="F273" s="564">
        <v>0</v>
      </c>
      <c r="G273" s="564">
        <v>0</v>
      </c>
      <c r="H273" s="564">
        <v>0</v>
      </c>
      <c r="I273" s="564">
        <v>0</v>
      </c>
      <c r="J273" s="564">
        <v>0</v>
      </c>
      <c r="K273" s="564">
        <v>0</v>
      </c>
      <c r="L273" s="564">
        <v>0</v>
      </c>
      <c r="M273" s="564">
        <v>0</v>
      </c>
      <c r="N273" s="564">
        <v>0</v>
      </c>
      <c r="O273" s="564">
        <v>0</v>
      </c>
      <c r="P273" s="564">
        <v>0</v>
      </c>
      <c r="Q273" s="564">
        <v>0</v>
      </c>
      <c r="R273" s="564">
        <v>0</v>
      </c>
      <c r="S273" s="564">
        <v>0</v>
      </c>
      <c r="T273" s="564">
        <v>0</v>
      </c>
      <c r="U273" s="564">
        <v>0</v>
      </c>
      <c r="V273" s="564">
        <v>0</v>
      </c>
      <c r="W273" s="564">
        <v>0</v>
      </c>
      <c r="X273" s="564">
        <v>0</v>
      </c>
      <c r="Y273" s="564">
        <v>0</v>
      </c>
      <c r="Z273" s="564">
        <v>0</v>
      </c>
      <c r="AA273" s="564">
        <v>0</v>
      </c>
      <c r="AB273" s="564">
        <v>0</v>
      </c>
      <c r="AC273" s="564">
        <v>0</v>
      </c>
      <c r="AD273" s="564">
        <v>0</v>
      </c>
      <c r="AE273" s="564">
        <v>0</v>
      </c>
      <c r="AF273" s="564">
        <v>0</v>
      </c>
      <c r="AG273" s="564">
        <v>0</v>
      </c>
      <c r="AH273" s="564">
        <v>0</v>
      </c>
      <c r="AI273" s="564">
        <v>0</v>
      </c>
      <c r="AJ273" s="564">
        <v>0</v>
      </c>
      <c r="AK273" s="564">
        <v>0</v>
      </c>
      <c r="AL273" s="564">
        <v>0</v>
      </c>
      <c r="AM273" s="564">
        <v>0</v>
      </c>
      <c r="AN273" s="564">
        <v>0</v>
      </c>
      <c r="AO273" s="564">
        <v>0</v>
      </c>
    </row>
    <row r="274" spans="2:41" x14ac:dyDescent="0.15">
      <c r="B274" s="565">
        <v>-40</v>
      </c>
      <c r="C274" s="566">
        <v>0</v>
      </c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66"/>
      <c r="O274" s="566"/>
      <c r="P274" s="566"/>
      <c r="Q274" s="566"/>
      <c r="R274" s="566"/>
      <c r="S274" s="566"/>
      <c r="T274" s="566"/>
      <c r="U274" s="566"/>
      <c r="V274" s="566"/>
      <c r="W274" s="566"/>
      <c r="X274" s="566"/>
      <c r="Y274" s="566"/>
      <c r="Z274" s="566"/>
      <c r="AA274" s="566"/>
      <c r="AB274" s="566"/>
      <c r="AC274" s="566"/>
      <c r="AD274" s="566"/>
      <c r="AE274" s="566"/>
      <c r="AF274" s="566"/>
      <c r="AG274" s="566"/>
      <c r="AH274" s="566"/>
      <c r="AI274" s="566"/>
      <c r="AJ274" s="566"/>
      <c r="AK274" s="566"/>
      <c r="AL274" s="566"/>
      <c r="AM274" s="566"/>
      <c r="AN274" s="566"/>
      <c r="AO274" s="566"/>
    </row>
    <row r="275" spans="2:41" x14ac:dyDescent="0.15">
      <c r="B275" s="567">
        <v>-39</v>
      </c>
      <c r="C275" s="566">
        <v>0</v>
      </c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566"/>
      <c r="X275" s="566"/>
      <c r="Y275" s="566"/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</row>
    <row r="276" spans="2:41" x14ac:dyDescent="0.15">
      <c r="B276" s="567">
        <v>-38</v>
      </c>
      <c r="C276" s="566">
        <v>0</v>
      </c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66"/>
      <c r="O276" s="566"/>
      <c r="P276" s="566"/>
      <c r="Q276" s="566"/>
      <c r="R276" s="566"/>
      <c r="S276" s="566"/>
      <c r="T276" s="566"/>
      <c r="U276" s="566"/>
      <c r="V276" s="566"/>
      <c r="W276" s="566"/>
      <c r="X276" s="566"/>
      <c r="Y276" s="566"/>
      <c r="Z276" s="566"/>
      <c r="AA276" s="566"/>
      <c r="AB276" s="566"/>
      <c r="AC276" s="566"/>
      <c r="AD276" s="566"/>
      <c r="AE276" s="566"/>
      <c r="AF276" s="566"/>
      <c r="AG276" s="566"/>
      <c r="AH276" s="566"/>
      <c r="AI276" s="566"/>
      <c r="AJ276" s="566"/>
      <c r="AK276" s="566"/>
      <c r="AL276" s="566"/>
      <c r="AM276" s="566"/>
      <c r="AN276" s="566"/>
      <c r="AO276" s="566"/>
    </row>
    <row r="277" spans="2:41" x14ac:dyDescent="0.15">
      <c r="B277" s="567">
        <v>-37</v>
      </c>
      <c r="C277" s="566">
        <v>0</v>
      </c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66"/>
      <c r="O277" s="566"/>
      <c r="P277" s="566"/>
      <c r="Q277" s="566"/>
      <c r="R277" s="566"/>
      <c r="S277" s="566"/>
      <c r="T277" s="566"/>
      <c r="U277" s="566"/>
      <c r="V277" s="566"/>
      <c r="W277" s="566"/>
      <c r="X277" s="566"/>
      <c r="Y277" s="566"/>
      <c r="Z277" s="566"/>
      <c r="AA277" s="566"/>
      <c r="AB277" s="566"/>
      <c r="AC277" s="566"/>
      <c r="AD277" s="566"/>
      <c r="AE277" s="566"/>
      <c r="AF277" s="566"/>
      <c r="AG277" s="566"/>
      <c r="AH277" s="566"/>
      <c r="AI277" s="566"/>
      <c r="AJ277" s="566"/>
      <c r="AK277" s="566"/>
      <c r="AL277" s="566"/>
      <c r="AM277" s="566"/>
      <c r="AN277" s="566"/>
      <c r="AO277" s="566"/>
    </row>
    <row r="278" spans="2:41" x14ac:dyDescent="0.15">
      <c r="B278" s="567">
        <v>-36</v>
      </c>
      <c r="C278" s="566">
        <v>0</v>
      </c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66"/>
      <c r="O278" s="566"/>
      <c r="P278" s="566"/>
      <c r="Q278" s="566"/>
      <c r="R278" s="566"/>
      <c r="S278" s="566"/>
      <c r="T278" s="566"/>
      <c r="U278" s="566"/>
      <c r="V278" s="566"/>
      <c r="W278" s="566"/>
      <c r="X278" s="566"/>
      <c r="Y278" s="566"/>
      <c r="Z278" s="566"/>
      <c r="AA278" s="566"/>
      <c r="AB278" s="566"/>
      <c r="AC278" s="566"/>
      <c r="AD278" s="566"/>
      <c r="AE278" s="566"/>
      <c r="AF278" s="566"/>
      <c r="AG278" s="566"/>
      <c r="AH278" s="566"/>
      <c r="AI278" s="566"/>
      <c r="AJ278" s="566"/>
      <c r="AK278" s="566"/>
      <c r="AL278" s="566"/>
      <c r="AM278" s="566"/>
      <c r="AN278" s="566"/>
      <c r="AO278" s="566"/>
    </row>
    <row r="279" spans="2:41" x14ac:dyDescent="0.15">
      <c r="B279" s="567">
        <v>-35</v>
      </c>
      <c r="C279" s="566">
        <v>0</v>
      </c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66"/>
      <c r="O279" s="566"/>
      <c r="P279" s="566"/>
      <c r="Q279" s="566"/>
      <c r="R279" s="566"/>
      <c r="S279" s="566"/>
      <c r="T279" s="566"/>
      <c r="U279" s="566"/>
      <c r="V279" s="566"/>
      <c r="W279" s="566"/>
      <c r="X279" s="566"/>
      <c r="Y279" s="566"/>
      <c r="Z279" s="566"/>
      <c r="AA279" s="566"/>
      <c r="AB279" s="566"/>
      <c r="AC279" s="566"/>
      <c r="AD279" s="566"/>
      <c r="AE279" s="566"/>
      <c r="AF279" s="566"/>
      <c r="AG279" s="566"/>
      <c r="AH279" s="566"/>
      <c r="AI279" s="566"/>
      <c r="AJ279" s="566"/>
      <c r="AK279" s="566"/>
      <c r="AL279" s="566"/>
      <c r="AM279" s="566"/>
      <c r="AN279" s="566"/>
      <c r="AO279" s="566"/>
    </row>
    <row r="280" spans="2:41" x14ac:dyDescent="0.15">
      <c r="B280" s="567">
        <v>-34</v>
      </c>
      <c r="C280" s="566">
        <v>0</v>
      </c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66"/>
      <c r="O280" s="566"/>
      <c r="P280" s="566"/>
      <c r="Q280" s="566"/>
      <c r="R280" s="566"/>
      <c r="S280" s="566"/>
      <c r="T280" s="566"/>
      <c r="U280" s="566"/>
      <c r="V280" s="566"/>
      <c r="W280" s="566"/>
      <c r="X280" s="566"/>
      <c r="Y280" s="566"/>
      <c r="Z280" s="566"/>
      <c r="AA280" s="566"/>
      <c r="AB280" s="566"/>
      <c r="AC280" s="566"/>
      <c r="AD280" s="566"/>
      <c r="AE280" s="566"/>
      <c r="AF280" s="566"/>
      <c r="AG280" s="566"/>
      <c r="AH280" s="566"/>
      <c r="AI280" s="566"/>
      <c r="AJ280" s="566"/>
      <c r="AK280" s="566"/>
      <c r="AL280" s="566"/>
      <c r="AM280" s="566"/>
      <c r="AN280" s="566"/>
      <c r="AO280" s="566"/>
    </row>
    <row r="281" spans="2:41" x14ac:dyDescent="0.15">
      <c r="B281" s="567">
        <v>-33</v>
      </c>
      <c r="C281" s="566">
        <v>0</v>
      </c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66"/>
      <c r="O281" s="566"/>
      <c r="P281" s="566"/>
      <c r="Q281" s="566"/>
      <c r="R281" s="566"/>
      <c r="S281" s="566"/>
      <c r="T281" s="566"/>
      <c r="U281" s="566"/>
      <c r="V281" s="566"/>
      <c r="W281" s="566"/>
      <c r="X281" s="566"/>
      <c r="Y281" s="566"/>
      <c r="Z281" s="566"/>
      <c r="AA281" s="566"/>
      <c r="AB281" s="566"/>
      <c r="AC281" s="566"/>
      <c r="AD281" s="566"/>
      <c r="AE281" s="566"/>
      <c r="AF281" s="566"/>
      <c r="AG281" s="566"/>
      <c r="AH281" s="566"/>
      <c r="AI281" s="566"/>
      <c r="AJ281" s="566"/>
      <c r="AK281" s="566"/>
      <c r="AL281" s="566"/>
      <c r="AM281" s="566"/>
      <c r="AN281" s="566"/>
      <c r="AO281" s="566"/>
    </row>
    <row r="282" spans="2:41" x14ac:dyDescent="0.15">
      <c r="B282" s="567">
        <v>-32</v>
      </c>
      <c r="C282" s="566">
        <v>0</v>
      </c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66"/>
      <c r="O282" s="566"/>
      <c r="P282" s="566"/>
      <c r="Q282" s="566"/>
      <c r="R282" s="566"/>
      <c r="S282" s="566"/>
      <c r="T282" s="566"/>
      <c r="U282" s="566"/>
      <c r="V282" s="566"/>
      <c r="W282" s="566"/>
      <c r="X282" s="566"/>
      <c r="Y282" s="566"/>
      <c r="Z282" s="566"/>
      <c r="AA282" s="566"/>
      <c r="AB282" s="566"/>
      <c r="AC282" s="566"/>
      <c r="AD282" s="566"/>
      <c r="AE282" s="566"/>
      <c r="AF282" s="566"/>
      <c r="AG282" s="566"/>
      <c r="AH282" s="566"/>
      <c r="AI282" s="566"/>
      <c r="AJ282" s="566"/>
      <c r="AK282" s="566"/>
      <c r="AL282" s="566"/>
      <c r="AM282" s="566"/>
      <c r="AN282" s="566"/>
      <c r="AO282" s="566"/>
    </row>
    <row r="283" spans="2:41" x14ac:dyDescent="0.15">
      <c r="B283" s="567">
        <v>-31</v>
      </c>
      <c r="C283" s="566">
        <v>0</v>
      </c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66"/>
      <c r="O283" s="566"/>
      <c r="P283" s="566"/>
      <c r="Q283" s="566"/>
      <c r="R283" s="566"/>
      <c r="S283" s="566"/>
      <c r="T283" s="566"/>
      <c r="U283" s="566"/>
      <c r="V283" s="566"/>
      <c r="W283" s="566"/>
      <c r="X283" s="566"/>
      <c r="Y283" s="566"/>
      <c r="Z283" s="566"/>
      <c r="AA283" s="566"/>
      <c r="AB283" s="566"/>
      <c r="AC283" s="566"/>
      <c r="AD283" s="566"/>
      <c r="AE283" s="566"/>
      <c r="AF283" s="566"/>
      <c r="AG283" s="566"/>
      <c r="AH283" s="566"/>
      <c r="AI283" s="566"/>
      <c r="AJ283" s="566"/>
      <c r="AK283" s="566"/>
      <c r="AL283" s="566"/>
      <c r="AM283" s="566"/>
      <c r="AN283" s="566"/>
      <c r="AO283" s="566"/>
    </row>
    <row r="284" spans="2:41" x14ac:dyDescent="0.15">
      <c r="B284" s="567">
        <v>-30</v>
      </c>
      <c r="C284" s="566">
        <v>0</v>
      </c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66"/>
      <c r="O284" s="566"/>
      <c r="P284" s="566"/>
      <c r="Q284" s="566"/>
      <c r="R284" s="566"/>
      <c r="S284" s="566"/>
      <c r="T284" s="566"/>
      <c r="U284" s="566"/>
      <c r="V284" s="566"/>
      <c r="W284" s="566"/>
      <c r="X284" s="566"/>
      <c r="Y284" s="566"/>
      <c r="Z284" s="566"/>
      <c r="AA284" s="566"/>
      <c r="AB284" s="566"/>
      <c r="AC284" s="566"/>
      <c r="AD284" s="566"/>
      <c r="AE284" s="566"/>
      <c r="AF284" s="566"/>
      <c r="AG284" s="566"/>
      <c r="AH284" s="566"/>
      <c r="AI284" s="566"/>
      <c r="AJ284" s="566"/>
      <c r="AK284" s="566"/>
      <c r="AL284" s="566"/>
      <c r="AM284" s="566"/>
      <c r="AN284" s="566"/>
      <c r="AO284" s="566"/>
    </row>
    <row r="285" spans="2:41" x14ac:dyDescent="0.15">
      <c r="B285" s="567">
        <v>-29</v>
      </c>
      <c r="C285" s="566">
        <v>0</v>
      </c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66"/>
      <c r="O285" s="566"/>
      <c r="P285" s="566"/>
      <c r="Q285" s="566"/>
      <c r="R285" s="566"/>
      <c r="S285" s="566"/>
      <c r="T285" s="566"/>
      <c r="U285" s="566"/>
      <c r="V285" s="566"/>
      <c r="W285" s="566"/>
      <c r="X285" s="566"/>
      <c r="Y285" s="566"/>
      <c r="Z285" s="566"/>
      <c r="AA285" s="566"/>
      <c r="AB285" s="566"/>
      <c r="AC285" s="566"/>
      <c r="AD285" s="566"/>
      <c r="AE285" s="566"/>
      <c r="AF285" s="566"/>
      <c r="AG285" s="566"/>
      <c r="AH285" s="566"/>
      <c r="AI285" s="566"/>
      <c r="AJ285" s="566"/>
      <c r="AK285" s="566"/>
      <c r="AL285" s="566"/>
      <c r="AM285" s="566"/>
      <c r="AN285" s="566"/>
      <c r="AO285" s="566"/>
    </row>
    <row r="286" spans="2:41" x14ac:dyDescent="0.15">
      <c r="B286" s="567">
        <v>-28</v>
      </c>
      <c r="C286" s="566">
        <v>0</v>
      </c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66"/>
      <c r="O286" s="566"/>
      <c r="P286" s="566"/>
      <c r="Q286" s="566"/>
      <c r="R286" s="566"/>
      <c r="S286" s="566"/>
      <c r="T286" s="566"/>
      <c r="U286" s="566"/>
      <c r="V286" s="566"/>
      <c r="W286" s="566"/>
      <c r="X286" s="566"/>
      <c r="Y286" s="566"/>
      <c r="Z286" s="566"/>
      <c r="AA286" s="566"/>
      <c r="AB286" s="566"/>
      <c r="AC286" s="566"/>
      <c r="AD286" s="566"/>
      <c r="AE286" s="566"/>
      <c r="AF286" s="566"/>
      <c r="AG286" s="566"/>
      <c r="AH286" s="566"/>
      <c r="AI286" s="566"/>
      <c r="AJ286" s="566"/>
      <c r="AK286" s="566"/>
      <c r="AL286" s="566"/>
      <c r="AM286" s="566"/>
      <c r="AN286" s="566"/>
      <c r="AO286" s="566"/>
    </row>
    <row r="287" spans="2:41" x14ac:dyDescent="0.15">
      <c r="B287" s="567">
        <v>-27</v>
      </c>
      <c r="C287" s="566">
        <v>0</v>
      </c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66"/>
      <c r="O287" s="566"/>
      <c r="P287" s="566"/>
      <c r="Q287" s="566"/>
      <c r="R287" s="566"/>
      <c r="S287" s="566"/>
      <c r="T287" s="566"/>
      <c r="U287" s="566"/>
      <c r="V287" s="566"/>
      <c r="W287" s="566"/>
      <c r="X287" s="566"/>
      <c r="Y287" s="566"/>
      <c r="Z287" s="566"/>
      <c r="AA287" s="566"/>
      <c r="AB287" s="566"/>
      <c r="AC287" s="566"/>
      <c r="AD287" s="566"/>
      <c r="AE287" s="566"/>
      <c r="AF287" s="566"/>
      <c r="AG287" s="566"/>
      <c r="AH287" s="566"/>
      <c r="AI287" s="566"/>
      <c r="AJ287" s="566"/>
      <c r="AK287" s="566"/>
      <c r="AL287" s="566"/>
      <c r="AM287" s="566"/>
      <c r="AN287" s="566"/>
      <c r="AO287" s="566"/>
    </row>
    <row r="288" spans="2:41" x14ac:dyDescent="0.15">
      <c r="B288" s="567">
        <v>-26</v>
      </c>
      <c r="C288" s="566">
        <v>0</v>
      </c>
      <c r="D288" s="566"/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66"/>
      <c r="R288" s="566"/>
      <c r="S288" s="566"/>
      <c r="T288" s="566"/>
      <c r="U288" s="566"/>
      <c r="V288" s="566"/>
      <c r="W288" s="566"/>
      <c r="X288" s="566"/>
      <c r="Y288" s="566"/>
      <c r="Z288" s="566"/>
      <c r="AA288" s="566"/>
      <c r="AB288" s="566"/>
      <c r="AC288" s="566"/>
      <c r="AD288" s="566"/>
      <c r="AE288" s="566"/>
      <c r="AF288" s="566"/>
      <c r="AG288" s="566"/>
      <c r="AH288" s="566"/>
      <c r="AI288" s="566"/>
      <c r="AJ288" s="566"/>
      <c r="AK288" s="566"/>
      <c r="AL288" s="566"/>
      <c r="AM288" s="566"/>
      <c r="AN288" s="566"/>
      <c r="AO288" s="566"/>
    </row>
    <row r="289" spans="2:41" x14ac:dyDescent="0.15">
      <c r="B289" s="567">
        <v>-25</v>
      </c>
      <c r="C289" s="566">
        <v>0</v>
      </c>
      <c r="D289" s="566"/>
      <c r="E289" s="566"/>
      <c r="F289" s="566"/>
      <c r="G289" s="566"/>
      <c r="H289" s="566"/>
      <c r="I289" s="566"/>
      <c r="J289" s="566"/>
      <c r="K289" s="566"/>
      <c r="L289" s="566"/>
      <c r="M289" s="566"/>
      <c r="N289" s="566"/>
      <c r="O289" s="566"/>
      <c r="P289" s="566"/>
      <c r="Q289" s="566"/>
      <c r="R289" s="566"/>
      <c r="S289" s="566"/>
      <c r="T289" s="566"/>
      <c r="U289" s="566"/>
      <c r="V289" s="566"/>
      <c r="W289" s="566"/>
      <c r="X289" s="566"/>
      <c r="Y289" s="566"/>
      <c r="Z289" s="566"/>
      <c r="AA289" s="566"/>
      <c r="AB289" s="566"/>
      <c r="AC289" s="566"/>
      <c r="AD289" s="566"/>
      <c r="AE289" s="566"/>
      <c r="AF289" s="566"/>
      <c r="AG289" s="566"/>
      <c r="AH289" s="566"/>
      <c r="AI289" s="566"/>
      <c r="AJ289" s="566"/>
      <c r="AK289" s="566"/>
      <c r="AL289" s="566"/>
      <c r="AM289" s="566"/>
      <c r="AN289" s="566"/>
      <c r="AO289" s="566"/>
    </row>
    <row r="290" spans="2:41" x14ac:dyDescent="0.15">
      <c r="B290" s="567">
        <v>-24</v>
      </c>
      <c r="C290" s="566">
        <v>0</v>
      </c>
      <c r="D290" s="566"/>
      <c r="E290" s="566"/>
      <c r="F290" s="566"/>
      <c r="G290" s="566"/>
      <c r="H290" s="566"/>
      <c r="I290" s="566"/>
      <c r="J290" s="566"/>
      <c r="K290" s="566"/>
      <c r="L290" s="566"/>
      <c r="M290" s="566"/>
      <c r="N290" s="566"/>
      <c r="O290" s="566"/>
      <c r="P290" s="566"/>
      <c r="Q290" s="566"/>
      <c r="R290" s="566"/>
      <c r="S290" s="566"/>
      <c r="T290" s="566"/>
      <c r="U290" s="566"/>
      <c r="V290" s="566"/>
      <c r="W290" s="566"/>
      <c r="X290" s="566"/>
      <c r="Y290" s="566"/>
      <c r="Z290" s="566"/>
      <c r="AA290" s="566"/>
      <c r="AB290" s="566"/>
      <c r="AC290" s="566"/>
      <c r="AD290" s="566"/>
      <c r="AE290" s="566"/>
      <c r="AF290" s="566"/>
      <c r="AG290" s="566"/>
      <c r="AH290" s="566"/>
      <c r="AI290" s="566"/>
      <c r="AJ290" s="566"/>
      <c r="AK290" s="566"/>
      <c r="AL290" s="566"/>
      <c r="AM290" s="566"/>
      <c r="AN290" s="566"/>
      <c r="AO290" s="566"/>
    </row>
    <row r="291" spans="2:41" x14ac:dyDescent="0.15">
      <c r="B291" s="567">
        <v>-23</v>
      </c>
      <c r="C291" s="566">
        <v>0</v>
      </c>
      <c r="D291" s="566"/>
      <c r="E291" s="566"/>
      <c r="F291" s="566"/>
      <c r="G291" s="566"/>
      <c r="H291" s="566"/>
      <c r="I291" s="566"/>
      <c r="J291" s="566"/>
      <c r="K291" s="566"/>
      <c r="L291" s="566"/>
      <c r="M291" s="566"/>
      <c r="N291" s="566"/>
      <c r="O291" s="566"/>
      <c r="P291" s="566"/>
      <c r="Q291" s="566"/>
      <c r="R291" s="566"/>
      <c r="S291" s="566"/>
      <c r="T291" s="566"/>
      <c r="U291" s="566"/>
      <c r="V291" s="566"/>
      <c r="W291" s="566"/>
      <c r="X291" s="566"/>
      <c r="Y291" s="566"/>
      <c r="Z291" s="566"/>
      <c r="AA291" s="566"/>
      <c r="AB291" s="566"/>
      <c r="AC291" s="566"/>
      <c r="AD291" s="566"/>
      <c r="AE291" s="566"/>
      <c r="AF291" s="566"/>
      <c r="AG291" s="566"/>
      <c r="AH291" s="566"/>
      <c r="AI291" s="566"/>
      <c r="AJ291" s="566"/>
      <c r="AK291" s="566"/>
      <c r="AL291" s="566"/>
      <c r="AM291" s="566"/>
      <c r="AN291" s="566"/>
      <c r="AO291" s="566"/>
    </row>
    <row r="292" spans="2:41" x14ac:dyDescent="0.15">
      <c r="B292" s="567">
        <v>-22</v>
      </c>
      <c r="C292" s="566">
        <v>0</v>
      </c>
      <c r="D292" s="566"/>
      <c r="E292" s="566"/>
      <c r="F292" s="566"/>
      <c r="G292" s="566"/>
      <c r="H292" s="566"/>
      <c r="I292" s="566"/>
      <c r="J292" s="566"/>
      <c r="K292" s="566"/>
      <c r="L292" s="566"/>
      <c r="M292" s="566"/>
      <c r="N292" s="566"/>
      <c r="O292" s="566"/>
      <c r="P292" s="566"/>
      <c r="Q292" s="566"/>
      <c r="R292" s="566"/>
      <c r="S292" s="566"/>
      <c r="T292" s="566"/>
      <c r="U292" s="566"/>
      <c r="V292" s="566"/>
      <c r="W292" s="566"/>
      <c r="X292" s="566"/>
      <c r="Y292" s="566"/>
      <c r="Z292" s="566"/>
      <c r="AA292" s="566"/>
      <c r="AB292" s="566"/>
      <c r="AC292" s="566"/>
      <c r="AD292" s="566"/>
      <c r="AE292" s="566"/>
      <c r="AF292" s="566"/>
      <c r="AG292" s="566"/>
      <c r="AH292" s="566"/>
      <c r="AI292" s="566"/>
      <c r="AJ292" s="566"/>
      <c r="AK292" s="566"/>
      <c r="AL292" s="566"/>
      <c r="AM292" s="566"/>
      <c r="AN292" s="566"/>
      <c r="AO292" s="566"/>
    </row>
    <row r="293" spans="2:41" x14ac:dyDescent="0.15">
      <c r="B293" s="567">
        <v>-21</v>
      </c>
      <c r="C293" s="566">
        <v>0</v>
      </c>
      <c r="D293" s="566"/>
      <c r="E293" s="566"/>
      <c r="F293" s="566"/>
      <c r="G293" s="566"/>
      <c r="H293" s="566"/>
      <c r="I293" s="566"/>
      <c r="J293" s="566"/>
      <c r="K293" s="566"/>
      <c r="L293" s="566"/>
      <c r="M293" s="566"/>
      <c r="N293" s="566"/>
      <c r="O293" s="566"/>
      <c r="P293" s="566"/>
      <c r="Q293" s="566"/>
      <c r="R293" s="566"/>
      <c r="S293" s="566"/>
      <c r="T293" s="566"/>
      <c r="U293" s="566"/>
      <c r="V293" s="566"/>
      <c r="W293" s="566"/>
      <c r="X293" s="566"/>
      <c r="Y293" s="566"/>
      <c r="Z293" s="566"/>
      <c r="AA293" s="566"/>
      <c r="AB293" s="566"/>
      <c r="AC293" s="566"/>
      <c r="AD293" s="566"/>
      <c r="AE293" s="566"/>
      <c r="AF293" s="566"/>
      <c r="AG293" s="566"/>
      <c r="AH293" s="566"/>
      <c r="AI293" s="566"/>
      <c r="AJ293" s="566"/>
      <c r="AK293" s="566"/>
      <c r="AL293" s="566"/>
      <c r="AM293" s="566"/>
      <c r="AN293" s="566"/>
      <c r="AO293" s="566"/>
    </row>
    <row r="294" spans="2:41" x14ac:dyDescent="0.15">
      <c r="B294" s="567">
        <v>-20</v>
      </c>
      <c r="C294" s="566">
        <v>0</v>
      </c>
      <c r="D294" s="566"/>
      <c r="E294" s="566"/>
      <c r="F294" s="566"/>
      <c r="G294" s="566"/>
      <c r="H294" s="566"/>
      <c r="I294" s="566"/>
      <c r="J294" s="566"/>
      <c r="K294" s="566"/>
      <c r="L294" s="566"/>
      <c r="M294" s="566"/>
      <c r="N294" s="566"/>
      <c r="O294" s="566"/>
      <c r="P294" s="566"/>
      <c r="Q294" s="566"/>
      <c r="R294" s="566"/>
      <c r="S294" s="566"/>
      <c r="T294" s="566"/>
      <c r="U294" s="566"/>
      <c r="V294" s="566"/>
      <c r="W294" s="566"/>
      <c r="X294" s="566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566"/>
      <c r="AJ294" s="566"/>
      <c r="AK294" s="566"/>
      <c r="AL294" s="566"/>
      <c r="AM294" s="566"/>
      <c r="AN294" s="566"/>
      <c r="AO294" s="566"/>
    </row>
    <row r="295" spans="2:41" x14ac:dyDescent="0.15">
      <c r="B295" s="567">
        <v>-19</v>
      </c>
      <c r="C295" s="566">
        <v>0</v>
      </c>
      <c r="D295" s="566"/>
      <c r="E295" s="566"/>
      <c r="F295" s="566"/>
      <c r="G295" s="566"/>
      <c r="H295" s="566"/>
      <c r="I295" s="566"/>
      <c r="J295" s="566"/>
      <c r="K295" s="566"/>
      <c r="L295" s="566"/>
      <c r="M295" s="566"/>
      <c r="N295" s="566"/>
      <c r="O295" s="566"/>
      <c r="P295" s="566"/>
      <c r="Q295" s="566"/>
      <c r="R295" s="566"/>
      <c r="S295" s="566"/>
      <c r="T295" s="566"/>
      <c r="U295" s="566"/>
      <c r="V295" s="566"/>
      <c r="W295" s="566"/>
      <c r="X295" s="566"/>
      <c r="Y295" s="566"/>
      <c r="Z295" s="566"/>
      <c r="AA295" s="566"/>
      <c r="AB295" s="566"/>
      <c r="AC295" s="566"/>
      <c r="AD295" s="566"/>
      <c r="AE295" s="566"/>
      <c r="AF295" s="566"/>
      <c r="AG295" s="566"/>
      <c r="AH295" s="566"/>
      <c r="AI295" s="566"/>
      <c r="AJ295" s="566"/>
      <c r="AK295" s="566"/>
      <c r="AL295" s="566"/>
      <c r="AM295" s="566"/>
      <c r="AN295" s="566"/>
      <c r="AO295" s="566"/>
    </row>
    <row r="296" spans="2:41" x14ac:dyDescent="0.15">
      <c r="B296" s="567">
        <v>-18</v>
      </c>
      <c r="C296" s="566">
        <v>0</v>
      </c>
      <c r="D296" s="566"/>
      <c r="E296" s="566"/>
      <c r="F296" s="566"/>
      <c r="G296" s="566"/>
      <c r="H296" s="566"/>
      <c r="I296" s="566"/>
      <c r="J296" s="566"/>
      <c r="K296" s="566"/>
      <c r="L296" s="566"/>
      <c r="M296" s="566"/>
      <c r="N296" s="566"/>
      <c r="O296" s="566"/>
      <c r="P296" s="566"/>
      <c r="Q296" s="566"/>
      <c r="R296" s="566"/>
      <c r="S296" s="566"/>
      <c r="T296" s="566"/>
      <c r="U296" s="566"/>
      <c r="V296" s="566"/>
      <c r="W296" s="566"/>
      <c r="X296" s="566"/>
      <c r="Y296" s="566"/>
      <c r="Z296" s="566"/>
      <c r="AA296" s="566"/>
      <c r="AB296" s="566"/>
      <c r="AC296" s="566"/>
      <c r="AD296" s="566"/>
      <c r="AE296" s="566"/>
      <c r="AF296" s="566"/>
      <c r="AG296" s="566"/>
      <c r="AH296" s="566"/>
      <c r="AI296" s="566"/>
      <c r="AJ296" s="566"/>
      <c r="AK296" s="566"/>
      <c r="AL296" s="566"/>
      <c r="AM296" s="566"/>
      <c r="AN296" s="566"/>
      <c r="AO296" s="566"/>
    </row>
    <row r="297" spans="2:41" x14ac:dyDescent="0.15">
      <c r="B297" s="567">
        <v>-17</v>
      </c>
      <c r="C297" s="566">
        <v>0</v>
      </c>
      <c r="D297" s="566"/>
      <c r="E297" s="566"/>
      <c r="F297" s="566"/>
      <c r="G297" s="566"/>
      <c r="H297" s="566"/>
      <c r="I297" s="566"/>
      <c r="J297" s="566"/>
      <c r="K297" s="566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  <c r="AA297" s="566"/>
      <c r="AB297" s="566"/>
      <c r="AC297" s="566"/>
      <c r="AD297" s="566"/>
      <c r="AE297" s="566"/>
      <c r="AF297" s="566"/>
      <c r="AG297" s="566"/>
      <c r="AH297" s="566"/>
      <c r="AI297" s="566"/>
      <c r="AJ297" s="566"/>
      <c r="AK297" s="566"/>
      <c r="AL297" s="566"/>
      <c r="AM297" s="566"/>
      <c r="AN297" s="566"/>
      <c r="AO297" s="566"/>
    </row>
    <row r="298" spans="2:41" x14ac:dyDescent="0.15">
      <c r="B298" s="567">
        <v>-16</v>
      </c>
      <c r="C298" s="566">
        <v>0</v>
      </c>
      <c r="D298" s="566"/>
      <c r="E298" s="566"/>
      <c r="F298" s="566"/>
      <c r="G298" s="566"/>
      <c r="H298" s="566"/>
      <c r="I298" s="566"/>
      <c r="J298" s="566"/>
      <c r="K298" s="566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  <c r="AA298" s="566"/>
      <c r="AB298" s="566"/>
      <c r="AC298" s="566"/>
      <c r="AD298" s="566"/>
      <c r="AE298" s="566"/>
      <c r="AF298" s="566"/>
      <c r="AG298" s="566"/>
      <c r="AH298" s="566"/>
      <c r="AI298" s="566"/>
      <c r="AJ298" s="566"/>
      <c r="AK298" s="566"/>
      <c r="AL298" s="566"/>
      <c r="AM298" s="566"/>
      <c r="AN298" s="566"/>
      <c r="AO298" s="566"/>
    </row>
    <row r="299" spans="2:41" x14ac:dyDescent="0.15">
      <c r="B299" s="567">
        <v>-15</v>
      </c>
      <c r="C299" s="566">
        <v>0</v>
      </c>
      <c r="D299" s="566"/>
      <c r="E299" s="566"/>
      <c r="F299" s="566"/>
      <c r="G299" s="566"/>
      <c r="H299" s="566"/>
      <c r="I299" s="566"/>
      <c r="J299" s="566"/>
      <c r="K299" s="566"/>
      <c r="L299" s="566"/>
      <c r="M299" s="566"/>
      <c r="N299" s="566"/>
      <c r="O299" s="566"/>
      <c r="P299" s="566"/>
      <c r="Q299" s="566"/>
      <c r="R299" s="566"/>
      <c r="S299" s="566"/>
      <c r="T299" s="566"/>
      <c r="U299" s="566"/>
      <c r="V299" s="566"/>
      <c r="W299" s="566"/>
      <c r="X299" s="566"/>
      <c r="Y299" s="566"/>
      <c r="Z299" s="566"/>
      <c r="AA299" s="566"/>
      <c r="AB299" s="566"/>
      <c r="AC299" s="566"/>
      <c r="AD299" s="566"/>
      <c r="AE299" s="566"/>
      <c r="AF299" s="566"/>
      <c r="AG299" s="566"/>
      <c r="AH299" s="566"/>
      <c r="AI299" s="566"/>
      <c r="AJ299" s="566"/>
      <c r="AK299" s="566"/>
      <c r="AL299" s="566"/>
      <c r="AM299" s="566"/>
      <c r="AN299" s="566"/>
      <c r="AO299" s="566"/>
    </row>
    <row r="300" spans="2:41" x14ac:dyDescent="0.15">
      <c r="B300" s="567">
        <v>-14</v>
      </c>
      <c r="C300" s="566">
        <v>0</v>
      </c>
      <c r="D300" s="566"/>
      <c r="E300" s="566"/>
      <c r="F300" s="566"/>
      <c r="G300" s="566"/>
      <c r="H300" s="566"/>
      <c r="I300" s="566"/>
      <c r="J300" s="566"/>
      <c r="K300" s="566"/>
      <c r="L300" s="566"/>
      <c r="M300" s="566"/>
      <c r="N300" s="566"/>
      <c r="O300" s="566"/>
      <c r="P300" s="566"/>
      <c r="Q300" s="566"/>
      <c r="R300" s="566"/>
      <c r="S300" s="566"/>
      <c r="T300" s="566"/>
      <c r="U300" s="566"/>
      <c r="V300" s="566"/>
      <c r="W300" s="566"/>
      <c r="X300" s="566"/>
      <c r="Y300" s="566"/>
      <c r="Z300" s="566"/>
      <c r="AA300" s="566"/>
      <c r="AB300" s="566"/>
      <c r="AC300" s="566"/>
      <c r="AD300" s="566"/>
      <c r="AE300" s="566"/>
      <c r="AF300" s="566"/>
      <c r="AG300" s="566"/>
      <c r="AH300" s="566"/>
      <c r="AI300" s="566"/>
      <c r="AJ300" s="566"/>
      <c r="AK300" s="566"/>
      <c r="AL300" s="566"/>
      <c r="AM300" s="566"/>
      <c r="AN300" s="566"/>
      <c r="AO300" s="566"/>
    </row>
    <row r="301" spans="2:41" x14ac:dyDescent="0.15">
      <c r="B301" s="567">
        <v>-13</v>
      </c>
      <c r="C301" s="566">
        <v>0</v>
      </c>
      <c r="D301" s="566"/>
      <c r="E301" s="566"/>
      <c r="F301" s="566"/>
      <c r="G301" s="566"/>
      <c r="H301" s="566"/>
      <c r="I301" s="566"/>
      <c r="J301" s="566"/>
      <c r="K301" s="566"/>
      <c r="L301" s="566"/>
      <c r="M301" s="566"/>
      <c r="N301" s="566"/>
      <c r="O301" s="566"/>
      <c r="P301" s="566"/>
      <c r="Q301" s="566"/>
      <c r="R301" s="566"/>
      <c r="S301" s="566"/>
      <c r="T301" s="566"/>
      <c r="U301" s="566"/>
      <c r="V301" s="566"/>
      <c r="W301" s="566"/>
      <c r="X301" s="566"/>
      <c r="Y301" s="566"/>
      <c r="Z301" s="566"/>
      <c r="AA301" s="566"/>
      <c r="AB301" s="566"/>
      <c r="AC301" s="566"/>
      <c r="AD301" s="566"/>
      <c r="AE301" s="566"/>
      <c r="AF301" s="566"/>
      <c r="AG301" s="566"/>
      <c r="AH301" s="566"/>
      <c r="AI301" s="566"/>
      <c r="AJ301" s="566"/>
      <c r="AK301" s="566"/>
      <c r="AL301" s="566"/>
      <c r="AM301" s="566"/>
      <c r="AN301" s="566"/>
      <c r="AO301" s="566"/>
    </row>
    <row r="302" spans="2:41" x14ac:dyDescent="0.15">
      <c r="B302" s="567">
        <v>-12</v>
      </c>
      <c r="C302" s="566">
        <v>0</v>
      </c>
      <c r="D302" s="566"/>
      <c r="E302" s="566"/>
      <c r="F302" s="566"/>
      <c r="G302" s="566"/>
      <c r="H302" s="566"/>
      <c r="I302" s="566"/>
      <c r="J302" s="566"/>
      <c r="K302" s="566"/>
      <c r="L302" s="566"/>
      <c r="M302" s="566"/>
      <c r="N302" s="566"/>
      <c r="O302" s="566"/>
      <c r="P302" s="566"/>
      <c r="Q302" s="566"/>
      <c r="R302" s="566"/>
      <c r="S302" s="566"/>
      <c r="T302" s="566"/>
      <c r="U302" s="566"/>
      <c r="V302" s="566"/>
      <c r="W302" s="566"/>
      <c r="X302" s="566"/>
      <c r="Y302" s="566"/>
      <c r="Z302" s="566"/>
      <c r="AA302" s="566"/>
      <c r="AB302" s="566"/>
      <c r="AC302" s="566"/>
      <c r="AD302" s="566"/>
      <c r="AE302" s="566"/>
      <c r="AF302" s="566"/>
      <c r="AG302" s="566"/>
      <c r="AH302" s="566"/>
      <c r="AI302" s="566"/>
      <c r="AJ302" s="566"/>
      <c r="AK302" s="566"/>
      <c r="AL302" s="566"/>
      <c r="AM302" s="566"/>
      <c r="AN302" s="566"/>
      <c r="AO302" s="566"/>
    </row>
    <row r="303" spans="2:41" x14ac:dyDescent="0.15">
      <c r="B303" s="567">
        <v>-11</v>
      </c>
      <c r="C303" s="566">
        <v>0</v>
      </c>
      <c r="D303" s="566"/>
      <c r="E303" s="566"/>
      <c r="F303" s="566"/>
      <c r="G303" s="566"/>
      <c r="H303" s="566"/>
      <c r="I303" s="566"/>
      <c r="J303" s="566"/>
      <c r="K303" s="566"/>
      <c r="L303" s="566"/>
      <c r="M303" s="566"/>
      <c r="N303" s="566"/>
      <c r="O303" s="566"/>
      <c r="P303" s="566"/>
      <c r="Q303" s="566"/>
      <c r="R303" s="566"/>
      <c r="S303" s="566"/>
      <c r="T303" s="566"/>
      <c r="U303" s="566"/>
      <c r="V303" s="566"/>
      <c r="W303" s="566"/>
      <c r="X303" s="566"/>
      <c r="Y303" s="566"/>
      <c r="Z303" s="566"/>
      <c r="AA303" s="566"/>
      <c r="AB303" s="566"/>
      <c r="AC303" s="566"/>
      <c r="AD303" s="566"/>
      <c r="AE303" s="566"/>
      <c r="AF303" s="566"/>
      <c r="AG303" s="566"/>
      <c r="AH303" s="566"/>
      <c r="AI303" s="566"/>
      <c r="AJ303" s="566"/>
      <c r="AK303" s="566"/>
      <c r="AL303" s="566"/>
      <c r="AM303" s="566"/>
      <c r="AN303" s="566"/>
      <c r="AO303" s="566"/>
    </row>
    <row r="304" spans="2:41" x14ac:dyDescent="0.15">
      <c r="B304" s="567">
        <v>-10</v>
      </c>
      <c r="C304" s="566">
        <v>2.5114155251141552E-3</v>
      </c>
      <c r="D304" s="566"/>
      <c r="E304" s="566"/>
      <c r="F304" s="566"/>
      <c r="G304" s="566"/>
      <c r="H304" s="566"/>
      <c r="I304" s="566"/>
      <c r="J304" s="566"/>
      <c r="K304" s="566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6"/>
      <c r="Z304" s="566"/>
      <c r="AA304" s="566"/>
      <c r="AB304" s="566"/>
      <c r="AC304" s="566"/>
      <c r="AD304" s="566"/>
      <c r="AE304" s="566"/>
      <c r="AF304" s="566"/>
      <c r="AG304" s="566"/>
      <c r="AH304" s="566"/>
      <c r="AI304" s="566"/>
      <c r="AJ304" s="566"/>
      <c r="AK304" s="566"/>
      <c r="AL304" s="566"/>
      <c r="AM304" s="566"/>
      <c r="AN304" s="566"/>
      <c r="AO304" s="566"/>
    </row>
    <row r="305" spans="2:41" x14ac:dyDescent="0.15">
      <c r="B305" s="567">
        <v>-9</v>
      </c>
      <c r="C305" s="566">
        <v>3.0821917808219177E-3</v>
      </c>
      <c r="D305" s="566"/>
      <c r="E305" s="566"/>
      <c r="F305" s="566"/>
      <c r="G305" s="566"/>
      <c r="H305" s="566"/>
      <c r="I305" s="566"/>
      <c r="J305" s="566"/>
      <c r="K305" s="566"/>
      <c r="L305" s="566"/>
      <c r="M305" s="566"/>
      <c r="N305" s="566"/>
      <c r="O305" s="566"/>
      <c r="P305" s="566"/>
      <c r="Q305" s="566"/>
      <c r="R305" s="566"/>
      <c r="S305" s="566"/>
      <c r="T305" s="566"/>
      <c r="U305" s="566"/>
      <c r="V305" s="566"/>
      <c r="W305" s="566"/>
      <c r="X305" s="566"/>
      <c r="Y305" s="566"/>
      <c r="Z305" s="566"/>
      <c r="AA305" s="566"/>
      <c r="AB305" s="566"/>
      <c r="AC305" s="566"/>
      <c r="AD305" s="566"/>
      <c r="AE305" s="566"/>
      <c r="AF305" s="566"/>
      <c r="AG305" s="566"/>
      <c r="AH305" s="566"/>
      <c r="AI305" s="566"/>
      <c r="AJ305" s="566"/>
      <c r="AK305" s="566"/>
      <c r="AL305" s="566"/>
      <c r="AM305" s="566"/>
      <c r="AN305" s="566"/>
      <c r="AO305" s="566"/>
    </row>
    <row r="306" spans="2:41" x14ac:dyDescent="0.15">
      <c r="B306" s="567">
        <v>-8</v>
      </c>
      <c r="C306" s="566">
        <v>5.0228310502283104E-3</v>
      </c>
      <c r="D306" s="566"/>
      <c r="E306" s="566"/>
      <c r="F306" s="566"/>
      <c r="G306" s="566"/>
      <c r="H306" s="566"/>
      <c r="I306" s="566"/>
      <c r="J306" s="566"/>
      <c r="K306" s="566"/>
      <c r="L306" s="566"/>
      <c r="M306" s="566"/>
      <c r="N306" s="566"/>
      <c r="O306" s="566"/>
      <c r="P306" s="566"/>
      <c r="Q306" s="566"/>
      <c r="R306" s="566"/>
      <c r="S306" s="566"/>
      <c r="T306" s="566"/>
      <c r="U306" s="566"/>
      <c r="V306" s="566"/>
      <c r="W306" s="566"/>
      <c r="X306" s="566"/>
      <c r="Y306" s="566"/>
      <c r="Z306" s="566"/>
      <c r="AA306" s="566"/>
      <c r="AB306" s="566"/>
      <c r="AC306" s="566"/>
      <c r="AD306" s="566"/>
      <c r="AE306" s="566"/>
      <c r="AF306" s="566"/>
      <c r="AG306" s="566"/>
      <c r="AH306" s="566"/>
      <c r="AI306" s="566"/>
      <c r="AJ306" s="566"/>
      <c r="AK306" s="566"/>
      <c r="AL306" s="566"/>
      <c r="AM306" s="566"/>
      <c r="AN306" s="566"/>
      <c r="AO306" s="566"/>
    </row>
    <row r="307" spans="2:41" x14ac:dyDescent="0.15">
      <c r="B307" s="567">
        <v>-7</v>
      </c>
      <c r="C307" s="566">
        <v>8.6757990867579911E-3</v>
      </c>
      <c r="D307" s="566"/>
      <c r="E307" s="566"/>
      <c r="F307" s="566"/>
      <c r="G307" s="566"/>
      <c r="H307" s="566"/>
      <c r="I307" s="566"/>
      <c r="J307" s="566"/>
      <c r="K307" s="566"/>
      <c r="L307" s="566"/>
      <c r="M307" s="566"/>
      <c r="N307" s="566"/>
      <c r="O307" s="566"/>
      <c r="P307" s="566"/>
      <c r="Q307" s="566"/>
      <c r="R307" s="566"/>
      <c r="S307" s="566"/>
      <c r="T307" s="566"/>
      <c r="U307" s="566"/>
      <c r="V307" s="566"/>
      <c r="W307" s="566"/>
      <c r="X307" s="566"/>
      <c r="Y307" s="566"/>
      <c r="Z307" s="566"/>
      <c r="AA307" s="566"/>
      <c r="AB307" s="566"/>
      <c r="AC307" s="566"/>
      <c r="AD307" s="566"/>
      <c r="AE307" s="566"/>
      <c r="AF307" s="566"/>
      <c r="AG307" s="566"/>
      <c r="AH307" s="566"/>
      <c r="AI307" s="566"/>
      <c r="AJ307" s="566"/>
      <c r="AK307" s="566"/>
      <c r="AL307" s="566"/>
      <c r="AM307" s="566"/>
      <c r="AN307" s="566"/>
      <c r="AO307" s="566"/>
    </row>
    <row r="308" spans="2:41" x14ac:dyDescent="0.15">
      <c r="B308" s="567">
        <v>-6</v>
      </c>
      <c r="C308" s="566">
        <v>1.4041095890410958E-2</v>
      </c>
      <c r="D308" s="566"/>
      <c r="E308" s="566"/>
      <c r="F308" s="566"/>
      <c r="G308" s="566"/>
      <c r="H308" s="566"/>
      <c r="I308" s="566"/>
      <c r="J308" s="566"/>
      <c r="K308" s="566"/>
      <c r="L308" s="566"/>
      <c r="M308" s="566"/>
      <c r="N308" s="566"/>
      <c r="O308" s="566"/>
      <c r="P308" s="566"/>
      <c r="Q308" s="566"/>
      <c r="R308" s="566"/>
      <c r="S308" s="566"/>
      <c r="T308" s="566"/>
      <c r="U308" s="566"/>
      <c r="V308" s="566"/>
      <c r="W308" s="566"/>
      <c r="X308" s="566"/>
      <c r="Y308" s="566"/>
      <c r="Z308" s="566"/>
      <c r="AA308" s="566"/>
      <c r="AB308" s="566"/>
      <c r="AC308" s="566"/>
      <c r="AD308" s="566"/>
      <c r="AE308" s="566"/>
      <c r="AF308" s="566"/>
      <c r="AG308" s="566"/>
      <c r="AH308" s="566"/>
      <c r="AI308" s="566"/>
      <c r="AJ308" s="566"/>
      <c r="AK308" s="566"/>
      <c r="AL308" s="566"/>
      <c r="AM308" s="566"/>
      <c r="AN308" s="566"/>
      <c r="AO308" s="566"/>
    </row>
    <row r="309" spans="2:41" x14ac:dyDescent="0.15">
      <c r="B309" s="567">
        <v>-5</v>
      </c>
      <c r="C309" s="566">
        <v>2.0662100456621004E-2</v>
      </c>
      <c r="D309" s="566"/>
      <c r="E309" s="566"/>
      <c r="F309" s="566"/>
      <c r="G309" s="566"/>
      <c r="H309" s="566"/>
      <c r="I309" s="566"/>
      <c r="J309" s="566"/>
      <c r="K309" s="566"/>
      <c r="L309" s="566"/>
      <c r="M309" s="566"/>
      <c r="N309" s="566"/>
      <c r="O309" s="566"/>
      <c r="P309" s="566"/>
      <c r="Q309" s="566"/>
      <c r="R309" s="566"/>
      <c r="S309" s="566"/>
      <c r="T309" s="566"/>
      <c r="U309" s="566"/>
      <c r="V309" s="566"/>
      <c r="W309" s="566"/>
      <c r="X309" s="566"/>
      <c r="Y309" s="566"/>
      <c r="Z309" s="566"/>
      <c r="AA309" s="566"/>
      <c r="AB309" s="566"/>
      <c r="AC309" s="566"/>
      <c r="AD309" s="566"/>
      <c r="AE309" s="566"/>
      <c r="AF309" s="566"/>
      <c r="AG309" s="566"/>
      <c r="AH309" s="566"/>
      <c r="AI309" s="566"/>
      <c r="AJ309" s="566"/>
      <c r="AK309" s="566"/>
      <c r="AL309" s="566"/>
      <c r="AM309" s="566"/>
      <c r="AN309" s="566"/>
      <c r="AO309" s="566"/>
    </row>
    <row r="310" spans="2:41" x14ac:dyDescent="0.15">
      <c r="B310" s="567">
        <v>-4</v>
      </c>
      <c r="C310" s="566">
        <v>2.8767123287671233E-2</v>
      </c>
      <c r="D310" s="566"/>
      <c r="E310" s="566"/>
      <c r="F310" s="566"/>
      <c r="G310" s="566"/>
      <c r="H310" s="566"/>
      <c r="I310" s="566"/>
      <c r="J310" s="566"/>
      <c r="K310" s="566"/>
      <c r="L310" s="566"/>
      <c r="M310" s="566"/>
      <c r="N310" s="566"/>
      <c r="O310" s="566"/>
      <c r="P310" s="566"/>
      <c r="Q310" s="566"/>
      <c r="R310" s="566"/>
      <c r="S310" s="566"/>
      <c r="T310" s="566"/>
      <c r="U310" s="566"/>
      <c r="V310" s="566"/>
      <c r="W310" s="566"/>
      <c r="X310" s="566"/>
      <c r="Y310" s="566"/>
      <c r="Z310" s="566"/>
      <c r="AA310" s="566"/>
      <c r="AB310" s="566"/>
      <c r="AC310" s="566"/>
      <c r="AD310" s="566"/>
      <c r="AE310" s="566"/>
      <c r="AF310" s="566"/>
      <c r="AG310" s="566"/>
      <c r="AH310" s="566"/>
      <c r="AI310" s="566"/>
      <c r="AJ310" s="566"/>
      <c r="AK310" s="566"/>
      <c r="AL310" s="566"/>
      <c r="AM310" s="566"/>
      <c r="AN310" s="566"/>
      <c r="AO310" s="566"/>
    </row>
    <row r="311" spans="2:41" x14ac:dyDescent="0.15">
      <c r="B311" s="567">
        <v>-3</v>
      </c>
      <c r="C311" s="566">
        <v>4.4292237442922378E-2</v>
      </c>
      <c r="D311" s="566"/>
      <c r="E311" s="566"/>
      <c r="F311" s="566"/>
      <c r="G311" s="566"/>
      <c r="H311" s="566"/>
      <c r="I311" s="566"/>
      <c r="J311" s="566"/>
      <c r="K311" s="566"/>
      <c r="L311" s="566"/>
      <c r="M311" s="566"/>
      <c r="N311" s="566"/>
      <c r="O311" s="566"/>
      <c r="P311" s="566"/>
      <c r="Q311" s="566"/>
      <c r="R311" s="566"/>
      <c r="S311" s="566"/>
      <c r="T311" s="566"/>
      <c r="U311" s="566"/>
      <c r="V311" s="566"/>
      <c r="W311" s="566"/>
      <c r="X311" s="566"/>
      <c r="Y311" s="566"/>
      <c r="Z311" s="566"/>
      <c r="AA311" s="566"/>
      <c r="AB311" s="566"/>
      <c r="AC311" s="566"/>
      <c r="AD311" s="566"/>
      <c r="AE311" s="566"/>
      <c r="AF311" s="566"/>
      <c r="AG311" s="566"/>
      <c r="AH311" s="566"/>
      <c r="AI311" s="566"/>
      <c r="AJ311" s="566"/>
      <c r="AK311" s="566"/>
      <c r="AL311" s="566"/>
      <c r="AM311" s="566"/>
      <c r="AN311" s="566"/>
      <c r="AO311" s="566"/>
    </row>
    <row r="312" spans="2:41" x14ac:dyDescent="0.15">
      <c r="B312" s="567">
        <v>-2</v>
      </c>
      <c r="C312" s="566">
        <v>7.1689497716894979E-2</v>
      </c>
      <c r="D312" s="566"/>
      <c r="E312" s="566"/>
      <c r="F312" s="566"/>
      <c r="G312" s="566"/>
      <c r="H312" s="566"/>
      <c r="I312" s="566"/>
      <c r="J312" s="566"/>
      <c r="K312" s="566"/>
      <c r="L312" s="566"/>
      <c r="M312" s="566"/>
      <c r="N312" s="566"/>
      <c r="O312" s="566"/>
      <c r="P312" s="566"/>
      <c r="Q312" s="566"/>
      <c r="R312" s="566"/>
      <c r="S312" s="566"/>
      <c r="T312" s="566"/>
      <c r="U312" s="566"/>
      <c r="V312" s="566"/>
      <c r="W312" s="566"/>
      <c r="X312" s="566"/>
      <c r="Y312" s="566"/>
      <c r="Z312" s="566"/>
      <c r="AA312" s="566"/>
      <c r="AB312" s="566"/>
      <c r="AC312" s="566"/>
      <c r="AD312" s="566"/>
      <c r="AE312" s="566"/>
      <c r="AF312" s="566"/>
      <c r="AG312" s="566"/>
      <c r="AH312" s="566"/>
      <c r="AI312" s="566"/>
      <c r="AJ312" s="566"/>
      <c r="AK312" s="566"/>
      <c r="AL312" s="566"/>
      <c r="AM312" s="566"/>
      <c r="AN312" s="566"/>
      <c r="AO312" s="566"/>
    </row>
    <row r="313" spans="2:41" x14ac:dyDescent="0.15">
      <c r="B313" s="567">
        <v>-1</v>
      </c>
      <c r="C313" s="566">
        <v>0.10148401826484019</v>
      </c>
      <c r="D313" s="566"/>
      <c r="E313" s="566"/>
      <c r="F313" s="566"/>
      <c r="G313" s="566"/>
      <c r="H313" s="566"/>
      <c r="I313" s="566"/>
      <c r="J313" s="566"/>
      <c r="K313" s="566"/>
      <c r="L313" s="566"/>
      <c r="M313" s="566"/>
      <c r="N313" s="566"/>
      <c r="O313" s="566"/>
      <c r="P313" s="566"/>
      <c r="Q313" s="566"/>
      <c r="R313" s="566"/>
      <c r="S313" s="566"/>
      <c r="T313" s="566"/>
      <c r="U313" s="566"/>
      <c r="V313" s="566"/>
      <c r="W313" s="566"/>
      <c r="X313" s="566"/>
      <c r="Y313" s="566"/>
      <c r="Z313" s="566"/>
      <c r="AA313" s="566"/>
      <c r="AB313" s="566"/>
      <c r="AC313" s="566"/>
      <c r="AD313" s="566"/>
      <c r="AE313" s="566"/>
      <c r="AF313" s="566"/>
      <c r="AG313" s="566"/>
      <c r="AH313" s="566"/>
      <c r="AI313" s="566"/>
      <c r="AJ313" s="566"/>
      <c r="AK313" s="566"/>
      <c r="AL313" s="566"/>
      <c r="AM313" s="566"/>
      <c r="AN313" s="566"/>
      <c r="AO313" s="566"/>
    </row>
    <row r="314" spans="2:41" x14ac:dyDescent="0.15">
      <c r="B314" s="567">
        <v>0</v>
      </c>
      <c r="C314" s="566">
        <v>0.14212328767123289</v>
      </c>
      <c r="D314" s="566"/>
      <c r="E314" s="566"/>
      <c r="F314" s="566"/>
      <c r="G314" s="566"/>
      <c r="H314" s="566"/>
      <c r="I314" s="566"/>
      <c r="J314" s="566"/>
      <c r="K314" s="566"/>
      <c r="L314" s="566"/>
      <c r="M314" s="566"/>
      <c r="N314" s="566"/>
      <c r="O314" s="566"/>
      <c r="P314" s="566"/>
      <c r="Q314" s="566"/>
      <c r="R314" s="566"/>
      <c r="S314" s="566"/>
      <c r="T314" s="566"/>
      <c r="U314" s="566"/>
      <c r="V314" s="566"/>
      <c r="W314" s="566"/>
      <c r="X314" s="566"/>
      <c r="Y314" s="566"/>
      <c r="Z314" s="566"/>
      <c r="AA314" s="566"/>
      <c r="AB314" s="566"/>
      <c r="AC314" s="566"/>
      <c r="AD314" s="566"/>
      <c r="AE314" s="566"/>
      <c r="AF314" s="566"/>
      <c r="AG314" s="566"/>
      <c r="AH314" s="566"/>
      <c r="AI314" s="566"/>
      <c r="AJ314" s="566"/>
      <c r="AK314" s="566"/>
      <c r="AL314" s="566"/>
      <c r="AM314" s="566"/>
      <c r="AN314" s="566"/>
      <c r="AO314" s="566"/>
    </row>
    <row r="315" spans="2:41" x14ac:dyDescent="0.15">
      <c r="B315" s="567">
        <v>1</v>
      </c>
      <c r="C315" s="566">
        <v>0.1636986301369863</v>
      </c>
      <c r="D315" s="566"/>
      <c r="E315" s="566"/>
      <c r="F315" s="566"/>
      <c r="G315" s="566"/>
      <c r="H315" s="566"/>
      <c r="I315" s="566"/>
      <c r="J315" s="566"/>
      <c r="K315" s="566"/>
      <c r="L315" s="566"/>
      <c r="M315" s="566"/>
      <c r="N315" s="566"/>
      <c r="O315" s="566"/>
      <c r="P315" s="566"/>
      <c r="Q315" s="566"/>
      <c r="R315" s="566"/>
      <c r="S315" s="566"/>
      <c r="T315" s="566"/>
      <c r="U315" s="566"/>
      <c r="V315" s="566"/>
      <c r="W315" s="566"/>
      <c r="X315" s="566"/>
      <c r="Y315" s="566"/>
      <c r="Z315" s="566"/>
      <c r="AA315" s="566"/>
      <c r="AB315" s="566"/>
      <c r="AC315" s="566"/>
      <c r="AD315" s="566"/>
      <c r="AE315" s="566"/>
      <c r="AF315" s="566"/>
      <c r="AG315" s="566"/>
      <c r="AH315" s="566"/>
      <c r="AI315" s="566"/>
      <c r="AJ315" s="566"/>
      <c r="AK315" s="566"/>
      <c r="AL315" s="566"/>
      <c r="AM315" s="566"/>
      <c r="AN315" s="566"/>
      <c r="AO315" s="566"/>
    </row>
    <row r="316" spans="2:41" x14ac:dyDescent="0.15">
      <c r="B316" s="567">
        <v>2</v>
      </c>
      <c r="C316" s="566">
        <v>0.20742009132420092</v>
      </c>
      <c r="D316" s="566"/>
      <c r="E316" s="566"/>
      <c r="F316" s="566"/>
      <c r="G316" s="566"/>
      <c r="H316" s="566"/>
      <c r="I316" s="566"/>
      <c r="J316" s="566"/>
      <c r="K316" s="566"/>
      <c r="L316" s="566"/>
      <c r="M316" s="566"/>
      <c r="N316" s="566"/>
      <c r="O316" s="566"/>
      <c r="P316" s="566"/>
      <c r="Q316" s="566"/>
      <c r="R316" s="566"/>
      <c r="S316" s="566"/>
      <c r="T316" s="566"/>
      <c r="U316" s="566"/>
      <c r="V316" s="566"/>
      <c r="W316" s="566"/>
      <c r="X316" s="566"/>
      <c r="Y316" s="566"/>
      <c r="Z316" s="566"/>
      <c r="AA316" s="566"/>
      <c r="AB316" s="566"/>
      <c r="AC316" s="566"/>
      <c r="AD316" s="566"/>
      <c r="AE316" s="566"/>
      <c r="AF316" s="566"/>
      <c r="AG316" s="566"/>
      <c r="AH316" s="566"/>
      <c r="AI316" s="566"/>
      <c r="AJ316" s="566"/>
      <c r="AK316" s="566"/>
      <c r="AL316" s="566"/>
      <c r="AM316" s="566"/>
      <c r="AN316" s="566"/>
      <c r="AO316" s="566"/>
    </row>
    <row r="317" spans="2:41" x14ac:dyDescent="0.15">
      <c r="B317" s="567">
        <v>3</v>
      </c>
      <c r="C317" s="566">
        <v>0.26221461187214612</v>
      </c>
      <c r="D317" s="566"/>
      <c r="E317" s="566"/>
      <c r="F317" s="566"/>
      <c r="G317" s="566"/>
      <c r="H317" s="566"/>
      <c r="I317" s="566"/>
      <c r="J317" s="566"/>
      <c r="K317" s="566"/>
      <c r="L317" s="566"/>
      <c r="M317" s="566"/>
      <c r="N317" s="566"/>
      <c r="O317" s="566"/>
      <c r="P317" s="566"/>
      <c r="Q317" s="566"/>
      <c r="R317" s="566"/>
      <c r="S317" s="566"/>
      <c r="T317" s="566"/>
      <c r="U317" s="566"/>
      <c r="V317" s="566"/>
      <c r="W317" s="566"/>
      <c r="X317" s="566"/>
      <c r="Y317" s="566"/>
      <c r="Z317" s="566"/>
      <c r="AA317" s="566"/>
      <c r="AB317" s="566"/>
      <c r="AC317" s="566"/>
      <c r="AD317" s="566"/>
      <c r="AE317" s="566"/>
      <c r="AF317" s="566"/>
      <c r="AG317" s="566"/>
      <c r="AH317" s="566"/>
      <c r="AI317" s="566"/>
      <c r="AJ317" s="566"/>
      <c r="AK317" s="566"/>
      <c r="AL317" s="566"/>
      <c r="AM317" s="566"/>
      <c r="AN317" s="566"/>
      <c r="AO317" s="566"/>
    </row>
    <row r="318" spans="2:41" x14ac:dyDescent="0.15">
      <c r="B318" s="567">
        <v>4</v>
      </c>
      <c r="C318" s="566">
        <v>0.31358447488584473</v>
      </c>
      <c r="D318" s="566"/>
      <c r="E318" s="566"/>
      <c r="F318" s="566"/>
      <c r="G318" s="566"/>
      <c r="H318" s="566"/>
      <c r="I318" s="566"/>
      <c r="J318" s="566"/>
      <c r="K318" s="566"/>
      <c r="L318" s="566"/>
      <c r="M318" s="566"/>
      <c r="N318" s="566"/>
      <c r="O318" s="566"/>
      <c r="P318" s="566"/>
      <c r="Q318" s="566"/>
      <c r="R318" s="566"/>
      <c r="S318" s="566"/>
      <c r="T318" s="566"/>
      <c r="U318" s="566"/>
      <c r="V318" s="566"/>
      <c r="W318" s="566"/>
      <c r="X318" s="566"/>
      <c r="Y318" s="566"/>
      <c r="Z318" s="566"/>
      <c r="AA318" s="566"/>
      <c r="AB318" s="566"/>
      <c r="AC318" s="566"/>
      <c r="AD318" s="566"/>
      <c r="AE318" s="566"/>
      <c r="AF318" s="566"/>
      <c r="AG318" s="566"/>
      <c r="AH318" s="566"/>
      <c r="AI318" s="566"/>
      <c r="AJ318" s="566"/>
      <c r="AK318" s="566"/>
      <c r="AL318" s="566"/>
      <c r="AM318" s="566"/>
      <c r="AN318" s="566"/>
      <c r="AO318" s="566"/>
    </row>
    <row r="319" spans="2:41" x14ac:dyDescent="0.15">
      <c r="B319" s="567">
        <v>5</v>
      </c>
      <c r="C319" s="566">
        <v>0.36598173515981736</v>
      </c>
      <c r="D319" s="566"/>
      <c r="E319" s="566"/>
      <c r="F319" s="566"/>
      <c r="G319" s="566"/>
      <c r="H319" s="566"/>
      <c r="I319" s="566"/>
      <c r="J319" s="566"/>
      <c r="K319" s="566"/>
      <c r="L319" s="566"/>
      <c r="M319" s="566"/>
      <c r="N319" s="566"/>
      <c r="O319" s="566"/>
      <c r="P319" s="566"/>
      <c r="Q319" s="566"/>
      <c r="R319" s="566"/>
      <c r="S319" s="566"/>
      <c r="T319" s="566"/>
      <c r="U319" s="566"/>
      <c r="V319" s="566"/>
      <c r="W319" s="566"/>
      <c r="X319" s="566"/>
      <c r="Y319" s="566"/>
      <c r="Z319" s="566"/>
      <c r="AA319" s="566"/>
      <c r="AB319" s="566"/>
      <c r="AC319" s="566"/>
      <c r="AD319" s="566"/>
      <c r="AE319" s="566"/>
      <c r="AF319" s="566"/>
      <c r="AG319" s="566"/>
      <c r="AH319" s="566"/>
      <c r="AI319" s="566"/>
      <c r="AJ319" s="566"/>
      <c r="AK319" s="566"/>
      <c r="AL319" s="566"/>
      <c r="AM319" s="566"/>
      <c r="AN319" s="566"/>
      <c r="AO319" s="566"/>
    </row>
    <row r="320" spans="2:41" x14ac:dyDescent="0.15">
      <c r="B320" s="567">
        <v>6</v>
      </c>
      <c r="C320" s="566">
        <v>0.39086757990867582</v>
      </c>
      <c r="D320" s="566"/>
      <c r="E320" s="566"/>
      <c r="F320" s="566"/>
      <c r="G320" s="566"/>
      <c r="H320" s="566"/>
      <c r="I320" s="566"/>
      <c r="J320" s="566"/>
      <c r="K320" s="566"/>
      <c r="L320" s="566"/>
      <c r="M320" s="566"/>
      <c r="N320" s="566"/>
      <c r="O320" s="566"/>
      <c r="P320" s="566"/>
      <c r="Q320" s="566"/>
      <c r="R320" s="566"/>
      <c r="S320" s="566"/>
      <c r="T320" s="566"/>
      <c r="U320" s="566"/>
      <c r="V320" s="566"/>
      <c r="W320" s="566"/>
      <c r="X320" s="566"/>
      <c r="Y320" s="566"/>
      <c r="Z320" s="566"/>
      <c r="AA320" s="566"/>
      <c r="AB320" s="566"/>
      <c r="AC320" s="566"/>
      <c r="AD320" s="566"/>
      <c r="AE320" s="566"/>
      <c r="AF320" s="566"/>
      <c r="AG320" s="566"/>
      <c r="AH320" s="566"/>
      <c r="AI320" s="566"/>
      <c r="AJ320" s="566"/>
      <c r="AK320" s="566"/>
      <c r="AL320" s="566"/>
      <c r="AM320" s="566"/>
      <c r="AN320" s="566"/>
      <c r="AO320" s="566"/>
    </row>
    <row r="321" spans="2:41" x14ac:dyDescent="0.15">
      <c r="B321" s="567">
        <v>7</v>
      </c>
      <c r="C321" s="566">
        <v>0.44315068493150683</v>
      </c>
      <c r="D321" s="566"/>
      <c r="E321" s="566"/>
      <c r="F321" s="566"/>
      <c r="G321" s="566"/>
      <c r="H321" s="566"/>
      <c r="I321" s="566"/>
      <c r="J321" s="566"/>
      <c r="K321" s="566"/>
      <c r="L321" s="566"/>
      <c r="M321" s="566"/>
      <c r="N321" s="566"/>
      <c r="O321" s="566"/>
      <c r="P321" s="566"/>
      <c r="Q321" s="566"/>
      <c r="R321" s="566"/>
      <c r="S321" s="566"/>
      <c r="T321" s="566"/>
      <c r="U321" s="566"/>
      <c r="V321" s="566"/>
      <c r="W321" s="566"/>
      <c r="X321" s="566"/>
      <c r="Y321" s="566"/>
      <c r="Z321" s="566"/>
      <c r="AA321" s="566"/>
      <c r="AB321" s="566"/>
      <c r="AC321" s="566"/>
      <c r="AD321" s="566"/>
      <c r="AE321" s="566"/>
      <c r="AF321" s="566"/>
      <c r="AG321" s="566"/>
      <c r="AH321" s="566"/>
      <c r="AI321" s="566"/>
      <c r="AJ321" s="566"/>
      <c r="AK321" s="566"/>
      <c r="AL321" s="566"/>
      <c r="AM321" s="566"/>
      <c r="AN321" s="566"/>
      <c r="AO321" s="566"/>
    </row>
    <row r="322" spans="2:41" x14ac:dyDescent="0.15">
      <c r="B322" s="567">
        <v>8</v>
      </c>
      <c r="C322" s="566">
        <v>0.49166666666666664</v>
      </c>
      <c r="D322" s="566"/>
      <c r="E322" s="566"/>
      <c r="F322" s="566"/>
      <c r="G322" s="566"/>
      <c r="H322" s="566"/>
      <c r="I322" s="566"/>
      <c r="J322" s="566"/>
      <c r="K322" s="566"/>
      <c r="L322" s="566"/>
      <c r="M322" s="566"/>
      <c r="N322" s="566"/>
      <c r="O322" s="566"/>
      <c r="P322" s="566"/>
      <c r="Q322" s="566"/>
      <c r="R322" s="566"/>
      <c r="S322" s="566"/>
      <c r="T322" s="566"/>
      <c r="U322" s="566"/>
      <c r="V322" s="566"/>
      <c r="W322" s="566"/>
      <c r="X322" s="566"/>
      <c r="Y322" s="566"/>
      <c r="Z322" s="566"/>
      <c r="AA322" s="566"/>
      <c r="AB322" s="566"/>
      <c r="AC322" s="566"/>
      <c r="AD322" s="566"/>
      <c r="AE322" s="566"/>
      <c r="AF322" s="566"/>
      <c r="AG322" s="566"/>
      <c r="AH322" s="566"/>
      <c r="AI322" s="566"/>
      <c r="AJ322" s="566"/>
      <c r="AK322" s="566"/>
      <c r="AL322" s="566"/>
      <c r="AM322" s="566"/>
      <c r="AN322" s="566"/>
      <c r="AO322" s="566"/>
    </row>
    <row r="323" spans="2:41" x14ac:dyDescent="0.15">
      <c r="B323" s="567">
        <v>9</v>
      </c>
      <c r="C323" s="566">
        <v>0.54166666666666663</v>
      </c>
      <c r="D323" s="566"/>
      <c r="E323" s="566"/>
      <c r="F323" s="566"/>
      <c r="G323" s="566"/>
      <c r="H323" s="566"/>
      <c r="I323" s="566"/>
      <c r="J323" s="566"/>
      <c r="K323" s="566"/>
      <c r="L323" s="566"/>
      <c r="M323" s="566"/>
      <c r="N323" s="566"/>
      <c r="O323" s="566"/>
      <c r="P323" s="566"/>
      <c r="Q323" s="566"/>
      <c r="R323" s="566"/>
      <c r="S323" s="566"/>
      <c r="T323" s="566"/>
      <c r="U323" s="566"/>
      <c r="V323" s="566"/>
      <c r="W323" s="566"/>
      <c r="X323" s="566"/>
      <c r="Y323" s="566"/>
      <c r="Z323" s="566"/>
      <c r="AA323" s="566"/>
      <c r="AB323" s="566"/>
      <c r="AC323" s="566"/>
      <c r="AD323" s="566"/>
      <c r="AE323" s="566"/>
      <c r="AF323" s="566"/>
      <c r="AG323" s="566"/>
      <c r="AH323" s="566"/>
      <c r="AI323" s="566"/>
      <c r="AJ323" s="566"/>
      <c r="AK323" s="566"/>
      <c r="AL323" s="566"/>
      <c r="AM323" s="566"/>
      <c r="AN323" s="566"/>
      <c r="AO323" s="566"/>
    </row>
    <row r="324" spans="2:41" x14ac:dyDescent="0.15">
      <c r="B324" s="567">
        <v>10</v>
      </c>
      <c r="C324" s="566">
        <v>0.59041095890410955</v>
      </c>
      <c r="D324" s="566"/>
      <c r="E324" s="566"/>
      <c r="F324" s="566"/>
      <c r="G324" s="566"/>
      <c r="H324" s="566"/>
      <c r="I324" s="566"/>
      <c r="J324" s="566"/>
      <c r="K324" s="566"/>
      <c r="L324" s="566"/>
      <c r="M324" s="566"/>
      <c r="N324" s="566"/>
      <c r="O324" s="566"/>
      <c r="P324" s="566"/>
      <c r="Q324" s="566"/>
      <c r="R324" s="566"/>
      <c r="S324" s="566"/>
      <c r="T324" s="566"/>
      <c r="U324" s="566"/>
      <c r="V324" s="566"/>
      <c r="W324" s="566"/>
      <c r="X324" s="566"/>
      <c r="Y324" s="566"/>
      <c r="Z324" s="566"/>
      <c r="AA324" s="566"/>
      <c r="AB324" s="566"/>
      <c r="AC324" s="566"/>
      <c r="AD324" s="566"/>
      <c r="AE324" s="566"/>
      <c r="AF324" s="566"/>
      <c r="AG324" s="566"/>
      <c r="AH324" s="566"/>
      <c r="AI324" s="566"/>
      <c r="AJ324" s="566"/>
      <c r="AK324" s="566"/>
      <c r="AL324" s="566"/>
      <c r="AM324" s="566"/>
      <c r="AN324" s="566"/>
      <c r="AO324" s="566"/>
    </row>
    <row r="325" spans="2:41" x14ac:dyDescent="0.15">
      <c r="B325" s="567">
        <v>11</v>
      </c>
      <c r="C325" s="566">
        <v>0.61289954337899544</v>
      </c>
      <c r="D325" s="566"/>
      <c r="E325" s="566"/>
      <c r="F325" s="566"/>
      <c r="G325" s="566"/>
      <c r="H325" s="566"/>
      <c r="I325" s="566"/>
      <c r="J325" s="566"/>
      <c r="K325" s="566"/>
      <c r="L325" s="566"/>
      <c r="M325" s="566"/>
      <c r="N325" s="566"/>
      <c r="O325" s="566"/>
      <c r="P325" s="566"/>
      <c r="Q325" s="566"/>
      <c r="R325" s="566"/>
      <c r="S325" s="566"/>
      <c r="T325" s="566"/>
      <c r="U325" s="566"/>
      <c r="V325" s="566"/>
      <c r="W325" s="566"/>
      <c r="X325" s="566"/>
      <c r="Y325" s="566"/>
      <c r="Z325" s="566"/>
      <c r="AA325" s="566"/>
      <c r="AB325" s="566"/>
      <c r="AC325" s="566"/>
      <c r="AD325" s="566"/>
      <c r="AE325" s="566"/>
      <c r="AF325" s="566"/>
      <c r="AG325" s="566"/>
      <c r="AH325" s="566"/>
      <c r="AI325" s="566"/>
      <c r="AJ325" s="566"/>
      <c r="AK325" s="566"/>
      <c r="AL325" s="566"/>
      <c r="AM325" s="566"/>
      <c r="AN325" s="566"/>
      <c r="AO325" s="566"/>
    </row>
    <row r="326" spans="2:41" x14ac:dyDescent="0.15">
      <c r="B326" s="567">
        <v>12</v>
      </c>
      <c r="C326" s="566">
        <v>0.65890410958904111</v>
      </c>
      <c r="D326" s="566"/>
      <c r="E326" s="566"/>
      <c r="F326" s="566"/>
      <c r="G326" s="566"/>
      <c r="H326" s="566"/>
      <c r="I326" s="566"/>
      <c r="J326" s="566"/>
      <c r="K326" s="566"/>
      <c r="L326" s="566"/>
      <c r="M326" s="566"/>
      <c r="N326" s="566"/>
      <c r="O326" s="566"/>
      <c r="P326" s="566"/>
      <c r="Q326" s="566"/>
      <c r="R326" s="566"/>
      <c r="S326" s="566"/>
      <c r="T326" s="566"/>
      <c r="U326" s="566"/>
      <c r="V326" s="566"/>
      <c r="W326" s="566"/>
      <c r="X326" s="566"/>
      <c r="Y326" s="566"/>
      <c r="Z326" s="566"/>
      <c r="AA326" s="566"/>
      <c r="AB326" s="566"/>
      <c r="AC326" s="566"/>
      <c r="AD326" s="566"/>
      <c r="AE326" s="566"/>
      <c r="AF326" s="566"/>
      <c r="AG326" s="566"/>
      <c r="AH326" s="566"/>
      <c r="AI326" s="566"/>
      <c r="AJ326" s="566"/>
      <c r="AK326" s="566"/>
      <c r="AL326" s="566"/>
      <c r="AM326" s="566"/>
      <c r="AN326" s="566"/>
      <c r="AO326" s="566"/>
    </row>
    <row r="327" spans="2:41" x14ac:dyDescent="0.15">
      <c r="B327" s="567">
        <v>13</v>
      </c>
      <c r="C327" s="566">
        <v>0.70742009132420092</v>
      </c>
      <c r="D327" s="566"/>
      <c r="E327" s="566"/>
      <c r="F327" s="566"/>
      <c r="G327" s="566"/>
      <c r="H327" s="566"/>
      <c r="I327" s="566"/>
      <c r="J327" s="566"/>
      <c r="K327" s="566"/>
      <c r="L327" s="566"/>
      <c r="M327" s="566"/>
      <c r="N327" s="566"/>
      <c r="O327" s="566"/>
      <c r="P327" s="566"/>
      <c r="Q327" s="566"/>
      <c r="R327" s="566"/>
      <c r="S327" s="566"/>
      <c r="T327" s="566"/>
      <c r="U327" s="566"/>
      <c r="V327" s="566"/>
      <c r="W327" s="566"/>
      <c r="X327" s="566"/>
      <c r="Y327" s="566"/>
      <c r="Z327" s="566"/>
      <c r="AA327" s="566"/>
      <c r="AB327" s="566"/>
      <c r="AC327" s="566"/>
      <c r="AD327" s="566"/>
      <c r="AE327" s="566"/>
      <c r="AF327" s="566"/>
      <c r="AG327" s="566"/>
      <c r="AH327" s="566"/>
      <c r="AI327" s="566"/>
      <c r="AJ327" s="566"/>
      <c r="AK327" s="566"/>
      <c r="AL327" s="566"/>
      <c r="AM327" s="566"/>
      <c r="AN327" s="566"/>
      <c r="AO327" s="566"/>
    </row>
    <row r="328" spans="2:41" x14ac:dyDescent="0.15">
      <c r="B328" s="567">
        <v>14</v>
      </c>
      <c r="C328" s="566">
        <v>0.75582191780821917</v>
      </c>
      <c r="D328" s="566"/>
      <c r="E328" s="566"/>
      <c r="F328" s="566"/>
      <c r="G328" s="566"/>
      <c r="H328" s="566"/>
      <c r="I328" s="566"/>
      <c r="J328" s="566"/>
      <c r="K328" s="566"/>
      <c r="L328" s="566"/>
      <c r="M328" s="566"/>
      <c r="N328" s="566"/>
      <c r="O328" s="566"/>
      <c r="P328" s="566"/>
      <c r="Q328" s="566"/>
      <c r="R328" s="566"/>
      <c r="S328" s="566"/>
      <c r="T328" s="566"/>
      <c r="U328" s="566"/>
      <c r="V328" s="566"/>
      <c r="W328" s="566"/>
      <c r="X328" s="566"/>
      <c r="Y328" s="566"/>
      <c r="Z328" s="566"/>
      <c r="AA328" s="566"/>
      <c r="AB328" s="566"/>
      <c r="AC328" s="566"/>
      <c r="AD328" s="566"/>
      <c r="AE328" s="566"/>
      <c r="AF328" s="566"/>
      <c r="AG328" s="566"/>
      <c r="AH328" s="566"/>
      <c r="AI328" s="566"/>
      <c r="AJ328" s="566"/>
      <c r="AK328" s="566"/>
      <c r="AL328" s="566"/>
      <c r="AM328" s="566"/>
      <c r="AN328" s="566"/>
      <c r="AO328" s="566"/>
    </row>
    <row r="329" spans="2:41" x14ac:dyDescent="0.15">
      <c r="B329" s="567">
        <v>15</v>
      </c>
      <c r="C329" s="566">
        <v>0.79965753424657537</v>
      </c>
      <c r="D329" s="566"/>
      <c r="E329" s="566"/>
      <c r="F329" s="566"/>
      <c r="G329" s="566"/>
      <c r="H329" s="566"/>
      <c r="I329" s="566"/>
      <c r="J329" s="566"/>
      <c r="K329" s="566"/>
      <c r="L329" s="566"/>
      <c r="M329" s="566"/>
      <c r="N329" s="566"/>
      <c r="O329" s="566"/>
      <c r="P329" s="566"/>
      <c r="Q329" s="566"/>
      <c r="R329" s="566"/>
      <c r="S329" s="566"/>
      <c r="T329" s="566"/>
      <c r="U329" s="566"/>
      <c r="V329" s="566"/>
      <c r="W329" s="566"/>
      <c r="X329" s="566"/>
      <c r="Y329" s="566"/>
      <c r="Z329" s="566"/>
      <c r="AA329" s="566"/>
      <c r="AB329" s="566"/>
      <c r="AC329" s="566"/>
      <c r="AD329" s="566"/>
      <c r="AE329" s="566"/>
      <c r="AF329" s="566"/>
      <c r="AG329" s="566"/>
      <c r="AH329" s="566"/>
      <c r="AI329" s="566"/>
      <c r="AJ329" s="566"/>
      <c r="AK329" s="566"/>
      <c r="AL329" s="566"/>
      <c r="AM329" s="566"/>
      <c r="AN329" s="566"/>
      <c r="AO329" s="566"/>
    </row>
    <row r="330" spans="2:41" x14ac:dyDescent="0.15">
      <c r="B330" s="567">
        <v>16</v>
      </c>
      <c r="C330" s="566">
        <v>0.8238584474885845</v>
      </c>
      <c r="D330" s="566"/>
      <c r="E330" s="566"/>
      <c r="F330" s="566"/>
      <c r="G330" s="566"/>
      <c r="H330" s="566"/>
      <c r="I330" s="566"/>
      <c r="J330" s="566"/>
      <c r="K330" s="566"/>
      <c r="L330" s="566"/>
      <c r="M330" s="566"/>
      <c r="N330" s="566"/>
      <c r="O330" s="566"/>
      <c r="P330" s="566"/>
      <c r="Q330" s="566"/>
      <c r="R330" s="566"/>
      <c r="S330" s="566"/>
      <c r="T330" s="566"/>
      <c r="U330" s="566"/>
      <c r="V330" s="566"/>
      <c r="W330" s="566"/>
      <c r="X330" s="566"/>
      <c r="Y330" s="566"/>
      <c r="Z330" s="566"/>
      <c r="AA330" s="566"/>
      <c r="AB330" s="566"/>
      <c r="AC330" s="566"/>
      <c r="AD330" s="566"/>
      <c r="AE330" s="566"/>
      <c r="AF330" s="566"/>
      <c r="AG330" s="566"/>
      <c r="AH330" s="566"/>
      <c r="AI330" s="566"/>
      <c r="AJ330" s="566"/>
      <c r="AK330" s="566"/>
      <c r="AL330" s="566"/>
      <c r="AM330" s="566"/>
      <c r="AN330" s="566"/>
      <c r="AO330" s="566"/>
    </row>
    <row r="331" spans="2:41" x14ac:dyDescent="0.15">
      <c r="B331" s="567">
        <v>17</v>
      </c>
      <c r="C331" s="566">
        <v>0.86335616438356166</v>
      </c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6"/>
    </row>
    <row r="332" spans="2:41" x14ac:dyDescent="0.15">
      <c r="B332" s="567">
        <v>18</v>
      </c>
      <c r="C332" s="566">
        <v>0.8987442922374429</v>
      </c>
      <c r="D332" s="566"/>
      <c r="E332" s="566"/>
      <c r="F332" s="566"/>
      <c r="G332" s="566"/>
      <c r="H332" s="566"/>
      <c r="I332" s="566"/>
      <c r="J332" s="566"/>
      <c r="K332" s="566"/>
      <c r="L332" s="566"/>
      <c r="M332" s="566"/>
      <c r="N332" s="566"/>
      <c r="O332" s="566"/>
      <c r="P332" s="566"/>
      <c r="Q332" s="566"/>
      <c r="R332" s="566"/>
      <c r="S332" s="566"/>
      <c r="T332" s="566"/>
      <c r="U332" s="566"/>
      <c r="V332" s="566"/>
      <c r="W332" s="566"/>
      <c r="X332" s="566"/>
      <c r="Y332" s="566"/>
      <c r="Z332" s="566"/>
      <c r="AA332" s="566"/>
      <c r="AB332" s="566"/>
      <c r="AC332" s="566"/>
      <c r="AD332" s="566"/>
      <c r="AE332" s="566"/>
      <c r="AF332" s="566"/>
      <c r="AG332" s="566"/>
      <c r="AH332" s="566"/>
      <c r="AI332" s="566"/>
      <c r="AJ332" s="566"/>
      <c r="AK332" s="566"/>
      <c r="AL332" s="566"/>
      <c r="AM332" s="566"/>
      <c r="AN332" s="566"/>
      <c r="AO332" s="566"/>
    </row>
    <row r="333" spans="2:41" x14ac:dyDescent="0.15">
      <c r="B333" s="567">
        <v>19</v>
      </c>
      <c r="C333" s="566">
        <v>0.92625570776255706</v>
      </c>
      <c r="D333" s="566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</row>
    <row r="334" spans="2:41" x14ac:dyDescent="0.15">
      <c r="B334" s="567">
        <v>20</v>
      </c>
      <c r="C334" s="566">
        <v>0.9480593607305936</v>
      </c>
      <c r="D334" s="566"/>
      <c r="E334" s="566"/>
      <c r="F334" s="566"/>
      <c r="G334" s="566"/>
      <c r="H334" s="566"/>
      <c r="I334" s="566"/>
      <c r="J334" s="566"/>
      <c r="K334" s="566"/>
      <c r="L334" s="566"/>
      <c r="M334" s="566"/>
      <c r="N334" s="566"/>
      <c r="O334" s="566"/>
      <c r="P334" s="566"/>
      <c r="Q334" s="566"/>
      <c r="R334" s="566"/>
      <c r="S334" s="566"/>
      <c r="T334" s="566"/>
      <c r="U334" s="566"/>
      <c r="V334" s="566"/>
      <c r="W334" s="566"/>
      <c r="X334" s="566"/>
      <c r="Y334" s="566"/>
      <c r="Z334" s="566"/>
      <c r="AA334" s="566"/>
      <c r="AB334" s="566"/>
      <c r="AC334" s="566"/>
      <c r="AD334" s="566"/>
      <c r="AE334" s="566"/>
      <c r="AF334" s="566"/>
      <c r="AG334" s="566"/>
      <c r="AH334" s="566"/>
      <c r="AI334" s="566"/>
      <c r="AJ334" s="566"/>
      <c r="AK334" s="566"/>
      <c r="AL334" s="566"/>
      <c r="AM334" s="566"/>
      <c r="AN334" s="566"/>
      <c r="AO334" s="566"/>
    </row>
    <row r="335" spans="2:41" x14ac:dyDescent="0.15">
      <c r="B335" s="567">
        <v>21</v>
      </c>
      <c r="C335" s="566">
        <v>0.95913242009132416</v>
      </c>
      <c r="D335" s="566"/>
      <c r="E335" s="566"/>
      <c r="F335" s="566"/>
      <c r="G335" s="566"/>
      <c r="H335" s="566"/>
      <c r="I335" s="566"/>
      <c r="J335" s="566"/>
      <c r="K335" s="566"/>
      <c r="L335" s="566"/>
      <c r="M335" s="566"/>
      <c r="N335" s="566"/>
      <c r="O335" s="566"/>
      <c r="P335" s="566"/>
      <c r="Q335" s="566"/>
      <c r="R335" s="566"/>
      <c r="S335" s="566"/>
      <c r="T335" s="566"/>
      <c r="U335" s="566"/>
      <c r="V335" s="566"/>
      <c r="W335" s="566"/>
      <c r="X335" s="566"/>
      <c r="Y335" s="566"/>
      <c r="Z335" s="566"/>
      <c r="AA335" s="566"/>
      <c r="AB335" s="566"/>
      <c r="AC335" s="566"/>
      <c r="AD335" s="566"/>
      <c r="AE335" s="566"/>
      <c r="AF335" s="566"/>
      <c r="AG335" s="566"/>
      <c r="AH335" s="566"/>
      <c r="AI335" s="566"/>
      <c r="AJ335" s="566"/>
      <c r="AK335" s="566"/>
      <c r="AL335" s="566"/>
      <c r="AM335" s="566"/>
      <c r="AN335" s="566"/>
      <c r="AO335" s="566"/>
    </row>
    <row r="336" spans="2:41" x14ac:dyDescent="0.15">
      <c r="B336" s="567">
        <v>22</v>
      </c>
      <c r="C336" s="566">
        <v>0.97454337899543375</v>
      </c>
      <c r="D336" s="566"/>
      <c r="E336" s="566"/>
      <c r="F336" s="566"/>
      <c r="G336" s="566"/>
      <c r="H336" s="566"/>
      <c r="I336" s="566"/>
      <c r="J336" s="566"/>
      <c r="K336" s="566"/>
      <c r="L336" s="566"/>
      <c r="M336" s="566"/>
      <c r="N336" s="566"/>
      <c r="O336" s="566"/>
      <c r="P336" s="566"/>
      <c r="Q336" s="566"/>
      <c r="R336" s="566"/>
      <c r="S336" s="566"/>
      <c r="T336" s="566"/>
      <c r="U336" s="566"/>
      <c r="V336" s="566"/>
      <c r="W336" s="566"/>
      <c r="X336" s="566"/>
      <c r="Y336" s="566"/>
      <c r="Z336" s="566"/>
      <c r="AA336" s="566"/>
      <c r="AB336" s="566"/>
      <c r="AC336" s="566"/>
      <c r="AD336" s="566"/>
      <c r="AE336" s="566"/>
      <c r="AF336" s="566"/>
      <c r="AG336" s="566"/>
      <c r="AH336" s="566"/>
      <c r="AI336" s="566"/>
      <c r="AJ336" s="566"/>
      <c r="AK336" s="566"/>
      <c r="AL336" s="566"/>
      <c r="AM336" s="566"/>
      <c r="AN336" s="566"/>
      <c r="AO336" s="566"/>
    </row>
    <row r="337" spans="2:41" x14ac:dyDescent="0.15">
      <c r="B337" s="567">
        <v>23</v>
      </c>
      <c r="C337" s="566">
        <v>0.98561643835616441</v>
      </c>
      <c r="D337" s="566"/>
      <c r="E337" s="566"/>
      <c r="F337" s="566"/>
      <c r="G337" s="566"/>
      <c r="H337" s="566"/>
      <c r="I337" s="566"/>
      <c r="J337" s="566"/>
      <c r="K337" s="566"/>
      <c r="L337" s="566"/>
      <c r="M337" s="566"/>
      <c r="N337" s="566"/>
      <c r="O337" s="566"/>
      <c r="P337" s="566"/>
      <c r="Q337" s="566"/>
      <c r="R337" s="566"/>
      <c r="S337" s="566"/>
      <c r="T337" s="566"/>
      <c r="U337" s="566"/>
      <c r="V337" s="566"/>
      <c r="W337" s="566"/>
      <c r="X337" s="566"/>
      <c r="Y337" s="566"/>
      <c r="Z337" s="566"/>
      <c r="AA337" s="566"/>
      <c r="AB337" s="566"/>
      <c r="AC337" s="566"/>
      <c r="AD337" s="566"/>
      <c r="AE337" s="566"/>
      <c r="AF337" s="566"/>
      <c r="AG337" s="566"/>
      <c r="AH337" s="566"/>
      <c r="AI337" s="566"/>
      <c r="AJ337" s="566"/>
      <c r="AK337" s="566"/>
      <c r="AL337" s="566"/>
      <c r="AM337" s="566"/>
      <c r="AN337" s="566"/>
      <c r="AO337" s="566"/>
    </row>
    <row r="338" spans="2:41" x14ac:dyDescent="0.15">
      <c r="B338" s="567">
        <v>24</v>
      </c>
      <c r="C338" s="566">
        <v>0.99257990867579904</v>
      </c>
      <c r="D338" s="566"/>
      <c r="E338" s="566"/>
      <c r="F338" s="566"/>
      <c r="G338" s="566"/>
      <c r="H338" s="566"/>
      <c r="I338" s="566"/>
      <c r="J338" s="566"/>
      <c r="K338" s="566"/>
      <c r="L338" s="566"/>
      <c r="M338" s="566"/>
      <c r="N338" s="566"/>
      <c r="O338" s="566"/>
      <c r="P338" s="566"/>
      <c r="Q338" s="566"/>
      <c r="R338" s="566"/>
      <c r="S338" s="566"/>
      <c r="T338" s="566"/>
      <c r="U338" s="566"/>
      <c r="V338" s="566"/>
      <c r="W338" s="566"/>
      <c r="X338" s="566"/>
      <c r="Y338" s="566"/>
      <c r="Z338" s="566"/>
      <c r="AA338" s="566"/>
      <c r="AB338" s="566"/>
      <c r="AC338" s="566"/>
      <c r="AD338" s="566"/>
      <c r="AE338" s="566"/>
      <c r="AF338" s="566"/>
      <c r="AG338" s="566"/>
      <c r="AH338" s="566"/>
      <c r="AI338" s="566"/>
      <c r="AJ338" s="566"/>
      <c r="AK338" s="566"/>
      <c r="AL338" s="566"/>
      <c r="AM338" s="566"/>
      <c r="AN338" s="566"/>
      <c r="AO338" s="566"/>
    </row>
    <row r="339" spans="2:41" x14ac:dyDescent="0.15">
      <c r="B339" s="567">
        <v>25</v>
      </c>
      <c r="C339" s="566">
        <v>0.99589041095890407</v>
      </c>
      <c r="D339" s="566"/>
      <c r="E339" s="566"/>
      <c r="F339" s="566"/>
      <c r="G339" s="566"/>
      <c r="H339" s="566"/>
      <c r="I339" s="566"/>
      <c r="J339" s="566"/>
      <c r="K339" s="566"/>
      <c r="L339" s="566"/>
      <c r="M339" s="566"/>
      <c r="N339" s="566"/>
      <c r="O339" s="566"/>
      <c r="P339" s="566"/>
      <c r="Q339" s="566"/>
      <c r="R339" s="566"/>
      <c r="S339" s="566"/>
      <c r="T339" s="566"/>
      <c r="U339" s="566"/>
      <c r="V339" s="566"/>
      <c r="W339" s="566"/>
      <c r="X339" s="566"/>
      <c r="Y339" s="566"/>
      <c r="Z339" s="566"/>
      <c r="AA339" s="566"/>
      <c r="AB339" s="566"/>
      <c r="AC339" s="566"/>
      <c r="AD339" s="566"/>
      <c r="AE339" s="566"/>
      <c r="AF339" s="566"/>
      <c r="AG339" s="566"/>
      <c r="AH339" s="566"/>
      <c r="AI339" s="566"/>
      <c r="AJ339" s="566"/>
      <c r="AK339" s="566"/>
      <c r="AL339" s="566"/>
      <c r="AM339" s="566"/>
      <c r="AN339" s="566"/>
      <c r="AO339" s="566"/>
    </row>
    <row r="340" spans="2:41" x14ac:dyDescent="0.15">
      <c r="B340" s="567">
        <v>26</v>
      </c>
      <c r="C340" s="566">
        <v>0.99714611872146119</v>
      </c>
      <c r="D340" s="566"/>
      <c r="E340" s="566"/>
      <c r="F340" s="566"/>
      <c r="G340" s="566"/>
      <c r="H340" s="566"/>
      <c r="I340" s="566"/>
      <c r="J340" s="566"/>
      <c r="K340" s="566"/>
      <c r="L340" s="566"/>
      <c r="M340" s="566"/>
      <c r="N340" s="566"/>
      <c r="O340" s="566"/>
      <c r="P340" s="566"/>
      <c r="Q340" s="566"/>
      <c r="R340" s="566"/>
      <c r="S340" s="566"/>
      <c r="T340" s="566"/>
      <c r="U340" s="566"/>
      <c r="V340" s="566"/>
      <c r="W340" s="566"/>
      <c r="X340" s="566"/>
      <c r="Y340" s="566"/>
      <c r="Z340" s="566"/>
      <c r="AA340" s="566"/>
      <c r="AB340" s="566"/>
      <c r="AC340" s="566"/>
      <c r="AD340" s="566"/>
      <c r="AE340" s="566"/>
      <c r="AF340" s="566"/>
      <c r="AG340" s="566"/>
      <c r="AH340" s="566"/>
      <c r="AI340" s="566"/>
      <c r="AJ340" s="566"/>
      <c r="AK340" s="566"/>
      <c r="AL340" s="566"/>
      <c r="AM340" s="566"/>
      <c r="AN340" s="566"/>
      <c r="AO340" s="566"/>
    </row>
    <row r="341" spans="2:41" x14ac:dyDescent="0.15">
      <c r="B341" s="567">
        <v>27</v>
      </c>
      <c r="C341" s="566">
        <v>0.99885844748858443</v>
      </c>
      <c r="D341" s="566"/>
      <c r="E341" s="566"/>
      <c r="F341" s="566"/>
      <c r="G341" s="566"/>
      <c r="H341" s="566"/>
      <c r="I341" s="566"/>
      <c r="J341" s="566"/>
      <c r="K341" s="566"/>
      <c r="L341" s="566"/>
      <c r="M341" s="566"/>
      <c r="N341" s="566"/>
      <c r="O341" s="566"/>
      <c r="P341" s="566"/>
      <c r="Q341" s="566"/>
      <c r="R341" s="566"/>
      <c r="S341" s="566"/>
      <c r="T341" s="566"/>
      <c r="U341" s="566"/>
      <c r="V341" s="566"/>
      <c r="W341" s="566"/>
      <c r="X341" s="566"/>
      <c r="Y341" s="566"/>
      <c r="Z341" s="566"/>
      <c r="AA341" s="566"/>
      <c r="AB341" s="566"/>
      <c r="AC341" s="566"/>
      <c r="AD341" s="566"/>
      <c r="AE341" s="566"/>
      <c r="AF341" s="566"/>
      <c r="AG341" s="566"/>
      <c r="AH341" s="566"/>
      <c r="AI341" s="566"/>
      <c r="AJ341" s="566"/>
      <c r="AK341" s="566"/>
      <c r="AL341" s="566"/>
      <c r="AM341" s="566"/>
      <c r="AN341" s="566"/>
      <c r="AO341" s="566"/>
    </row>
    <row r="342" spans="2:41" x14ac:dyDescent="0.15">
      <c r="B342" s="567">
        <v>28</v>
      </c>
      <c r="C342" s="566">
        <v>0.99965753424657533</v>
      </c>
      <c r="D342" s="566"/>
      <c r="E342" s="566"/>
      <c r="F342" s="566"/>
      <c r="G342" s="566"/>
      <c r="H342" s="566"/>
      <c r="I342" s="566"/>
      <c r="J342" s="566"/>
      <c r="K342" s="566"/>
      <c r="L342" s="566"/>
      <c r="M342" s="566"/>
      <c r="N342" s="566"/>
      <c r="O342" s="566"/>
      <c r="P342" s="566"/>
      <c r="Q342" s="566"/>
      <c r="R342" s="566"/>
      <c r="S342" s="566"/>
      <c r="T342" s="566"/>
      <c r="U342" s="566"/>
      <c r="V342" s="566"/>
      <c r="W342" s="566"/>
      <c r="X342" s="566"/>
      <c r="Y342" s="566"/>
      <c r="Z342" s="566"/>
      <c r="AA342" s="566"/>
      <c r="AB342" s="566"/>
      <c r="AC342" s="566"/>
      <c r="AD342" s="566"/>
      <c r="AE342" s="566"/>
      <c r="AF342" s="566"/>
      <c r="AG342" s="566"/>
      <c r="AH342" s="566"/>
      <c r="AI342" s="566"/>
      <c r="AJ342" s="566"/>
      <c r="AK342" s="566"/>
      <c r="AL342" s="566"/>
      <c r="AM342" s="566"/>
      <c r="AN342" s="566"/>
      <c r="AO342" s="566"/>
    </row>
    <row r="343" spans="2:41" x14ac:dyDescent="0.15">
      <c r="B343" s="567">
        <v>29</v>
      </c>
      <c r="C343" s="566">
        <v>1</v>
      </c>
      <c r="D343" s="566"/>
      <c r="E343" s="566"/>
      <c r="F343" s="566"/>
      <c r="G343" s="566"/>
      <c r="H343" s="566"/>
      <c r="I343" s="566"/>
      <c r="J343" s="566"/>
      <c r="K343" s="566"/>
      <c r="L343" s="566"/>
      <c r="M343" s="566"/>
      <c r="N343" s="566"/>
      <c r="O343" s="566"/>
      <c r="P343" s="566"/>
      <c r="Q343" s="566"/>
      <c r="R343" s="566"/>
      <c r="S343" s="566"/>
      <c r="T343" s="566"/>
      <c r="U343" s="566"/>
      <c r="V343" s="566"/>
      <c r="W343" s="566"/>
      <c r="X343" s="566"/>
      <c r="Y343" s="566"/>
      <c r="Z343" s="566"/>
      <c r="AA343" s="566"/>
      <c r="AB343" s="566"/>
      <c r="AC343" s="566"/>
      <c r="AD343" s="566"/>
      <c r="AE343" s="566"/>
      <c r="AF343" s="566"/>
      <c r="AG343" s="566"/>
      <c r="AH343" s="566"/>
      <c r="AI343" s="566"/>
      <c r="AJ343" s="566"/>
      <c r="AK343" s="566"/>
      <c r="AL343" s="566"/>
      <c r="AM343" s="566"/>
      <c r="AN343" s="566"/>
      <c r="AO343" s="566"/>
    </row>
    <row r="344" spans="2:41" x14ac:dyDescent="0.15">
      <c r="B344" s="567">
        <v>30</v>
      </c>
      <c r="C344" s="566">
        <v>1</v>
      </c>
      <c r="D344" s="566"/>
      <c r="E344" s="566"/>
      <c r="F344" s="566"/>
      <c r="G344" s="566"/>
      <c r="H344" s="566"/>
      <c r="I344" s="566"/>
      <c r="J344" s="566"/>
      <c r="K344" s="566"/>
      <c r="L344" s="566"/>
      <c r="M344" s="566"/>
      <c r="N344" s="566"/>
      <c r="O344" s="566"/>
      <c r="P344" s="566"/>
      <c r="Q344" s="566"/>
      <c r="R344" s="566"/>
      <c r="S344" s="566"/>
      <c r="T344" s="566"/>
      <c r="U344" s="566"/>
      <c r="V344" s="566"/>
      <c r="W344" s="566"/>
      <c r="X344" s="566"/>
      <c r="Y344" s="566"/>
      <c r="Z344" s="566"/>
      <c r="AA344" s="566"/>
      <c r="AB344" s="566"/>
      <c r="AC344" s="566"/>
      <c r="AD344" s="566"/>
      <c r="AE344" s="566"/>
      <c r="AF344" s="566"/>
      <c r="AG344" s="566"/>
      <c r="AH344" s="566"/>
      <c r="AI344" s="566"/>
      <c r="AJ344" s="566"/>
      <c r="AK344" s="566"/>
      <c r="AL344" s="566"/>
      <c r="AM344" s="566"/>
      <c r="AN344" s="566"/>
      <c r="AO344" s="566"/>
    </row>
    <row r="345" spans="2:41" x14ac:dyDescent="0.15">
      <c r="B345" s="567">
        <v>31</v>
      </c>
      <c r="C345" s="566">
        <v>1</v>
      </c>
      <c r="D345" s="566"/>
      <c r="E345" s="566"/>
      <c r="F345" s="566"/>
      <c r="G345" s="566"/>
      <c r="H345" s="566"/>
      <c r="I345" s="566"/>
      <c r="J345" s="566"/>
      <c r="K345" s="566"/>
      <c r="L345" s="566"/>
      <c r="M345" s="566"/>
      <c r="N345" s="566"/>
      <c r="O345" s="566"/>
      <c r="P345" s="566"/>
      <c r="Q345" s="566"/>
      <c r="R345" s="566"/>
      <c r="S345" s="566"/>
      <c r="T345" s="566"/>
      <c r="U345" s="566"/>
      <c r="V345" s="566"/>
      <c r="W345" s="566"/>
      <c r="X345" s="566"/>
      <c r="Y345" s="566"/>
      <c r="Z345" s="566"/>
      <c r="AA345" s="566"/>
      <c r="AB345" s="566"/>
      <c r="AC345" s="566"/>
      <c r="AD345" s="566"/>
      <c r="AE345" s="566"/>
      <c r="AF345" s="566"/>
      <c r="AG345" s="566"/>
      <c r="AH345" s="566"/>
      <c r="AI345" s="566"/>
      <c r="AJ345" s="566"/>
      <c r="AK345" s="566"/>
      <c r="AL345" s="566"/>
      <c r="AM345" s="566"/>
      <c r="AN345" s="566"/>
      <c r="AO345" s="566"/>
    </row>
    <row r="346" spans="2:41" x14ac:dyDescent="0.15">
      <c r="B346" s="567">
        <v>32</v>
      </c>
      <c r="C346" s="566">
        <v>1</v>
      </c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6"/>
      <c r="X346" s="566"/>
      <c r="Y346" s="566"/>
      <c r="Z346" s="566"/>
      <c r="AA346" s="566"/>
      <c r="AB346" s="566"/>
      <c r="AC346" s="566"/>
      <c r="AD346" s="566"/>
      <c r="AE346" s="566"/>
      <c r="AF346" s="566"/>
      <c r="AG346" s="566"/>
      <c r="AH346" s="566"/>
      <c r="AI346" s="566"/>
      <c r="AJ346" s="566"/>
      <c r="AK346" s="566"/>
      <c r="AL346" s="566"/>
      <c r="AM346" s="566"/>
      <c r="AN346" s="566"/>
      <c r="AO346" s="566"/>
    </row>
    <row r="347" spans="2:41" x14ac:dyDescent="0.15">
      <c r="B347" s="567">
        <v>33</v>
      </c>
      <c r="C347" s="566">
        <v>1</v>
      </c>
      <c r="D347" s="566"/>
      <c r="E347" s="566"/>
      <c r="F347" s="566"/>
      <c r="G347" s="566"/>
      <c r="H347" s="566"/>
      <c r="I347" s="566"/>
      <c r="J347" s="566"/>
      <c r="K347" s="566"/>
      <c r="L347" s="566"/>
      <c r="M347" s="566"/>
      <c r="N347" s="566"/>
      <c r="O347" s="566"/>
      <c r="P347" s="566"/>
      <c r="Q347" s="566"/>
      <c r="R347" s="566"/>
      <c r="S347" s="566"/>
      <c r="T347" s="566"/>
      <c r="U347" s="566"/>
      <c r="V347" s="566"/>
      <c r="W347" s="566"/>
      <c r="X347" s="566"/>
      <c r="Y347" s="566"/>
      <c r="Z347" s="566"/>
      <c r="AA347" s="566"/>
      <c r="AB347" s="566"/>
      <c r="AC347" s="566"/>
      <c r="AD347" s="566"/>
      <c r="AE347" s="566"/>
      <c r="AF347" s="566"/>
      <c r="AG347" s="566"/>
      <c r="AH347" s="566"/>
      <c r="AI347" s="566"/>
      <c r="AJ347" s="566"/>
      <c r="AK347" s="566"/>
      <c r="AL347" s="566"/>
      <c r="AM347" s="566"/>
      <c r="AN347" s="566"/>
      <c r="AO347" s="566"/>
    </row>
    <row r="348" spans="2:41" x14ac:dyDescent="0.15">
      <c r="B348" s="567">
        <v>34</v>
      </c>
      <c r="C348" s="566">
        <v>1</v>
      </c>
      <c r="D348" s="566"/>
      <c r="E348" s="566"/>
      <c r="F348" s="566"/>
      <c r="G348" s="566"/>
      <c r="H348" s="566"/>
      <c r="I348" s="566"/>
      <c r="J348" s="566"/>
      <c r="K348" s="566"/>
      <c r="L348" s="566"/>
      <c r="M348" s="566"/>
      <c r="N348" s="566"/>
      <c r="O348" s="566"/>
      <c r="P348" s="566"/>
      <c r="Q348" s="566"/>
      <c r="R348" s="566"/>
      <c r="S348" s="566"/>
      <c r="T348" s="566"/>
      <c r="U348" s="566"/>
      <c r="V348" s="566"/>
      <c r="W348" s="566"/>
      <c r="X348" s="566"/>
      <c r="Y348" s="566"/>
      <c r="Z348" s="566"/>
      <c r="AA348" s="566"/>
      <c r="AB348" s="566"/>
      <c r="AC348" s="566"/>
      <c r="AD348" s="566"/>
      <c r="AE348" s="566"/>
      <c r="AF348" s="566"/>
      <c r="AG348" s="566"/>
      <c r="AH348" s="566"/>
      <c r="AI348" s="566"/>
      <c r="AJ348" s="566"/>
      <c r="AK348" s="566"/>
      <c r="AL348" s="566"/>
      <c r="AM348" s="566"/>
      <c r="AN348" s="566"/>
      <c r="AO348" s="566"/>
    </row>
    <row r="349" spans="2:41" x14ac:dyDescent="0.15">
      <c r="B349" s="567">
        <v>35</v>
      </c>
      <c r="C349" s="566">
        <v>1</v>
      </c>
      <c r="D349" s="566"/>
      <c r="E349" s="566"/>
      <c r="F349" s="566"/>
      <c r="G349" s="566"/>
      <c r="H349" s="566"/>
      <c r="I349" s="566"/>
      <c r="J349" s="566"/>
      <c r="K349" s="566"/>
      <c r="L349" s="566"/>
      <c r="M349" s="566"/>
      <c r="N349" s="566"/>
      <c r="O349" s="566"/>
      <c r="P349" s="566"/>
      <c r="Q349" s="566"/>
      <c r="R349" s="566"/>
      <c r="S349" s="566"/>
      <c r="T349" s="566"/>
      <c r="U349" s="566"/>
      <c r="V349" s="566"/>
      <c r="W349" s="566"/>
      <c r="X349" s="566"/>
      <c r="Y349" s="566"/>
      <c r="Z349" s="566"/>
      <c r="AA349" s="566"/>
      <c r="AB349" s="566"/>
      <c r="AC349" s="566"/>
      <c r="AD349" s="566"/>
      <c r="AE349" s="566"/>
      <c r="AF349" s="566"/>
      <c r="AG349" s="566"/>
      <c r="AH349" s="566"/>
      <c r="AI349" s="566"/>
      <c r="AJ349" s="566"/>
      <c r="AK349" s="566"/>
      <c r="AL349" s="566"/>
      <c r="AM349" s="566"/>
      <c r="AN349" s="566"/>
      <c r="AO349" s="566"/>
    </row>
    <row r="350" spans="2:41" x14ac:dyDescent="0.15">
      <c r="B350" s="567">
        <v>36</v>
      </c>
      <c r="C350" s="566">
        <v>1</v>
      </c>
      <c r="D350" s="566"/>
      <c r="E350" s="566"/>
      <c r="F350" s="566"/>
      <c r="G350" s="566"/>
      <c r="H350" s="566"/>
      <c r="I350" s="566"/>
      <c r="J350" s="566"/>
      <c r="K350" s="566"/>
      <c r="L350" s="566"/>
      <c r="M350" s="566"/>
      <c r="N350" s="566"/>
      <c r="O350" s="566"/>
      <c r="P350" s="566"/>
      <c r="Q350" s="566"/>
      <c r="R350" s="566"/>
      <c r="S350" s="566"/>
      <c r="T350" s="566"/>
      <c r="U350" s="566"/>
      <c r="V350" s="566"/>
      <c r="W350" s="566"/>
      <c r="X350" s="566"/>
      <c r="Y350" s="566"/>
      <c r="Z350" s="566"/>
      <c r="AA350" s="566"/>
      <c r="AB350" s="566"/>
      <c r="AC350" s="566"/>
      <c r="AD350" s="566"/>
      <c r="AE350" s="566"/>
      <c r="AF350" s="566"/>
      <c r="AG350" s="566"/>
      <c r="AH350" s="566"/>
      <c r="AI350" s="566"/>
      <c r="AJ350" s="566"/>
      <c r="AK350" s="566"/>
      <c r="AL350" s="566"/>
      <c r="AM350" s="566"/>
      <c r="AN350" s="566"/>
      <c r="AO350" s="566"/>
    </row>
    <row r="351" spans="2:41" x14ac:dyDescent="0.15">
      <c r="B351" s="567">
        <v>37</v>
      </c>
      <c r="C351" s="566">
        <v>1</v>
      </c>
      <c r="D351" s="566"/>
      <c r="E351" s="566"/>
      <c r="F351" s="566"/>
      <c r="G351" s="566"/>
      <c r="H351" s="566"/>
      <c r="I351" s="566"/>
      <c r="J351" s="566"/>
      <c r="K351" s="566"/>
      <c r="L351" s="566"/>
      <c r="M351" s="566"/>
      <c r="N351" s="566"/>
      <c r="O351" s="566"/>
      <c r="P351" s="566"/>
      <c r="Q351" s="566"/>
      <c r="R351" s="566"/>
      <c r="S351" s="566"/>
      <c r="T351" s="566"/>
      <c r="U351" s="566"/>
      <c r="V351" s="566"/>
      <c r="W351" s="566"/>
      <c r="X351" s="566"/>
      <c r="Y351" s="566"/>
      <c r="Z351" s="566"/>
      <c r="AA351" s="566"/>
      <c r="AB351" s="566"/>
      <c r="AC351" s="566"/>
      <c r="AD351" s="566"/>
      <c r="AE351" s="566"/>
      <c r="AF351" s="566"/>
      <c r="AG351" s="566"/>
      <c r="AH351" s="566"/>
      <c r="AI351" s="566"/>
      <c r="AJ351" s="566"/>
      <c r="AK351" s="566"/>
      <c r="AL351" s="566"/>
      <c r="AM351" s="566"/>
      <c r="AN351" s="566"/>
      <c r="AO351" s="566"/>
    </row>
    <row r="352" spans="2:41" x14ac:dyDescent="0.15">
      <c r="B352" s="567">
        <v>38</v>
      </c>
      <c r="C352" s="566">
        <v>1</v>
      </c>
      <c r="D352" s="566"/>
      <c r="E352" s="566"/>
      <c r="F352" s="566"/>
      <c r="G352" s="566"/>
      <c r="H352" s="566"/>
      <c r="I352" s="566"/>
      <c r="J352" s="566"/>
      <c r="K352" s="566"/>
      <c r="L352" s="566"/>
      <c r="M352" s="566"/>
      <c r="N352" s="566"/>
      <c r="O352" s="566"/>
      <c r="P352" s="566"/>
      <c r="Q352" s="566"/>
      <c r="R352" s="566"/>
      <c r="S352" s="566"/>
      <c r="T352" s="566"/>
      <c r="U352" s="566"/>
      <c r="V352" s="566"/>
      <c r="W352" s="566"/>
      <c r="X352" s="566"/>
      <c r="Y352" s="566"/>
      <c r="Z352" s="566"/>
      <c r="AA352" s="566"/>
      <c r="AB352" s="566"/>
      <c r="AC352" s="566"/>
      <c r="AD352" s="566"/>
      <c r="AE352" s="566"/>
      <c r="AF352" s="566"/>
      <c r="AG352" s="566"/>
      <c r="AH352" s="566"/>
      <c r="AI352" s="566"/>
      <c r="AJ352" s="566"/>
      <c r="AK352" s="566"/>
      <c r="AL352" s="566"/>
      <c r="AM352" s="566"/>
      <c r="AN352" s="566"/>
      <c r="AO352" s="566"/>
    </row>
    <row r="353" spans="2:41" x14ac:dyDescent="0.15">
      <c r="B353" s="567">
        <v>39</v>
      </c>
      <c r="C353" s="566">
        <v>1</v>
      </c>
      <c r="D353" s="566"/>
      <c r="E353" s="566"/>
      <c r="F353" s="566"/>
      <c r="G353" s="566"/>
      <c r="H353" s="566"/>
      <c r="I353" s="566"/>
      <c r="J353" s="566"/>
      <c r="K353" s="566"/>
      <c r="L353" s="566"/>
      <c r="M353" s="566"/>
      <c r="N353" s="566"/>
      <c r="O353" s="566"/>
      <c r="P353" s="566"/>
      <c r="Q353" s="566"/>
      <c r="R353" s="566"/>
      <c r="S353" s="566"/>
      <c r="T353" s="566"/>
      <c r="U353" s="566"/>
      <c r="V353" s="566"/>
      <c r="W353" s="566"/>
      <c r="X353" s="566"/>
      <c r="Y353" s="566"/>
      <c r="Z353" s="566"/>
      <c r="AA353" s="566"/>
      <c r="AB353" s="566"/>
      <c r="AC353" s="566"/>
      <c r="AD353" s="566"/>
      <c r="AE353" s="566"/>
      <c r="AF353" s="566"/>
      <c r="AG353" s="566"/>
      <c r="AH353" s="566"/>
      <c r="AI353" s="566"/>
      <c r="AJ353" s="566"/>
      <c r="AK353" s="566"/>
      <c r="AL353" s="566"/>
      <c r="AM353" s="566"/>
      <c r="AN353" s="566"/>
      <c r="AO353" s="566"/>
    </row>
    <row r="354" spans="2:41" x14ac:dyDescent="0.15">
      <c r="B354" s="568">
        <v>40</v>
      </c>
      <c r="C354" s="566">
        <v>1</v>
      </c>
      <c r="D354" s="566"/>
      <c r="E354" s="566"/>
      <c r="F354" s="566"/>
      <c r="G354" s="566"/>
      <c r="H354" s="566"/>
      <c r="I354" s="566"/>
      <c r="J354" s="566"/>
      <c r="K354" s="566"/>
      <c r="L354" s="566"/>
      <c r="M354" s="566"/>
      <c r="N354" s="566"/>
      <c r="O354" s="566"/>
      <c r="P354" s="566"/>
      <c r="Q354" s="566"/>
      <c r="R354" s="566"/>
      <c r="S354" s="566"/>
      <c r="T354" s="566"/>
      <c r="U354" s="566"/>
      <c r="V354" s="566"/>
      <c r="W354" s="566"/>
      <c r="X354" s="566"/>
      <c r="Y354" s="566"/>
      <c r="Z354" s="566"/>
      <c r="AA354" s="566"/>
      <c r="AB354" s="566"/>
      <c r="AC354" s="566"/>
      <c r="AD354" s="566"/>
      <c r="AE354" s="566"/>
      <c r="AF354" s="566"/>
      <c r="AG354" s="566"/>
      <c r="AH354" s="566"/>
      <c r="AI354" s="566"/>
      <c r="AJ354" s="566"/>
      <c r="AK354" s="566"/>
      <c r="AL354" s="566"/>
      <c r="AM354" s="566"/>
      <c r="AN354" s="566"/>
      <c r="AO354" s="566"/>
    </row>
    <row r="363" spans="2:41" s="563" customFormat="1" ht="14" x14ac:dyDescent="0.15">
      <c r="B363" s="560" t="str" cm="1">
        <f t="array" ref="B363:AO363">TRANSPOSE('Syötä kaupungit KIRJASTOLINKIT!'!$F$1:$F$40)</f>
        <v>MAA 5</v>
      </c>
      <c r="C363" s="564" t="str">
        <v>Riika</v>
      </c>
      <c r="D363" s="564">
        <v>0</v>
      </c>
      <c r="E363" s="564">
        <v>0</v>
      </c>
      <c r="F363" s="564">
        <v>0</v>
      </c>
      <c r="G363" s="564">
        <v>0</v>
      </c>
      <c r="H363" s="564">
        <v>0</v>
      </c>
      <c r="I363" s="564">
        <v>0</v>
      </c>
      <c r="J363" s="564">
        <v>0</v>
      </c>
      <c r="K363" s="564">
        <v>0</v>
      </c>
      <c r="L363" s="564">
        <v>0</v>
      </c>
      <c r="M363" s="564">
        <v>0</v>
      </c>
      <c r="N363" s="564">
        <v>0</v>
      </c>
      <c r="O363" s="564">
        <v>0</v>
      </c>
      <c r="P363" s="564">
        <v>0</v>
      </c>
      <c r="Q363" s="564">
        <v>0</v>
      </c>
      <c r="R363" s="564">
        <v>0</v>
      </c>
      <c r="S363" s="564">
        <v>0</v>
      </c>
      <c r="T363" s="564">
        <v>0</v>
      </c>
      <c r="U363" s="564">
        <v>0</v>
      </c>
      <c r="V363" s="564">
        <v>0</v>
      </c>
      <c r="W363" s="564">
        <v>0</v>
      </c>
      <c r="X363" s="564">
        <v>0</v>
      </c>
      <c r="Y363" s="564">
        <v>0</v>
      </c>
      <c r="Z363" s="564">
        <v>0</v>
      </c>
      <c r="AA363" s="564">
        <v>0</v>
      </c>
      <c r="AB363" s="564">
        <v>0</v>
      </c>
      <c r="AC363" s="564">
        <v>0</v>
      </c>
      <c r="AD363" s="564">
        <v>0</v>
      </c>
      <c r="AE363" s="564">
        <v>0</v>
      </c>
      <c r="AF363" s="564">
        <v>0</v>
      </c>
      <c r="AG363" s="564">
        <v>0</v>
      </c>
      <c r="AH363" s="564">
        <v>0</v>
      </c>
      <c r="AI363" s="564">
        <v>0</v>
      </c>
      <c r="AJ363" s="564">
        <v>0</v>
      </c>
      <c r="AK363" s="564">
        <v>0</v>
      </c>
      <c r="AL363" s="564">
        <v>0</v>
      </c>
      <c r="AM363" s="564">
        <v>0</v>
      </c>
      <c r="AN363" s="564">
        <v>0</v>
      </c>
      <c r="AO363" s="564">
        <v>0</v>
      </c>
    </row>
    <row r="364" spans="2:41" x14ac:dyDescent="0.15">
      <c r="B364" s="565">
        <v>-40</v>
      </c>
      <c r="C364" s="566">
        <v>0</v>
      </c>
      <c r="D364" s="566"/>
      <c r="E364" s="566"/>
      <c r="F364" s="566"/>
      <c r="G364" s="566"/>
      <c r="H364" s="566"/>
      <c r="I364" s="566"/>
      <c r="J364" s="566"/>
      <c r="K364" s="566"/>
      <c r="L364" s="566"/>
      <c r="M364" s="566"/>
      <c r="N364" s="566"/>
      <c r="O364" s="566"/>
      <c r="P364" s="566"/>
      <c r="Q364" s="566"/>
      <c r="R364" s="566"/>
      <c r="S364" s="566"/>
      <c r="T364" s="566"/>
      <c r="U364" s="566"/>
      <c r="V364" s="566"/>
      <c r="W364" s="566"/>
      <c r="X364" s="566"/>
      <c r="Y364" s="566"/>
      <c r="Z364" s="566"/>
      <c r="AA364" s="566"/>
      <c r="AB364" s="566"/>
      <c r="AC364" s="566"/>
      <c r="AD364" s="566"/>
      <c r="AE364" s="566"/>
      <c r="AF364" s="566"/>
      <c r="AG364" s="566"/>
      <c r="AH364" s="566"/>
      <c r="AI364" s="566"/>
      <c r="AJ364" s="566"/>
      <c r="AK364" s="566"/>
      <c r="AL364" s="566"/>
      <c r="AM364" s="566"/>
      <c r="AN364" s="566"/>
      <c r="AO364" s="566"/>
    </row>
    <row r="365" spans="2:41" x14ac:dyDescent="0.15">
      <c r="B365" s="567">
        <v>-39</v>
      </c>
      <c r="C365" s="566">
        <v>0</v>
      </c>
      <c r="D365" s="566"/>
      <c r="E365" s="566"/>
      <c r="F365" s="566"/>
      <c r="G365" s="566"/>
      <c r="H365" s="566"/>
      <c r="I365" s="566"/>
      <c r="J365" s="566"/>
      <c r="K365" s="566"/>
      <c r="L365" s="566"/>
      <c r="M365" s="566"/>
      <c r="N365" s="566"/>
      <c r="O365" s="566"/>
      <c r="P365" s="566"/>
      <c r="Q365" s="566"/>
      <c r="R365" s="566"/>
      <c r="S365" s="566"/>
      <c r="T365" s="566"/>
      <c r="U365" s="566"/>
      <c r="V365" s="566"/>
      <c r="W365" s="566"/>
      <c r="X365" s="566"/>
      <c r="Y365" s="566"/>
      <c r="Z365" s="566"/>
      <c r="AA365" s="566"/>
      <c r="AB365" s="566"/>
      <c r="AC365" s="566"/>
      <c r="AD365" s="566"/>
      <c r="AE365" s="566"/>
      <c r="AF365" s="566"/>
      <c r="AG365" s="566"/>
      <c r="AH365" s="566"/>
      <c r="AI365" s="566"/>
      <c r="AJ365" s="566"/>
      <c r="AK365" s="566"/>
      <c r="AL365" s="566"/>
      <c r="AM365" s="566"/>
      <c r="AN365" s="566"/>
      <c r="AO365" s="566"/>
    </row>
    <row r="366" spans="2:41" x14ac:dyDescent="0.15">
      <c r="B366" s="567">
        <v>-38</v>
      </c>
      <c r="C366" s="566">
        <v>0</v>
      </c>
      <c r="D366" s="566"/>
      <c r="E366" s="566"/>
      <c r="F366" s="566"/>
      <c r="G366" s="566"/>
      <c r="H366" s="566"/>
      <c r="I366" s="566"/>
      <c r="J366" s="566"/>
      <c r="K366" s="566"/>
      <c r="L366" s="566"/>
      <c r="M366" s="566"/>
      <c r="N366" s="566"/>
      <c r="O366" s="566"/>
      <c r="P366" s="566"/>
      <c r="Q366" s="566"/>
      <c r="R366" s="566"/>
      <c r="S366" s="566"/>
      <c r="T366" s="566"/>
      <c r="U366" s="566"/>
      <c r="V366" s="566"/>
      <c r="W366" s="566"/>
      <c r="X366" s="566"/>
      <c r="Y366" s="566"/>
      <c r="Z366" s="566"/>
      <c r="AA366" s="566"/>
      <c r="AB366" s="566"/>
      <c r="AC366" s="566"/>
      <c r="AD366" s="566"/>
      <c r="AE366" s="566"/>
      <c r="AF366" s="566"/>
      <c r="AG366" s="566"/>
      <c r="AH366" s="566"/>
      <c r="AI366" s="566"/>
      <c r="AJ366" s="566"/>
      <c r="AK366" s="566"/>
      <c r="AL366" s="566"/>
      <c r="AM366" s="566"/>
      <c r="AN366" s="566"/>
      <c r="AO366" s="566"/>
    </row>
    <row r="367" spans="2:41" x14ac:dyDescent="0.15">
      <c r="B367" s="567">
        <v>-37</v>
      </c>
      <c r="C367" s="566">
        <v>0</v>
      </c>
      <c r="D367" s="566"/>
      <c r="E367" s="566"/>
      <c r="F367" s="566"/>
      <c r="G367" s="566"/>
      <c r="H367" s="566"/>
      <c r="I367" s="566"/>
      <c r="J367" s="566"/>
      <c r="K367" s="566"/>
      <c r="L367" s="566"/>
      <c r="M367" s="566"/>
      <c r="N367" s="566"/>
      <c r="O367" s="566"/>
      <c r="P367" s="566"/>
      <c r="Q367" s="566"/>
      <c r="R367" s="566"/>
      <c r="S367" s="566"/>
      <c r="T367" s="566"/>
      <c r="U367" s="566"/>
      <c r="V367" s="566"/>
      <c r="W367" s="566"/>
      <c r="X367" s="566"/>
      <c r="Y367" s="566"/>
      <c r="Z367" s="566"/>
      <c r="AA367" s="566"/>
      <c r="AB367" s="566"/>
      <c r="AC367" s="566"/>
      <c r="AD367" s="566"/>
      <c r="AE367" s="566"/>
      <c r="AF367" s="566"/>
      <c r="AG367" s="566"/>
      <c r="AH367" s="566"/>
      <c r="AI367" s="566"/>
      <c r="AJ367" s="566"/>
      <c r="AK367" s="566"/>
      <c r="AL367" s="566"/>
      <c r="AM367" s="566"/>
      <c r="AN367" s="566"/>
      <c r="AO367" s="566"/>
    </row>
    <row r="368" spans="2:41" x14ac:dyDescent="0.15">
      <c r="B368" s="567">
        <v>-36</v>
      </c>
      <c r="C368" s="566">
        <v>0</v>
      </c>
      <c r="D368" s="566"/>
      <c r="E368" s="566"/>
      <c r="F368" s="566"/>
      <c r="G368" s="566"/>
      <c r="H368" s="566"/>
      <c r="I368" s="566"/>
      <c r="J368" s="566"/>
      <c r="K368" s="566"/>
      <c r="L368" s="566"/>
      <c r="M368" s="566"/>
      <c r="N368" s="566"/>
      <c r="O368" s="566"/>
      <c r="P368" s="566"/>
      <c r="Q368" s="566"/>
      <c r="R368" s="566"/>
      <c r="S368" s="566"/>
      <c r="T368" s="566"/>
      <c r="U368" s="566"/>
      <c r="V368" s="566"/>
      <c r="W368" s="566"/>
      <c r="X368" s="566"/>
      <c r="Y368" s="566"/>
      <c r="Z368" s="566"/>
      <c r="AA368" s="566"/>
      <c r="AB368" s="566"/>
      <c r="AC368" s="566"/>
      <c r="AD368" s="566"/>
      <c r="AE368" s="566"/>
      <c r="AF368" s="566"/>
      <c r="AG368" s="566"/>
      <c r="AH368" s="566"/>
      <c r="AI368" s="566"/>
      <c r="AJ368" s="566"/>
      <c r="AK368" s="566"/>
      <c r="AL368" s="566"/>
      <c r="AM368" s="566"/>
      <c r="AN368" s="566"/>
      <c r="AO368" s="566"/>
    </row>
    <row r="369" spans="2:41" x14ac:dyDescent="0.15">
      <c r="B369" s="567">
        <v>-35</v>
      </c>
      <c r="C369" s="566">
        <v>0</v>
      </c>
      <c r="D369" s="566"/>
      <c r="E369" s="566"/>
      <c r="F369" s="566"/>
      <c r="G369" s="566"/>
      <c r="H369" s="566"/>
      <c r="I369" s="566"/>
      <c r="J369" s="566"/>
      <c r="K369" s="566"/>
      <c r="L369" s="566"/>
      <c r="M369" s="566"/>
      <c r="N369" s="566"/>
      <c r="O369" s="566"/>
      <c r="P369" s="566"/>
      <c r="Q369" s="566"/>
      <c r="R369" s="566"/>
      <c r="S369" s="566"/>
      <c r="T369" s="566"/>
      <c r="U369" s="566"/>
      <c r="V369" s="566"/>
      <c r="W369" s="566"/>
      <c r="X369" s="566"/>
      <c r="Y369" s="566"/>
      <c r="Z369" s="566"/>
      <c r="AA369" s="566"/>
      <c r="AB369" s="566"/>
      <c r="AC369" s="566"/>
      <c r="AD369" s="566"/>
      <c r="AE369" s="566"/>
      <c r="AF369" s="566"/>
      <c r="AG369" s="566"/>
      <c r="AH369" s="566"/>
      <c r="AI369" s="566"/>
      <c r="AJ369" s="566"/>
      <c r="AK369" s="566"/>
      <c r="AL369" s="566"/>
      <c r="AM369" s="566"/>
      <c r="AN369" s="566"/>
      <c r="AO369" s="566"/>
    </row>
    <row r="370" spans="2:41" x14ac:dyDescent="0.15">
      <c r="B370" s="567">
        <v>-34</v>
      </c>
      <c r="C370" s="566">
        <v>0</v>
      </c>
      <c r="D370" s="566"/>
      <c r="E370" s="566"/>
      <c r="F370" s="566"/>
      <c r="G370" s="566"/>
      <c r="H370" s="566"/>
      <c r="I370" s="566"/>
      <c r="J370" s="566"/>
      <c r="K370" s="566"/>
      <c r="L370" s="566"/>
      <c r="M370" s="566"/>
      <c r="N370" s="566"/>
      <c r="O370" s="566"/>
      <c r="P370" s="566"/>
      <c r="Q370" s="566"/>
      <c r="R370" s="566"/>
      <c r="S370" s="566"/>
      <c r="T370" s="566"/>
      <c r="U370" s="566"/>
      <c r="V370" s="566"/>
      <c r="W370" s="566"/>
      <c r="X370" s="566"/>
      <c r="Y370" s="566"/>
      <c r="Z370" s="566"/>
      <c r="AA370" s="566"/>
      <c r="AB370" s="566"/>
      <c r="AC370" s="566"/>
      <c r="AD370" s="566"/>
      <c r="AE370" s="566"/>
      <c r="AF370" s="566"/>
      <c r="AG370" s="566"/>
      <c r="AH370" s="566"/>
      <c r="AI370" s="566"/>
      <c r="AJ370" s="566"/>
      <c r="AK370" s="566"/>
      <c r="AL370" s="566"/>
      <c r="AM370" s="566"/>
      <c r="AN370" s="566"/>
      <c r="AO370" s="566"/>
    </row>
    <row r="371" spans="2:41" x14ac:dyDescent="0.15">
      <c r="B371" s="567">
        <v>-33</v>
      </c>
      <c r="C371" s="566">
        <v>0</v>
      </c>
      <c r="D371" s="566"/>
      <c r="E371" s="566"/>
      <c r="F371" s="566"/>
      <c r="G371" s="566"/>
      <c r="H371" s="566"/>
      <c r="I371" s="566"/>
      <c r="J371" s="566"/>
      <c r="K371" s="566"/>
      <c r="L371" s="566"/>
      <c r="M371" s="566"/>
      <c r="N371" s="566"/>
      <c r="O371" s="566"/>
      <c r="P371" s="566"/>
      <c r="Q371" s="566"/>
      <c r="R371" s="566"/>
      <c r="S371" s="566"/>
      <c r="T371" s="566"/>
      <c r="U371" s="566"/>
      <c r="V371" s="566"/>
      <c r="W371" s="566"/>
      <c r="X371" s="566"/>
      <c r="Y371" s="566"/>
      <c r="Z371" s="566"/>
      <c r="AA371" s="566"/>
      <c r="AB371" s="566"/>
      <c r="AC371" s="566"/>
      <c r="AD371" s="566"/>
      <c r="AE371" s="566"/>
      <c r="AF371" s="566"/>
      <c r="AG371" s="566"/>
      <c r="AH371" s="566"/>
      <c r="AI371" s="566"/>
      <c r="AJ371" s="566"/>
      <c r="AK371" s="566"/>
      <c r="AL371" s="566"/>
      <c r="AM371" s="566"/>
      <c r="AN371" s="566"/>
      <c r="AO371" s="566"/>
    </row>
    <row r="372" spans="2:41" x14ac:dyDescent="0.15">
      <c r="B372" s="567">
        <v>-32</v>
      </c>
      <c r="C372" s="566">
        <v>0</v>
      </c>
      <c r="D372" s="566"/>
      <c r="E372" s="566"/>
      <c r="F372" s="566"/>
      <c r="G372" s="566"/>
      <c r="H372" s="566"/>
      <c r="I372" s="566"/>
      <c r="J372" s="566"/>
      <c r="K372" s="566"/>
      <c r="L372" s="566"/>
      <c r="M372" s="566"/>
      <c r="N372" s="566"/>
      <c r="O372" s="566"/>
      <c r="P372" s="566"/>
      <c r="Q372" s="566"/>
      <c r="R372" s="566"/>
      <c r="S372" s="566"/>
      <c r="T372" s="566"/>
      <c r="U372" s="566"/>
      <c r="V372" s="566"/>
      <c r="W372" s="566"/>
      <c r="X372" s="566"/>
      <c r="Y372" s="566"/>
      <c r="Z372" s="566"/>
      <c r="AA372" s="566"/>
      <c r="AB372" s="566"/>
      <c r="AC372" s="566"/>
      <c r="AD372" s="566"/>
      <c r="AE372" s="566"/>
      <c r="AF372" s="566"/>
      <c r="AG372" s="566"/>
      <c r="AH372" s="566"/>
      <c r="AI372" s="566"/>
      <c r="AJ372" s="566"/>
      <c r="AK372" s="566"/>
      <c r="AL372" s="566"/>
      <c r="AM372" s="566"/>
      <c r="AN372" s="566"/>
      <c r="AO372" s="566"/>
    </row>
    <row r="373" spans="2:41" x14ac:dyDescent="0.15">
      <c r="B373" s="567">
        <v>-31</v>
      </c>
      <c r="C373" s="566">
        <v>0</v>
      </c>
      <c r="D373" s="566"/>
      <c r="E373" s="566"/>
      <c r="F373" s="566"/>
      <c r="G373" s="566"/>
      <c r="H373" s="566"/>
      <c r="I373" s="566"/>
      <c r="J373" s="566"/>
      <c r="K373" s="566"/>
      <c r="L373" s="566"/>
      <c r="M373" s="566"/>
      <c r="N373" s="566"/>
      <c r="O373" s="566"/>
      <c r="P373" s="566"/>
      <c r="Q373" s="566"/>
      <c r="R373" s="566"/>
      <c r="S373" s="566"/>
      <c r="T373" s="566"/>
      <c r="U373" s="566"/>
      <c r="V373" s="566"/>
      <c r="W373" s="566"/>
      <c r="X373" s="566"/>
      <c r="Y373" s="566"/>
      <c r="Z373" s="566"/>
      <c r="AA373" s="566"/>
      <c r="AB373" s="566"/>
      <c r="AC373" s="566"/>
      <c r="AD373" s="566"/>
      <c r="AE373" s="566"/>
      <c r="AF373" s="566"/>
      <c r="AG373" s="566"/>
      <c r="AH373" s="566"/>
      <c r="AI373" s="566"/>
      <c r="AJ373" s="566"/>
      <c r="AK373" s="566"/>
      <c r="AL373" s="566"/>
      <c r="AM373" s="566"/>
      <c r="AN373" s="566"/>
      <c r="AO373" s="566"/>
    </row>
    <row r="374" spans="2:41" x14ac:dyDescent="0.15">
      <c r="B374" s="567">
        <v>-30</v>
      </c>
      <c r="C374" s="566">
        <v>0</v>
      </c>
      <c r="D374" s="566"/>
      <c r="E374" s="566"/>
      <c r="F374" s="566"/>
      <c r="G374" s="566"/>
      <c r="H374" s="566"/>
      <c r="I374" s="566"/>
      <c r="J374" s="566"/>
      <c r="K374" s="566"/>
      <c r="L374" s="566"/>
      <c r="M374" s="566"/>
      <c r="N374" s="566"/>
      <c r="O374" s="566"/>
      <c r="P374" s="566"/>
      <c r="Q374" s="566"/>
      <c r="R374" s="566"/>
      <c r="S374" s="566"/>
      <c r="T374" s="566"/>
      <c r="U374" s="566"/>
      <c r="V374" s="566"/>
      <c r="W374" s="566"/>
      <c r="X374" s="566"/>
      <c r="Y374" s="566"/>
      <c r="Z374" s="566"/>
      <c r="AA374" s="566"/>
      <c r="AB374" s="566"/>
      <c r="AC374" s="566"/>
      <c r="AD374" s="566"/>
      <c r="AE374" s="566"/>
      <c r="AF374" s="566"/>
      <c r="AG374" s="566"/>
      <c r="AH374" s="566"/>
      <c r="AI374" s="566"/>
      <c r="AJ374" s="566"/>
      <c r="AK374" s="566"/>
      <c r="AL374" s="566"/>
      <c r="AM374" s="566"/>
      <c r="AN374" s="566"/>
      <c r="AO374" s="566"/>
    </row>
    <row r="375" spans="2:41" x14ac:dyDescent="0.15">
      <c r="B375" s="567">
        <v>-29</v>
      </c>
      <c r="C375" s="566">
        <v>0</v>
      </c>
      <c r="D375" s="566"/>
      <c r="E375" s="566"/>
      <c r="F375" s="566"/>
      <c r="G375" s="566"/>
      <c r="H375" s="566"/>
      <c r="I375" s="566"/>
      <c r="J375" s="566"/>
      <c r="K375" s="566"/>
      <c r="L375" s="566"/>
      <c r="M375" s="566"/>
      <c r="N375" s="566"/>
      <c r="O375" s="566"/>
      <c r="P375" s="566"/>
      <c r="Q375" s="566"/>
      <c r="R375" s="566"/>
      <c r="S375" s="566"/>
      <c r="T375" s="566"/>
      <c r="U375" s="566"/>
      <c r="V375" s="566"/>
      <c r="W375" s="566"/>
      <c r="X375" s="566"/>
      <c r="Y375" s="566"/>
      <c r="Z375" s="566"/>
      <c r="AA375" s="566"/>
      <c r="AB375" s="566"/>
      <c r="AC375" s="566"/>
      <c r="AD375" s="566"/>
      <c r="AE375" s="566"/>
      <c r="AF375" s="566"/>
      <c r="AG375" s="566"/>
      <c r="AH375" s="566"/>
      <c r="AI375" s="566"/>
      <c r="AJ375" s="566"/>
      <c r="AK375" s="566"/>
      <c r="AL375" s="566"/>
      <c r="AM375" s="566"/>
      <c r="AN375" s="566"/>
      <c r="AO375" s="566"/>
    </row>
    <row r="376" spans="2:41" x14ac:dyDescent="0.15">
      <c r="B376" s="567">
        <v>-28</v>
      </c>
      <c r="C376" s="566">
        <v>0</v>
      </c>
      <c r="D376" s="566"/>
      <c r="E376" s="566"/>
      <c r="F376" s="566"/>
      <c r="G376" s="566"/>
      <c r="H376" s="566"/>
      <c r="I376" s="566"/>
      <c r="J376" s="566"/>
      <c r="K376" s="566"/>
      <c r="L376" s="566"/>
      <c r="M376" s="566"/>
      <c r="N376" s="566"/>
      <c r="O376" s="566"/>
      <c r="P376" s="566"/>
      <c r="Q376" s="566"/>
      <c r="R376" s="566"/>
      <c r="S376" s="566"/>
      <c r="T376" s="566"/>
      <c r="U376" s="566"/>
      <c r="V376" s="566"/>
      <c r="W376" s="566"/>
      <c r="X376" s="566"/>
      <c r="Y376" s="566"/>
      <c r="Z376" s="566"/>
      <c r="AA376" s="566"/>
      <c r="AB376" s="566"/>
      <c r="AC376" s="566"/>
      <c r="AD376" s="566"/>
      <c r="AE376" s="566"/>
      <c r="AF376" s="566"/>
      <c r="AG376" s="566"/>
      <c r="AH376" s="566"/>
      <c r="AI376" s="566"/>
      <c r="AJ376" s="566"/>
      <c r="AK376" s="566"/>
      <c r="AL376" s="566"/>
      <c r="AM376" s="566"/>
      <c r="AN376" s="566"/>
      <c r="AO376" s="566"/>
    </row>
    <row r="377" spans="2:41" x14ac:dyDescent="0.15">
      <c r="B377" s="567">
        <v>-27</v>
      </c>
      <c r="C377" s="566">
        <v>0</v>
      </c>
      <c r="D377" s="566"/>
      <c r="E377" s="566"/>
      <c r="F377" s="566"/>
      <c r="G377" s="566"/>
      <c r="H377" s="566"/>
      <c r="I377" s="566"/>
      <c r="J377" s="566"/>
      <c r="K377" s="566"/>
      <c r="L377" s="566"/>
      <c r="M377" s="566"/>
      <c r="N377" s="566"/>
      <c r="O377" s="566"/>
      <c r="P377" s="566"/>
      <c r="Q377" s="566"/>
      <c r="R377" s="566"/>
      <c r="S377" s="566"/>
      <c r="T377" s="566"/>
      <c r="U377" s="566"/>
      <c r="V377" s="566"/>
      <c r="W377" s="566"/>
      <c r="X377" s="566"/>
      <c r="Y377" s="566"/>
      <c r="Z377" s="566"/>
      <c r="AA377" s="566"/>
      <c r="AB377" s="566"/>
      <c r="AC377" s="566"/>
      <c r="AD377" s="566"/>
      <c r="AE377" s="566"/>
      <c r="AF377" s="566"/>
      <c r="AG377" s="566"/>
      <c r="AH377" s="566"/>
      <c r="AI377" s="566"/>
      <c r="AJ377" s="566"/>
      <c r="AK377" s="566"/>
      <c r="AL377" s="566"/>
      <c r="AM377" s="566"/>
      <c r="AN377" s="566"/>
      <c r="AO377" s="566"/>
    </row>
    <row r="378" spans="2:41" x14ac:dyDescent="0.15">
      <c r="B378" s="567">
        <v>-26</v>
      </c>
      <c r="C378" s="566">
        <v>0</v>
      </c>
      <c r="D378" s="566"/>
      <c r="E378" s="566"/>
      <c r="F378" s="566"/>
      <c r="G378" s="566"/>
      <c r="H378" s="566"/>
      <c r="I378" s="566"/>
      <c r="J378" s="566"/>
      <c r="K378" s="566"/>
      <c r="L378" s="566"/>
      <c r="M378" s="566"/>
      <c r="N378" s="566"/>
      <c r="O378" s="566"/>
      <c r="P378" s="566"/>
      <c r="Q378" s="566"/>
      <c r="R378" s="566"/>
      <c r="S378" s="566"/>
      <c r="T378" s="566"/>
      <c r="U378" s="566"/>
      <c r="V378" s="566"/>
      <c r="W378" s="566"/>
      <c r="X378" s="566"/>
      <c r="Y378" s="566"/>
      <c r="Z378" s="566"/>
      <c r="AA378" s="566"/>
      <c r="AB378" s="566"/>
      <c r="AC378" s="566"/>
      <c r="AD378" s="566"/>
      <c r="AE378" s="566"/>
      <c r="AF378" s="566"/>
      <c r="AG378" s="566"/>
      <c r="AH378" s="566"/>
      <c r="AI378" s="566"/>
      <c r="AJ378" s="566"/>
      <c r="AK378" s="566"/>
      <c r="AL378" s="566"/>
      <c r="AM378" s="566"/>
      <c r="AN378" s="566"/>
      <c r="AO378" s="566"/>
    </row>
    <row r="379" spans="2:41" x14ac:dyDescent="0.15">
      <c r="B379" s="567">
        <v>-25</v>
      </c>
      <c r="C379" s="566">
        <v>0</v>
      </c>
      <c r="D379" s="566"/>
      <c r="E379" s="566"/>
      <c r="F379" s="566"/>
      <c r="G379" s="566"/>
      <c r="H379" s="566"/>
      <c r="I379" s="566"/>
      <c r="J379" s="566"/>
      <c r="K379" s="566"/>
      <c r="L379" s="566"/>
      <c r="M379" s="566"/>
      <c r="N379" s="566"/>
      <c r="O379" s="566"/>
      <c r="P379" s="566"/>
      <c r="Q379" s="566"/>
      <c r="R379" s="566"/>
      <c r="S379" s="566"/>
      <c r="T379" s="566"/>
      <c r="U379" s="566"/>
      <c r="V379" s="566"/>
      <c r="W379" s="566"/>
      <c r="X379" s="566"/>
      <c r="Y379" s="566"/>
      <c r="Z379" s="566"/>
      <c r="AA379" s="566"/>
      <c r="AB379" s="566"/>
      <c r="AC379" s="566"/>
      <c r="AD379" s="566"/>
      <c r="AE379" s="566"/>
      <c r="AF379" s="566"/>
      <c r="AG379" s="566"/>
      <c r="AH379" s="566"/>
      <c r="AI379" s="566"/>
      <c r="AJ379" s="566"/>
      <c r="AK379" s="566"/>
      <c r="AL379" s="566"/>
      <c r="AM379" s="566"/>
      <c r="AN379" s="566"/>
      <c r="AO379" s="566"/>
    </row>
    <row r="380" spans="2:41" x14ac:dyDescent="0.15">
      <c r="B380" s="567">
        <v>-24</v>
      </c>
      <c r="C380" s="566">
        <v>0</v>
      </c>
      <c r="D380" s="566"/>
      <c r="E380" s="566"/>
      <c r="F380" s="566"/>
      <c r="G380" s="566"/>
      <c r="H380" s="566"/>
      <c r="I380" s="566"/>
      <c r="J380" s="566"/>
      <c r="K380" s="566"/>
      <c r="L380" s="566"/>
      <c r="M380" s="566"/>
      <c r="N380" s="566"/>
      <c r="O380" s="566"/>
      <c r="P380" s="566"/>
      <c r="Q380" s="566"/>
      <c r="R380" s="566"/>
      <c r="S380" s="566"/>
      <c r="T380" s="566"/>
      <c r="U380" s="566"/>
      <c r="V380" s="566"/>
      <c r="W380" s="566"/>
      <c r="X380" s="566"/>
      <c r="Y380" s="566"/>
      <c r="Z380" s="566"/>
      <c r="AA380" s="566"/>
      <c r="AB380" s="566"/>
      <c r="AC380" s="566"/>
      <c r="AD380" s="566"/>
      <c r="AE380" s="566"/>
      <c r="AF380" s="566"/>
      <c r="AG380" s="566"/>
      <c r="AH380" s="566"/>
      <c r="AI380" s="566"/>
      <c r="AJ380" s="566"/>
      <c r="AK380" s="566"/>
      <c r="AL380" s="566"/>
      <c r="AM380" s="566"/>
      <c r="AN380" s="566"/>
      <c r="AO380" s="566"/>
    </row>
    <row r="381" spans="2:41" x14ac:dyDescent="0.15">
      <c r="B381" s="567">
        <v>-23</v>
      </c>
      <c r="C381" s="566">
        <v>0</v>
      </c>
      <c r="D381" s="566"/>
      <c r="E381" s="566"/>
      <c r="F381" s="566"/>
      <c r="G381" s="566"/>
      <c r="H381" s="566"/>
      <c r="I381" s="566"/>
      <c r="J381" s="566"/>
      <c r="K381" s="566"/>
      <c r="L381" s="566"/>
      <c r="M381" s="566"/>
      <c r="N381" s="566"/>
      <c r="O381" s="566"/>
      <c r="P381" s="566"/>
      <c r="Q381" s="566"/>
      <c r="R381" s="566"/>
      <c r="S381" s="566"/>
      <c r="T381" s="566"/>
      <c r="U381" s="566"/>
      <c r="V381" s="566"/>
      <c r="W381" s="566"/>
      <c r="X381" s="566"/>
      <c r="Y381" s="566"/>
      <c r="Z381" s="566"/>
      <c r="AA381" s="566"/>
      <c r="AB381" s="566"/>
      <c r="AC381" s="566"/>
      <c r="AD381" s="566"/>
      <c r="AE381" s="566"/>
      <c r="AF381" s="566"/>
      <c r="AG381" s="566"/>
      <c r="AH381" s="566"/>
      <c r="AI381" s="566"/>
      <c r="AJ381" s="566"/>
      <c r="AK381" s="566"/>
      <c r="AL381" s="566"/>
      <c r="AM381" s="566"/>
      <c r="AN381" s="566"/>
      <c r="AO381" s="566"/>
    </row>
    <row r="382" spans="2:41" x14ac:dyDescent="0.15">
      <c r="B382" s="567">
        <v>-22</v>
      </c>
      <c r="C382" s="566">
        <v>0</v>
      </c>
      <c r="D382" s="566"/>
      <c r="E382" s="566"/>
      <c r="F382" s="566"/>
      <c r="G382" s="566"/>
      <c r="H382" s="566"/>
      <c r="I382" s="566"/>
      <c r="J382" s="566"/>
      <c r="K382" s="566"/>
      <c r="L382" s="566"/>
      <c r="M382" s="566"/>
      <c r="N382" s="566"/>
      <c r="O382" s="566"/>
      <c r="P382" s="566"/>
      <c r="Q382" s="566"/>
      <c r="R382" s="566"/>
      <c r="S382" s="566"/>
      <c r="T382" s="566"/>
      <c r="U382" s="566"/>
      <c r="V382" s="566"/>
      <c r="W382" s="566"/>
      <c r="X382" s="566"/>
      <c r="Y382" s="566"/>
      <c r="Z382" s="566"/>
      <c r="AA382" s="566"/>
      <c r="AB382" s="566"/>
      <c r="AC382" s="566"/>
      <c r="AD382" s="566"/>
      <c r="AE382" s="566"/>
      <c r="AF382" s="566"/>
      <c r="AG382" s="566"/>
      <c r="AH382" s="566"/>
      <c r="AI382" s="566"/>
      <c r="AJ382" s="566"/>
      <c r="AK382" s="566"/>
      <c r="AL382" s="566"/>
      <c r="AM382" s="566"/>
      <c r="AN382" s="566"/>
      <c r="AO382" s="566"/>
    </row>
    <row r="383" spans="2:41" x14ac:dyDescent="0.15">
      <c r="B383" s="567">
        <v>-21</v>
      </c>
      <c r="C383" s="566">
        <v>0</v>
      </c>
      <c r="D383" s="566"/>
      <c r="E383" s="566"/>
      <c r="F383" s="566"/>
      <c r="G383" s="566"/>
      <c r="H383" s="566"/>
      <c r="I383" s="566"/>
      <c r="J383" s="566"/>
      <c r="K383" s="566"/>
      <c r="L383" s="566"/>
      <c r="M383" s="566"/>
      <c r="N383" s="566"/>
      <c r="O383" s="566"/>
      <c r="P383" s="566"/>
      <c r="Q383" s="566"/>
      <c r="R383" s="566"/>
      <c r="S383" s="566"/>
      <c r="T383" s="566"/>
      <c r="U383" s="566"/>
      <c r="V383" s="566"/>
      <c r="W383" s="566"/>
      <c r="X383" s="566"/>
      <c r="Y383" s="566"/>
      <c r="Z383" s="566"/>
      <c r="AA383" s="566"/>
      <c r="AB383" s="566"/>
      <c r="AC383" s="566"/>
      <c r="AD383" s="566"/>
      <c r="AE383" s="566"/>
      <c r="AF383" s="566"/>
      <c r="AG383" s="566"/>
      <c r="AH383" s="566"/>
      <c r="AI383" s="566"/>
      <c r="AJ383" s="566"/>
      <c r="AK383" s="566"/>
      <c r="AL383" s="566"/>
      <c r="AM383" s="566"/>
      <c r="AN383" s="566"/>
      <c r="AO383" s="566"/>
    </row>
    <row r="384" spans="2:41" x14ac:dyDescent="0.15">
      <c r="B384" s="567">
        <v>-20</v>
      </c>
      <c r="C384" s="566">
        <v>0</v>
      </c>
      <c r="D384" s="566"/>
      <c r="E384" s="566"/>
      <c r="F384" s="566"/>
      <c r="G384" s="566"/>
      <c r="H384" s="566"/>
      <c r="I384" s="566"/>
      <c r="J384" s="566"/>
      <c r="K384" s="566"/>
      <c r="L384" s="566"/>
      <c r="M384" s="566"/>
      <c r="N384" s="566"/>
      <c r="O384" s="566"/>
      <c r="P384" s="566"/>
      <c r="Q384" s="566"/>
      <c r="R384" s="566"/>
      <c r="S384" s="566"/>
      <c r="T384" s="566"/>
      <c r="U384" s="566"/>
      <c r="V384" s="566"/>
      <c r="W384" s="566"/>
      <c r="X384" s="566"/>
      <c r="Y384" s="566"/>
      <c r="Z384" s="566"/>
      <c r="AA384" s="566"/>
      <c r="AB384" s="566"/>
      <c r="AC384" s="566"/>
      <c r="AD384" s="566"/>
      <c r="AE384" s="566"/>
      <c r="AF384" s="566"/>
      <c r="AG384" s="566"/>
      <c r="AH384" s="566"/>
      <c r="AI384" s="566"/>
      <c r="AJ384" s="566"/>
      <c r="AK384" s="566"/>
      <c r="AL384" s="566"/>
      <c r="AM384" s="566"/>
      <c r="AN384" s="566"/>
      <c r="AO384" s="566"/>
    </row>
    <row r="385" spans="2:41" x14ac:dyDescent="0.15">
      <c r="B385" s="567">
        <v>-19</v>
      </c>
      <c r="C385" s="566">
        <v>0</v>
      </c>
      <c r="D385" s="566"/>
      <c r="E385" s="566"/>
      <c r="F385" s="566"/>
      <c r="G385" s="566"/>
      <c r="H385" s="566"/>
      <c r="I385" s="566"/>
      <c r="J385" s="566"/>
      <c r="K385" s="566"/>
      <c r="L385" s="566"/>
      <c r="M385" s="566"/>
      <c r="N385" s="566"/>
      <c r="O385" s="566"/>
      <c r="P385" s="566"/>
      <c r="Q385" s="566"/>
      <c r="R385" s="566"/>
      <c r="S385" s="566"/>
      <c r="T385" s="566"/>
      <c r="U385" s="566"/>
      <c r="V385" s="566"/>
      <c r="W385" s="566"/>
      <c r="X385" s="566"/>
      <c r="Y385" s="566"/>
      <c r="Z385" s="566"/>
      <c r="AA385" s="566"/>
      <c r="AB385" s="566"/>
      <c r="AC385" s="566"/>
      <c r="AD385" s="566"/>
      <c r="AE385" s="566"/>
      <c r="AF385" s="566"/>
      <c r="AG385" s="566"/>
      <c r="AH385" s="566"/>
      <c r="AI385" s="566"/>
      <c r="AJ385" s="566"/>
      <c r="AK385" s="566"/>
      <c r="AL385" s="566"/>
      <c r="AM385" s="566"/>
      <c r="AN385" s="566"/>
      <c r="AO385" s="566"/>
    </row>
    <row r="386" spans="2:41" x14ac:dyDescent="0.15">
      <c r="B386" s="567">
        <v>-18</v>
      </c>
      <c r="C386" s="566">
        <v>3.4246575342465754E-4</v>
      </c>
      <c r="D386" s="566"/>
      <c r="E386" s="566"/>
      <c r="F386" s="566"/>
      <c r="G386" s="566"/>
      <c r="H386" s="566"/>
      <c r="I386" s="566"/>
      <c r="J386" s="566"/>
      <c r="K386" s="566"/>
      <c r="L386" s="566"/>
      <c r="M386" s="566"/>
      <c r="N386" s="566"/>
      <c r="O386" s="566"/>
      <c r="P386" s="566"/>
      <c r="Q386" s="566"/>
      <c r="R386" s="566"/>
      <c r="S386" s="566"/>
      <c r="T386" s="566"/>
      <c r="U386" s="566"/>
      <c r="V386" s="566"/>
      <c r="W386" s="566"/>
      <c r="X386" s="566"/>
      <c r="Y386" s="566"/>
      <c r="Z386" s="566"/>
      <c r="AA386" s="566"/>
      <c r="AB386" s="566"/>
      <c r="AC386" s="566"/>
      <c r="AD386" s="566"/>
      <c r="AE386" s="566"/>
      <c r="AF386" s="566"/>
      <c r="AG386" s="566"/>
      <c r="AH386" s="566"/>
      <c r="AI386" s="566"/>
      <c r="AJ386" s="566"/>
      <c r="AK386" s="566"/>
      <c r="AL386" s="566"/>
      <c r="AM386" s="566"/>
      <c r="AN386" s="566"/>
      <c r="AO386" s="566"/>
    </row>
    <row r="387" spans="2:41" x14ac:dyDescent="0.15">
      <c r="B387" s="567">
        <v>-17</v>
      </c>
      <c r="C387" s="566">
        <v>1.0273972602739725E-3</v>
      </c>
      <c r="D387" s="566"/>
      <c r="E387" s="566"/>
      <c r="F387" s="566"/>
      <c r="G387" s="566"/>
      <c r="H387" s="566"/>
      <c r="I387" s="566"/>
      <c r="J387" s="566"/>
      <c r="K387" s="566"/>
      <c r="L387" s="566"/>
      <c r="M387" s="566"/>
      <c r="N387" s="566"/>
      <c r="O387" s="566"/>
      <c r="P387" s="566"/>
      <c r="Q387" s="566"/>
      <c r="R387" s="566"/>
      <c r="S387" s="566"/>
      <c r="T387" s="566"/>
      <c r="U387" s="566"/>
      <c r="V387" s="566"/>
      <c r="W387" s="566"/>
      <c r="X387" s="566"/>
      <c r="Y387" s="566"/>
      <c r="Z387" s="566"/>
      <c r="AA387" s="566"/>
      <c r="AB387" s="566"/>
      <c r="AC387" s="566"/>
      <c r="AD387" s="566"/>
      <c r="AE387" s="566"/>
      <c r="AF387" s="566"/>
      <c r="AG387" s="566"/>
      <c r="AH387" s="566"/>
      <c r="AI387" s="566"/>
      <c r="AJ387" s="566"/>
      <c r="AK387" s="566"/>
      <c r="AL387" s="566"/>
      <c r="AM387" s="566"/>
      <c r="AN387" s="566"/>
      <c r="AO387" s="566"/>
    </row>
    <row r="388" spans="2:41" x14ac:dyDescent="0.15">
      <c r="B388" s="567">
        <v>-16</v>
      </c>
      <c r="C388" s="566">
        <v>2.054794520547945E-3</v>
      </c>
      <c r="D388" s="566"/>
      <c r="E388" s="566"/>
      <c r="F388" s="566"/>
      <c r="G388" s="566"/>
      <c r="H388" s="566"/>
      <c r="I388" s="566"/>
      <c r="J388" s="566"/>
      <c r="K388" s="566"/>
      <c r="L388" s="566"/>
      <c r="M388" s="566"/>
      <c r="N388" s="566"/>
      <c r="O388" s="566"/>
      <c r="P388" s="566"/>
      <c r="Q388" s="566"/>
      <c r="R388" s="566"/>
      <c r="S388" s="566"/>
      <c r="T388" s="566"/>
      <c r="U388" s="566"/>
      <c r="V388" s="566"/>
      <c r="W388" s="566"/>
      <c r="X388" s="566"/>
      <c r="Y388" s="566"/>
      <c r="Z388" s="566"/>
      <c r="AA388" s="566"/>
      <c r="AB388" s="566"/>
      <c r="AC388" s="566"/>
      <c r="AD388" s="566"/>
      <c r="AE388" s="566"/>
      <c r="AF388" s="566"/>
      <c r="AG388" s="566"/>
      <c r="AH388" s="566"/>
      <c r="AI388" s="566"/>
      <c r="AJ388" s="566"/>
      <c r="AK388" s="566"/>
      <c r="AL388" s="566"/>
      <c r="AM388" s="566"/>
      <c r="AN388" s="566"/>
      <c r="AO388" s="566"/>
    </row>
    <row r="389" spans="2:41" x14ac:dyDescent="0.15">
      <c r="B389" s="567">
        <v>-15</v>
      </c>
      <c r="C389" s="566">
        <v>3.767123287671233E-3</v>
      </c>
      <c r="D389" s="566"/>
      <c r="E389" s="566"/>
      <c r="F389" s="566"/>
      <c r="G389" s="566"/>
      <c r="H389" s="566"/>
      <c r="I389" s="566"/>
      <c r="J389" s="566"/>
      <c r="K389" s="566"/>
      <c r="L389" s="566"/>
      <c r="M389" s="566"/>
      <c r="N389" s="566"/>
      <c r="O389" s="566"/>
      <c r="P389" s="566"/>
      <c r="Q389" s="566"/>
      <c r="R389" s="566"/>
      <c r="S389" s="566"/>
      <c r="T389" s="566"/>
      <c r="U389" s="566"/>
      <c r="V389" s="566"/>
      <c r="W389" s="566"/>
      <c r="X389" s="566"/>
      <c r="Y389" s="566"/>
      <c r="Z389" s="566"/>
      <c r="AA389" s="566"/>
      <c r="AB389" s="566"/>
      <c r="AC389" s="566"/>
      <c r="AD389" s="566"/>
      <c r="AE389" s="566"/>
      <c r="AF389" s="566"/>
      <c r="AG389" s="566"/>
      <c r="AH389" s="566"/>
      <c r="AI389" s="566"/>
      <c r="AJ389" s="566"/>
      <c r="AK389" s="566"/>
      <c r="AL389" s="566"/>
      <c r="AM389" s="566"/>
      <c r="AN389" s="566"/>
      <c r="AO389" s="566"/>
    </row>
    <row r="390" spans="2:41" x14ac:dyDescent="0.15">
      <c r="B390" s="567">
        <v>-14</v>
      </c>
      <c r="C390" s="566">
        <v>4.7945205479452057E-3</v>
      </c>
      <c r="D390" s="566"/>
      <c r="E390" s="566"/>
      <c r="F390" s="566"/>
      <c r="G390" s="566"/>
      <c r="H390" s="566"/>
      <c r="I390" s="566"/>
      <c r="J390" s="566"/>
      <c r="K390" s="566"/>
      <c r="L390" s="566"/>
      <c r="M390" s="566"/>
      <c r="N390" s="566"/>
      <c r="O390" s="566"/>
      <c r="P390" s="566"/>
      <c r="Q390" s="566"/>
      <c r="R390" s="566"/>
      <c r="S390" s="566"/>
      <c r="T390" s="566"/>
      <c r="U390" s="566"/>
      <c r="V390" s="566"/>
      <c r="W390" s="566"/>
      <c r="X390" s="566"/>
      <c r="Y390" s="566"/>
      <c r="Z390" s="566"/>
      <c r="AA390" s="566"/>
      <c r="AB390" s="566"/>
      <c r="AC390" s="566"/>
      <c r="AD390" s="566"/>
      <c r="AE390" s="566"/>
      <c r="AF390" s="566"/>
      <c r="AG390" s="566"/>
      <c r="AH390" s="566"/>
      <c r="AI390" s="566"/>
      <c r="AJ390" s="566"/>
      <c r="AK390" s="566"/>
      <c r="AL390" s="566"/>
      <c r="AM390" s="566"/>
      <c r="AN390" s="566"/>
      <c r="AO390" s="566"/>
    </row>
    <row r="391" spans="2:41" x14ac:dyDescent="0.15">
      <c r="B391" s="567">
        <v>-13</v>
      </c>
      <c r="C391" s="566">
        <v>6.735159817351598E-3</v>
      </c>
      <c r="D391" s="566"/>
      <c r="E391" s="566"/>
      <c r="F391" s="566"/>
      <c r="G391" s="566"/>
      <c r="H391" s="566"/>
      <c r="I391" s="566"/>
      <c r="J391" s="566"/>
      <c r="K391" s="566"/>
      <c r="L391" s="566"/>
      <c r="M391" s="566"/>
      <c r="N391" s="566"/>
      <c r="O391" s="566"/>
      <c r="P391" s="566"/>
      <c r="Q391" s="566"/>
      <c r="R391" s="566"/>
      <c r="S391" s="566"/>
      <c r="T391" s="566"/>
      <c r="U391" s="566"/>
      <c r="V391" s="566"/>
      <c r="W391" s="566"/>
      <c r="X391" s="566"/>
      <c r="Y391" s="566"/>
      <c r="Z391" s="566"/>
      <c r="AA391" s="566"/>
      <c r="AB391" s="566"/>
      <c r="AC391" s="566"/>
      <c r="AD391" s="566"/>
      <c r="AE391" s="566"/>
      <c r="AF391" s="566"/>
      <c r="AG391" s="566"/>
      <c r="AH391" s="566"/>
      <c r="AI391" s="566"/>
      <c r="AJ391" s="566"/>
      <c r="AK391" s="566"/>
      <c r="AL391" s="566"/>
      <c r="AM391" s="566"/>
      <c r="AN391" s="566"/>
      <c r="AO391" s="566"/>
    </row>
    <row r="392" spans="2:41" x14ac:dyDescent="0.15">
      <c r="B392" s="567">
        <v>-12</v>
      </c>
      <c r="C392" s="566">
        <v>9.7031963470319629E-3</v>
      </c>
      <c r="D392" s="566"/>
      <c r="E392" s="566"/>
      <c r="F392" s="566"/>
      <c r="G392" s="566"/>
      <c r="H392" s="566"/>
      <c r="I392" s="566"/>
      <c r="J392" s="566"/>
      <c r="K392" s="566"/>
      <c r="L392" s="566"/>
      <c r="M392" s="566"/>
      <c r="N392" s="566"/>
      <c r="O392" s="566"/>
      <c r="P392" s="566"/>
      <c r="Q392" s="566"/>
      <c r="R392" s="566"/>
      <c r="S392" s="566"/>
      <c r="T392" s="566"/>
      <c r="U392" s="566"/>
      <c r="V392" s="566"/>
      <c r="W392" s="566"/>
      <c r="X392" s="566"/>
      <c r="Y392" s="566"/>
      <c r="Z392" s="566"/>
      <c r="AA392" s="566"/>
      <c r="AB392" s="566"/>
      <c r="AC392" s="566"/>
      <c r="AD392" s="566"/>
      <c r="AE392" s="566"/>
      <c r="AF392" s="566"/>
      <c r="AG392" s="566"/>
      <c r="AH392" s="566"/>
      <c r="AI392" s="566"/>
      <c r="AJ392" s="566"/>
      <c r="AK392" s="566"/>
      <c r="AL392" s="566"/>
      <c r="AM392" s="566"/>
      <c r="AN392" s="566"/>
      <c r="AO392" s="566"/>
    </row>
    <row r="393" spans="2:41" x14ac:dyDescent="0.15">
      <c r="B393" s="567">
        <v>-11</v>
      </c>
      <c r="C393" s="566">
        <v>1.3356164383561644E-2</v>
      </c>
      <c r="D393" s="566"/>
      <c r="E393" s="566"/>
      <c r="F393" s="566"/>
      <c r="G393" s="566"/>
      <c r="H393" s="566"/>
      <c r="I393" s="566"/>
      <c r="J393" s="566"/>
      <c r="K393" s="566"/>
      <c r="L393" s="566"/>
      <c r="M393" s="566"/>
      <c r="N393" s="566"/>
      <c r="O393" s="566"/>
      <c r="P393" s="566"/>
      <c r="Q393" s="566"/>
      <c r="R393" s="566"/>
      <c r="S393" s="566"/>
      <c r="T393" s="566"/>
      <c r="U393" s="566"/>
      <c r="V393" s="566"/>
      <c r="W393" s="566"/>
      <c r="X393" s="566"/>
      <c r="Y393" s="566"/>
      <c r="Z393" s="566"/>
      <c r="AA393" s="566"/>
      <c r="AB393" s="566"/>
      <c r="AC393" s="566"/>
      <c r="AD393" s="566"/>
      <c r="AE393" s="566"/>
      <c r="AF393" s="566"/>
      <c r="AG393" s="566"/>
      <c r="AH393" s="566"/>
      <c r="AI393" s="566"/>
      <c r="AJ393" s="566"/>
      <c r="AK393" s="566"/>
      <c r="AL393" s="566"/>
      <c r="AM393" s="566"/>
      <c r="AN393" s="566"/>
      <c r="AO393" s="566"/>
    </row>
    <row r="394" spans="2:41" x14ac:dyDescent="0.15">
      <c r="B394" s="567">
        <v>-10</v>
      </c>
      <c r="C394" s="566">
        <v>1.8036529680365298E-2</v>
      </c>
      <c r="D394" s="566"/>
      <c r="E394" s="566"/>
      <c r="F394" s="566"/>
      <c r="G394" s="566"/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  <c r="T394" s="566"/>
      <c r="U394" s="566"/>
      <c r="V394" s="566"/>
      <c r="W394" s="566"/>
      <c r="X394" s="566"/>
      <c r="Y394" s="566"/>
      <c r="Z394" s="566"/>
      <c r="AA394" s="566"/>
      <c r="AB394" s="566"/>
      <c r="AC394" s="566"/>
      <c r="AD394" s="566"/>
      <c r="AE394" s="566"/>
      <c r="AF394" s="566"/>
      <c r="AG394" s="566"/>
      <c r="AH394" s="566"/>
      <c r="AI394" s="566"/>
      <c r="AJ394" s="566"/>
      <c r="AK394" s="566"/>
      <c r="AL394" s="566"/>
      <c r="AM394" s="566"/>
      <c r="AN394" s="566"/>
      <c r="AO394" s="566"/>
    </row>
    <row r="395" spans="2:41" x14ac:dyDescent="0.15">
      <c r="B395" s="567">
        <v>-9</v>
      </c>
      <c r="C395" s="566">
        <v>2.0547945205479451E-2</v>
      </c>
      <c r="D395" s="566"/>
      <c r="E395" s="566"/>
      <c r="F395" s="566"/>
      <c r="G395" s="566"/>
      <c r="H395" s="566"/>
      <c r="I395" s="566"/>
      <c r="J395" s="566"/>
      <c r="K395" s="566"/>
      <c r="L395" s="566"/>
      <c r="M395" s="566"/>
      <c r="N395" s="566"/>
      <c r="O395" s="566"/>
      <c r="P395" s="566"/>
      <c r="Q395" s="566"/>
      <c r="R395" s="566"/>
      <c r="S395" s="566"/>
      <c r="T395" s="566"/>
      <c r="U395" s="566"/>
      <c r="V395" s="566"/>
      <c r="W395" s="566"/>
      <c r="X395" s="566"/>
      <c r="Y395" s="566"/>
      <c r="Z395" s="566"/>
      <c r="AA395" s="566"/>
      <c r="AB395" s="566"/>
      <c r="AC395" s="566"/>
      <c r="AD395" s="566"/>
      <c r="AE395" s="566"/>
      <c r="AF395" s="566"/>
      <c r="AG395" s="566"/>
      <c r="AH395" s="566"/>
      <c r="AI395" s="566"/>
      <c r="AJ395" s="566"/>
      <c r="AK395" s="566"/>
      <c r="AL395" s="566"/>
      <c r="AM395" s="566"/>
      <c r="AN395" s="566"/>
      <c r="AO395" s="566"/>
    </row>
    <row r="396" spans="2:41" x14ac:dyDescent="0.15">
      <c r="B396" s="567">
        <v>-8</v>
      </c>
      <c r="C396" s="566">
        <v>2.5228310502283104E-2</v>
      </c>
      <c r="D396" s="566"/>
      <c r="E396" s="566"/>
      <c r="F396" s="566"/>
      <c r="G396" s="566"/>
      <c r="H396" s="566"/>
      <c r="I396" s="566"/>
      <c r="J396" s="566"/>
      <c r="K396" s="566"/>
      <c r="L396" s="566"/>
      <c r="M396" s="566"/>
      <c r="N396" s="566"/>
      <c r="O396" s="566"/>
      <c r="P396" s="566"/>
      <c r="Q396" s="566"/>
      <c r="R396" s="566"/>
      <c r="S396" s="566"/>
      <c r="T396" s="566"/>
      <c r="U396" s="566"/>
      <c r="V396" s="566"/>
      <c r="W396" s="566"/>
      <c r="X396" s="566"/>
      <c r="Y396" s="566"/>
      <c r="Z396" s="566"/>
      <c r="AA396" s="566"/>
      <c r="AB396" s="566"/>
      <c r="AC396" s="566"/>
      <c r="AD396" s="566"/>
      <c r="AE396" s="566"/>
      <c r="AF396" s="566"/>
      <c r="AG396" s="566"/>
      <c r="AH396" s="566"/>
      <c r="AI396" s="566"/>
      <c r="AJ396" s="566"/>
      <c r="AK396" s="566"/>
      <c r="AL396" s="566"/>
      <c r="AM396" s="566"/>
      <c r="AN396" s="566"/>
      <c r="AO396" s="566"/>
    </row>
    <row r="397" spans="2:41" x14ac:dyDescent="0.15">
      <c r="B397" s="567">
        <v>-7</v>
      </c>
      <c r="C397" s="566">
        <v>3.4018264840182645E-2</v>
      </c>
      <c r="D397" s="566"/>
      <c r="E397" s="566"/>
      <c r="F397" s="566"/>
      <c r="G397" s="566"/>
      <c r="H397" s="566"/>
      <c r="I397" s="566"/>
      <c r="J397" s="566"/>
      <c r="K397" s="566"/>
      <c r="L397" s="566"/>
      <c r="M397" s="566"/>
      <c r="N397" s="566"/>
      <c r="O397" s="566"/>
      <c r="P397" s="566"/>
      <c r="Q397" s="566"/>
      <c r="R397" s="566"/>
      <c r="S397" s="566"/>
      <c r="T397" s="566"/>
      <c r="U397" s="566"/>
      <c r="V397" s="566"/>
      <c r="W397" s="566"/>
      <c r="X397" s="566"/>
      <c r="Y397" s="566"/>
      <c r="Z397" s="566"/>
      <c r="AA397" s="566"/>
      <c r="AB397" s="566"/>
      <c r="AC397" s="566"/>
      <c r="AD397" s="566"/>
      <c r="AE397" s="566"/>
      <c r="AF397" s="566"/>
      <c r="AG397" s="566"/>
      <c r="AH397" s="566"/>
      <c r="AI397" s="566"/>
      <c r="AJ397" s="566"/>
      <c r="AK397" s="566"/>
      <c r="AL397" s="566"/>
      <c r="AM397" s="566"/>
      <c r="AN397" s="566"/>
      <c r="AO397" s="566"/>
    </row>
    <row r="398" spans="2:41" x14ac:dyDescent="0.15">
      <c r="B398" s="567">
        <v>-6</v>
      </c>
      <c r="C398" s="566">
        <v>4.9086757990867577E-2</v>
      </c>
      <c r="D398" s="566"/>
      <c r="E398" s="566"/>
      <c r="F398" s="566"/>
      <c r="G398" s="566"/>
      <c r="H398" s="566"/>
      <c r="I398" s="566"/>
      <c r="J398" s="566"/>
      <c r="K398" s="566"/>
      <c r="L398" s="566"/>
      <c r="M398" s="566"/>
      <c r="N398" s="566"/>
      <c r="O398" s="566"/>
      <c r="P398" s="566"/>
      <c r="Q398" s="566"/>
      <c r="R398" s="566"/>
      <c r="S398" s="566"/>
      <c r="T398" s="566"/>
      <c r="U398" s="566"/>
      <c r="V398" s="566"/>
      <c r="W398" s="566"/>
      <c r="X398" s="566"/>
      <c r="Y398" s="566"/>
      <c r="Z398" s="566"/>
      <c r="AA398" s="566"/>
      <c r="AB398" s="566"/>
      <c r="AC398" s="566"/>
      <c r="AD398" s="566"/>
      <c r="AE398" s="566"/>
      <c r="AF398" s="566"/>
      <c r="AG398" s="566"/>
      <c r="AH398" s="566"/>
      <c r="AI398" s="566"/>
      <c r="AJ398" s="566"/>
      <c r="AK398" s="566"/>
      <c r="AL398" s="566"/>
      <c r="AM398" s="566"/>
      <c r="AN398" s="566"/>
      <c r="AO398" s="566"/>
    </row>
    <row r="399" spans="2:41" x14ac:dyDescent="0.15">
      <c r="B399" s="567">
        <v>-5</v>
      </c>
      <c r="C399" s="566">
        <v>6.9977168949771684E-2</v>
      </c>
      <c r="D399" s="566"/>
      <c r="E399" s="566"/>
      <c r="F399" s="566"/>
      <c r="G399" s="566"/>
      <c r="H399" s="566"/>
      <c r="I399" s="566"/>
      <c r="J399" s="566"/>
      <c r="K399" s="566"/>
      <c r="L399" s="566"/>
      <c r="M399" s="566"/>
      <c r="N399" s="566"/>
      <c r="O399" s="566"/>
      <c r="P399" s="566"/>
      <c r="Q399" s="566"/>
      <c r="R399" s="566"/>
      <c r="S399" s="566"/>
      <c r="T399" s="566"/>
      <c r="U399" s="566"/>
      <c r="V399" s="566"/>
      <c r="W399" s="566"/>
      <c r="X399" s="566"/>
      <c r="Y399" s="566"/>
      <c r="Z399" s="566"/>
      <c r="AA399" s="566"/>
      <c r="AB399" s="566"/>
      <c r="AC399" s="566"/>
      <c r="AD399" s="566"/>
      <c r="AE399" s="566"/>
      <c r="AF399" s="566"/>
      <c r="AG399" s="566"/>
      <c r="AH399" s="566"/>
      <c r="AI399" s="566"/>
      <c r="AJ399" s="566"/>
      <c r="AK399" s="566"/>
      <c r="AL399" s="566"/>
      <c r="AM399" s="566"/>
      <c r="AN399" s="566"/>
      <c r="AO399" s="566"/>
    </row>
    <row r="400" spans="2:41" x14ac:dyDescent="0.15">
      <c r="B400" s="567">
        <v>-4</v>
      </c>
      <c r="C400" s="566">
        <v>8.3447488584474885E-2</v>
      </c>
      <c r="D400" s="566"/>
      <c r="E400" s="566"/>
      <c r="F400" s="566"/>
      <c r="G400" s="566"/>
      <c r="H400" s="566"/>
      <c r="I400" s="566"/>
      <c r="J400" s="566"/>
      <c r="K400" s="566"/>
      <c r="L400" s="566"/>
      <c r="M400" s="566"/>
      <c r="N400" s="566"/>
      <c r="O400" s="566"/>
      <c r="P400" s="566"/>
      <c r="Q400" s="566"/>
      <c r="R400" s="566"/>
      <c r="S400" s="566"/>
      <c r="T400" s="566"/>
      <c r="U400" s="566"/>
      <c r="V400" s="566"/>
      <c r="W400" s="566"/>
      <c r="X400" s="566"/>
      <c r="Y400" s="566"/>
      <c r="Z400" s="566"/>
      <c r="AA400" s="566"/>
      <c r="AB400" s="566"/>
      <c r="AC400" s="566"/>
      <c r="AD400" s="566"/>
      <c r="AE400" s="566"/>
      <c r="AF400" s="566"/>
      <c r="AG400" s="566"/>
      <c r="AH400" s="566"/>
      <c r="AI400" s="566"/>
      <c r="AJ400" s="566"/>
      <c r="AK400" s="566"/>
      <c r="AL400" s="566"/>
      <c r="AM400" s="566"/>
      <c r="AN400" s="566"/>
      <c r="AO400" s="566"/>
    </row>
    <row r="401" spans="2:41" x14ac:dyDescent="0.15">
      <c r="B401" s="567">
        <v>-3</v>
      </c>
      <c r="C401" s="566">
        <v>0.11529680365296803</v>
      </c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6"/>
    </row>
    <row r="402" spans="2:41" x14ac:dyDescent="0.15">
      <c r="B402" s="567">
        <v>-2</v>
      </c>
      <c r="C402" s="566">
        <v>0.15376712328767123</v>
      </c>
      <c r="D402" s="566"/>
      <c r="E402" s="566"/>
      <c r="F402" s="566"/>
      <c r="G402" s="566"/>
      <c r="H402" s="566"/>
      <c r="I402" s="566"/>
      <c r="J402" s="566"/>
      <c r="K402" s="566"/>
      <c r="L402" s="566"/>
      <c r="M402" s="566"/>
      <c r="N402" s="566"/>
      <c r="O402" s="566"/>
      <c r="P402" s="566"/>
      <c r="Q402" s="566"/>
      <c r="R402" s="566"/>
      <c r="S402" s="566"/>
      <c r="T402" s="566"/>
      <c r="U402" s="566"/>
      <c r="V402" s="566"/>
      <c r="W402" s="566"/>
      <c r="X402" s="566"/>
      <c r="Y402" s="566"/>
      <c r="Z402" s="566"/>
      <c r="AA402" s="566"/>
      <c r="AB402" s="566"/>
      <c r="AC402" s="566"/>
      <c r="AD402" s="566"/>
      <c r="AE402" s="566"/>
      <c r="AF402" s="566"/>
      <c r="AG402" s="566"/>
      <c r="AH402" s="566"/>
      <c r="AI402" s="566"/>
      <c r="AJ402" s="566"/>
      <c r="AK402" s="566"/>
      <c r="AL402" s="566"/>
      <c r="AM402" s="566"/>
      <c r="AN402" s="566"/>
      <c r="AO402" s="566"/>
    </row>
    <row r="403" spans="2:41" x14ac:dyDescent="0.15">
      <c r="B403" s="567">
        <v>-1</v>
      </c>
      <c r="C403" s="566">
        <v>0.19121004566210045</v>
      </c>
      <c r="D403" s="566"/>
      <c r="E403" s="566"/>
      <c r="F403" s="566"/>
      <c r="G403" s="566"/>
      <c r="H403" s="566"/>
      <c r="I403" s="566"/>
      <c r="J403" s="566"/>
      <c r="K403" s="566"/>
      <c r="L403" s="566"/>
      <c r="M403" s="566"/>
      <c r="N403" s="566"/>
      <c r="O403" s="566"/>
      <c r="P403" s="566"/>
      <c r="Q403" s="566"/>
      <c r="R403" s="566"/>
      <c r="S403" s="566"/>
      <c r="T403" s="566"/>
      <c r="U403" s="566"/>
      <c r="V403" s="566"/>
      <c r="W403" s="566"/>
      <c r="X403" s="566"/>
      <c r="Y403" s="566"/>
      <c r="Z403" s="566"/>
      <c r="AA403" s="566"/>
      <c r="AB403" s="566"/>
      <c r="AC403" s="566"/>
      <c r="AD403" s="566"/>
      <c r="AE403" s="566"/>
      <c r="AF403" s="566"/>
      <c r="AG403" s="566"/>
      <c r="AH403" s="566"/>
      <c r="AI403" s="566"/>
      <c r="AJ403" s="566"/>
      <c r="AK403" s="566"/>
      <c r="AL403" s="566"/>
      <c r="AM403" s="566"/>
      <c r="AN403" s="566"/>
      <c r="AO403" s="566"/>
    </row>
    <row r="404" spans="2:41" x14ac:dyDescent="0.15">
      <c r="B404" s="567">
        <v>0</v>
      </c>
      <c r="C404" s="566">
        <v>0.22979452054794522</v>
      </c>
      <c r="D404" s="566"/>
      <c r="E404" s="566"/>
      <c r="F404" s="566"/>
      <c r="G404" s="566"/>
      <c r="H404" s="566"/>
      <c r="I404" s="566"/>
      <c r="J404" s="566"/>
      <c r="K404" s="566"/>
      <c r="L404" s="566"/>
      <c r="M404" s="566"/>
      <c r="N404" s="566"/>
      <c r="O404" s="566"/>
      <c r="P404" s="566"/>
      <c r="Q404" s="566"/>
      <c r="R404" s="566"/>
      <c r="S404" s="566"/>
      <c r="T404" s="566"/>
      <c r="U404" s="566"/>
      <c r="V404" s="566"/>
      <c r="W404" s="566"/>
      <c r="X404" s="566"/>
      <c r="Y404" s="566"/>
      <c r="Z404" s="566"/>
      <c r="AA404" s="566"/>
      <c r="AB404" s="566"/>
      <c r="AC404" s="566"/>
      <c r="AD404" s="566"/>
      <c r="AE404" s="566"/>
      <c r="AF404" s="566"/>
      <c r="AG404" s="566"/>
      <c r="AH404" s="566"/>
      <c r="AI404" s="566"/>
      <c r="AJ404" s="566"/>
      <c r="AK404" s="566"/>
      <c r="AL404" s="566"/>
      <c r="AM404" s="566"/>
      <c r="AN404" s="566"/>
      <c r="AO404" s="566"/>
    </row>
    <row r="405" spans="2:41" x14ac:dyDescent="0.15">
      <c r="B405" s="567">
        <v>1</v>
      </c>
      <c r="C405" s="566">
        <v>0.24520547945205479</v>
      </c>
      <c r="D405" s="566"/>
      <c r="E405" s="566"/>
      <c r="F405" s="566"/>
      <c r="G405" s="566"/>
      <c r="H405" s="566"/>
      <c r="I405" s="566"/>
      <c r="J405" s="566"/>
      <c r="K405" s="566"/>
      <c r="L405" s="566"/>
      <c r="M405" s="566"/>
      <c r="N405" s="566"/>
      <c r="O405" s="566"/>
      <c r="P405" s="566"/>
      <c r="Q405" s="566"/>
      <c r="R405" s="566"/>
      <c r="S405" s="566"/>
      <c r="T405" s="566"/>
      <c r="U405" s="566"/>
      <c r="V405" s="566"/>
      <c r="W405" s="566"/>
      <c r="X405" s="566"/>
      <c r="Y405" s="566"/>
      <c r="Z405" s="566"/>
      <c r="AA405" s="566"/>
      <c r="AB405" s="566"/>
      <c r="AC405" s="566"/>
      <c r="AD405" s="566"/>
      <c r="AE405" s="566"/>
      <c r="AF405" s="566"/>
      <c r="AG405" s="566"/>
      <c r="AH405" s="566"/>
      <c r="AI405" s="566"/>
      <c r="AJ405" s="566"/>
      <c r="AK405" s="566"/>
      <c r="AL405" s="566"/>
      <c r="AM405" s="566"/>
      <c r="AN405" s="566"/>
      <c r="AO405" s="566"/>
    </row>
    <row r="406" spans="2:41" x14ac:dyDescent="0.15">
      <c r="B406" s="567">
        <v>2</v>
      </c>
      <c r="C406" s="566">
        <v>0.27716894977168949</v>
      </c>
      <c r="D406" s="566"/>
      <c r="E406" s="566"/>
      <c r="F406" s="566"/>
      <c r="G406" s="566"/>
      <c r="H406" s="566"/>
      <c r="I406" s="566"/>
      <c r="J406" s="566"/>
      <c r="K406" s="566"/>
      <c r="L406" s="566"/>
      <c r="M406" s="566"/>
      <c r="N406" s="566"/>
      <c r="O406" s="566"/>
      <c r="P406" s="566"/>
      <c r="Q406" s="566"/>
      <c r="R406" s="566"/>
      <c r="S406" s="566"/>
      <c r="T406" s="566"/>
      <c r="U406" s="566"/>
      <c r="V406" s="566"/>
      <c r="W406" s="566"/>
      <c r="X406" s="566"/>
      <c r="Y406" s="566"/>
      <c r="Z406" s="566"/>
      <c r="AA406" s="566"/>
      <c r="AB406" s="566"/>
      <c r="AC406" s="566"/>
      <c r="AD406" s="566"/>
      <c r="AE406" s="566"/>
      <c r="AF406" s="566"/>
      <c r="AG406" s="566"/>
      <c r="AH406" s="566"/>
      <c r="AI406" s="566"/>
      <c r="AJ406" s="566"/>
      <c r="AK406" s="566"/>
      <c r="AL406" s="566"/>
      <c r="AM406" s="566"/>
      <c r="AN406" s="566"/>
      <c r="AO406" s="566"/>
    </row>
    <row r="407" spans="2:41" x14ac:dyDescent="0.15">
      <c r="B407" s="567">
        <v>3</v>
      </c>
      <c r="C407" s="566">
        <v>0.31324200913242012</v>
      </c>
      <c r="D407" s="566"/>
      <c r="E407" s="566"/>
      <c r="F407" s="566"/>
      <c r="G407" s="566"/>
      <c r="H407" s="566"/>
      <c r="I407" s="566"/>
      <c r="J407" s="566"/>
      <c r="K407" s="566"/>
      <c r="L407" s="566"/>
      <c r="M407" s="566"/>
      <c r="N407" s="566"/>
      <c r="O407" s="566"/>
      <c r="P407" s="566"/>
      <c r="Q407" s="566"/>
      <c r="R407" s="566"/>
      <c r="S407" s="566"/>
      <c r="T407" s="566"/>
      <c r="U407" s="566"/>
      <c r="V407" s="566"/>
      <c r="W407" s="566"/>
      <c r="X407" s="566"/>
      <c r="Y407" s="566"/>
      <c r="Z407" s="566"/>
      <c r="AA407" s="566"/>
      <c r="AB407" s="566"/>
      <c r="AC407" s="566"/>
      <c r="AD407" s="566"/>
      <c r="AE407" s="566"/>
      <c r="AF407" s="566"/>
      <c r="AG407" s="566"/>
      <c r="AH407" s="566"/>
      <c r="AI407" s="566"/>
      <c r="AJ407" s="566"/>
      <c r="AK407" s="566"/>
      <c r="AL407" s="566"/>
      <c r="AM407" s="566"/>
      <c r="AN407" s="566"/>
      <c r="AO407" s="566"/>
    </row>
    <row r="408" spans="2:41" x14ac:dyDescent="0.15">
      <c r="B408" s="567">
        <v>4</v>
      </c>
      <c r="C408" s="566">
        <v>0.3476027397260274</v>
      </c>
      <c r="D408" s="566"/>
      <c r="E408" s="566"/>
      <c r="F408" s="566"/>
      <c r="G408" s="566"/>
      <c r="H408" s="566"/>
      <c r="I408" s="566"/>
      <c r="J408" s="566"/>
      <c r="K408" s="566"/>
      <c r="L408" s="566"/>
      <c r="M408" s="566"/>
      <c r="N408" s="566"/>
      <c r="O408" s="566"/>
      <c r="P408" s="566"/>
      <c r="Q408" s="566"/>
      <c r="R408" s="566"/>
      <c r="S408" s="566"/>
      <c r="T408" s="566"/>
      <c r="U408" s="566"/>
      <c r="V408" s="566"/>
      <c r="W408" s="566"/>
      <c r="X408" s="566"/>
      <c r="Y408" s="566"/>
      <c r="Z408" s="566"/>
      <c r="AA408" s="566"/>
      <c r="AB408" s="566"/>
      <c r="AC408" s="566"/>
      <c r="AD408" s="566"/>
      <c r="AE408" s="566"/>
      <c r="AF408" s="566"/>
      <c r="AG408" s="566"/>
      <c r="AH408" s="566"/>
      <c r="AI408" s="566"/>
      <c r="AJ408" s="566"/>
      <c r="AK408" s="566"/>
      <c r="AL408" s="566"/>
      <c r="AM408" s="566"/>
      <c r="AN408" s="566"/>
      <c r="AO408" s="566"/>
    </row>
    <row r="409" spans="2:41" x14ac:dyDescent="0.15">
      <c r="B409" s="567">
        <v>5</v>
      </c>
      <c r="C409" s="566">
        <v>0.38367579908675797</v>
      </c>
      <c r="D409" s="566"/>
      <c r="E409" s="566"/>
      <c r="F409" s="566"/>
      <c r="G409" s="566"/>
      <c r="H409" s="566"/>
      <c r="I409" s="566"/>
      <c r="J409" s="566"/>
      <c r="K409" s="566"/>
      <c r="L409" s="566"/>
      <c r="M409" s="566"/>
      <c r="N409" s="566"/>
      <c r="O409" s="566"/>
      <c r="P409" s="566"/>
      <c r="Q409" s="566"/>
      <c r="R409" s="566"/>
      <c r="S409" s="566"/>
      <c r="T409" s="566"/>
      <c r="U409" s="566"/>
      <c r="V409" s="566"/>
      <c r="W409" s="566"/>
      <c r="X409" s="566"/>
      <c r="Y409" s="566"/>
      <c r="Z409" s="566"/>
      <c r="AA409" s="566"/>
      <c r="AB409" s="566"/>
      <c r="AC409" s="566"/>
      <c r="AD409" s="566"/>
      <c r="AE409" s="566"/>
      <c r="AF409" s="566"/>
      <c r="AG409" s="566"/>
      <c r="AH409" s="566"/>
      <c r="AI409" s="566"/>
      <c r="AJ409" s="566"/>
      <c r="AK409" s="566"/>
      <c r="AL409" s="566"/>
      <c r="AM409" s="566"/>
      <c r="AN409" s="566"/>
      <c r="AO409" s="566"/>
    </row>
    <row r="410" spans="2:41" x14ac:dyDescent="0.15">
      <c r="B410" s="567">
        <v>6</v>
      </c>
      <c r="C410" s="566">
        <v>0.40742009132420093</v>
      </c>
      <c r="D410" s="566"/>
      <c r="E410" s="566"/>
      <c r="F410" s="566"/>
      <c r="G410" s="566"/>
      <c r="H410" s="566"/>
      <c r="I410" s="566"/>
      <c r="J410" s="566"/>
      <c r="K410" s="566"/>
      <c r="L410" s="566"/>
      <c r="M410" s="566"/>
      <c r="N410" s="566"/>
      <c r="O410" s="566"/>
      <c r="P410" s="566"/>
      <c r="Q410" s="566"/>
      <c r="R410" s="566"/>
      <c r="S410" s="566"/>
      <c r="T410" s="566"/>
      <c r="U410" s="566"/>
      <c r="V410" s="566"/>
      <c r="W410" s="566"/>
      <c r="X410" s="566"/>
      <c r="Y410" s="566"/>
      <c r="Z410" s="566"/>
      <c r="AA410" s="566"/>
      <c r="AB410" s="566"/>
      <c r="AC410" s="566"/>
      <c r="AD410" s="566"/>
      <c r="AE410" s="566"/>
      <c r="AF410" s="566"/>
      <c r="AG410" s="566"/>
      <c r="AH410" s="566"/>
      <c r="AI410" s="566"/>
      <c r="AJ410" s="566"/>
      <c r="AK410" s="566"/>
      <c r="AL410" s="566"/>
      <c r="AM410" s="566"/>
      <c r="AN410" s="566"/>
      <c r="AO410" s="566"/>
    </row>
    <row r="411" spans="2:41" x14ac:dyDescent="0.15">
      <c r="B411" s="567">
        <v>7</v>
      </c>
      <c r="C411" s="566">
        <v>0.4480593607305936</v>
      </c>
      <c r="D411" s="566"/>
      <c r="E411" s="566"/>
      <c r="F411" s="566"/>
      <c r="G411" s="566"/>
      <c r="H411" s="566"/>
      <c r="I411" s="566"/>
      <c r="J411" s="566"/>
      <c r="K411" s="566"/>
      <c r="L411" s="566"/>
      <c r="M411" s="566"/>
      <c r="N411" s="566"/>
      <c r="O411" s="566"/>
      <c r="P411" s="566"/>
      <c r="Q411" s="566"/>
      <c r="R411" s="566"/>
      <c r="S411" s="566"/>
      <c r="T411" s="566"/>
      <c r="U411" s="566"/>
      <c r="V411" s="566"/>
      <c r="W411" s="566"/>
      <c r="X411" s="566"/>
      <c r="Y411" s="566"/>
      <c r="Z411" s="566"/>
      <c r="AA411" s="566"/>
      <c r="AB411" s="566"/>
      <c r="AC411" s="566"/>
      <c r="AD411" s="566"/>
      <c r="AE411" s="566"/>
      <c r="AF411" s="566"/>
      <c r="AG411" s="566"/>
      <c r="AH411" s="566"/>
      <c r="AI411" s="566"/>
      <c r="AJ411" s="566"/>
      <c r="AK411" s="566"/>
      <c r="AL411" s="566"/>
      <c r="AM411" s="566"/>
      <c r="AN411" s="566"/>
      <c r="AO411" s="566"/>
    </row>
    <row r="412" spans="2:41" x14ac:dyDescent="0.15">
      <c r="B412" s="567">
        <v>8</v>
      </c>
      <c r="C412" s="566">
        <v>0.48413242009132418</v>
      </c>
      <c r="D412" s="566"/>
      <c r="E412" s="566"/>
      <c r="F412" s="566"/>
      <c r="G412" s="566"/>
      <c r="H412" s="566"/>
      <c r="I412" s="566"/>
      <c r="J412" s="566"/>
      <c r="K412" s="566"/>
      <c r="L412" s="566"/>
      <c r="M412" s="566"/>
      <c r="N412" s="566"/>
      <c r="O412" s="566"/>
      <c r="P412" s="566"/>
      <c r="Q412" s="566"/>
      <c r="R412" s="566"/>
      <c r="S412" s="566"/>
      <c r="T412" s="566"/>
      <c r="U412" s="566"/>
      <c r="V412" s="566"/>
      <c r="W412" s="566"/>
      <c r="X412" s="566"/>
      <c r="Y412" s="566"/>
      <c r="Z412" s="566"/>
      <c r="AA412" s="566"/>
      <c r="AB412" s="566"/>
      <c r="AC412" s="566"/>
      <c r="AD412" s="566"/>
      <c r="AE412" s="566"/>
      <c r="AF412" s="566"/>
      <c r="AG412" s="566"/>
      <c r="AH412" s="566"/>
      <c r="AI412" s="566"/>
      <c r="AJ412" s="566"/>
      <c r="AK412" s="566"/>
      <c r="AL412" s="566"/>
      <c r="AM412" s="566"/>
      <c r="AN412" s="566"/>
      <c r="AO412" s="566"/>
    </row>
    <row r="413" spans="2:41" x14ac:dyDescent="0.15">
      <c r="B413" s="567">
        <v>9</v>
      </c>
      <c r="C413" s="566">
        <v>0.52465753424657535</v>
      </c>
      <c r="D413" s="566"/>
      <c r="E413" s="566"/>
      <c r="F413" s="566"/>
      <c r="G413" s="566"/>
      <c r="H413" s="566"/>
      <c r="I413" s="566"/>
      <c r="J413" s="566"/>
      <c r="K413" s="566"/>
      <c r="L413" s="566"/>
      <c r="M413" s="566"/>
      <c r="N413" s="566"/>
      <c r="O413" s="566"/>
      <c r="P413" s="566"/>
      <c r="Q413" s="566"/>
      <c r="R413" s="566"/>
      <c r="S413" s="566"/>
      <c r="T413" s="566"/>
      <c r="U413" s="566"/>
      <c r="V413" s="566"/>
      <c r="W413" s="566"/>
      <c r="X413" s="566"/>
      <c r="Y413" s="566"/>
      <c r="Z413" s="566"/>
      <c r="AA413" s="566"/>
      <c r="AB413" s="566"/>
      <c r="AC413" s="566"/>
      <c r="AD413" s="566"/>
      <c r="AE413" s="566"/>
      <c r="AF413" s="566"/>
      <c r="AG413" s="566"/>
      <c r="AH413" s="566"/>
      <c r="AI413" s="566"/>
      <c r="AJ413" s="566"/>
      <c r="AK413" s="566"/>
      <c r="AL413" s="566"/>
      <c r="AM413" s="566"/>
      <c r="AN413" s="566"/>
      <c r="AO413" s="566"/>
    </row>
    <row r="414" spans="2:41" x14ac:dyDescent="0.15">
      <c r="B414" s="567">
        <v>10</v>
      </c>
      <c r="C414" s="566">
        <v>0.5639269406392694</v>
      </c>
      <c r="D414" s="566"/>
      <c r="E414" s="566"/>
      <c r="F414" s="566"/>
      <c r="G414" s="566"/>
      <c r="H414" s="566"/>
      <c r="I414" s="566"/>
      <c r="J414" s="566"/>
      <c r="K414" s="566"/>
      <c r="L414" s="566"/>
      <c r="M414" s="566"/>
      <c r="N414" s="566"/>
      <c r="O414" s="566"/>
      <c r="P414" s="566"/>
      <c r="Q414" s="566"/>
      <c r="R414" s="566"/>
      <c r="S414" s="566"/>
      <c r="T414" s="566"/>
      <c r="U414" s="566"/>
      <c r="V414" s="566"/>
      <c r="W414" s="566"/>
      <c r="X414" s="566"/>
      <c r="Y414" s="566"/>
      <c r="Z414" s="566"/>
      <c r="AA414" s="566"/>
      <c r="AB414" s="566"/>
      <c r="AC414" s="566"/>
      <c r="AD414" s="566"/>
      <c r="AE414" s="566"/>
      <c r="AF414" s="566"/>
      <c r="AG414" s="566"/>
      <c r="AH414" s="566"/>
      <c r="AI414" s="566"/>
      <c r="AJ414" s="566"/>
      <c r="AK414" s="566"/>
      <c r="AL414" s="566"/>
      <c r="AM414" s="566"/>
      <c r="AN414" s="566"/>
      <c r="AO414" s="566"/>
    </row>
    <row r="415" spans="2:41" x14ac:dyDescent="0.15">
      <c r="B415" s="567">
        <v>11</v>
      </c>
      <c r="C415" s="566">
        <v>0.58424657534246571</v>
      </c>
      <c r="D415" s="566"/>
      <c r="E415" s="566"/>
      <c r="F415" s="566"/>
      <c r="G415" s="566"/>
      <c r="H415" s="566"/>
      <c r="I415" s="566"/>
      <c r="J415" s="566"/>
      <c r="K415" s="566"/>
      <c r="L415" s="566"/>
      <c r="M415" s="566"/>
      <c r="N415" s="566"/>
      <c r="O415" s="566"/>
      <c r="P415" s="566"/>
      <c r="Q415" s="566"/>
      <c r="R415" s="566"/>
      <c r="S415" s="566"/>
      <c r="T415" s="566"/>
      <c r="U415" s="566"/>
      <c r="V415" s="566"/>
      <c r="W415" s="566"/>
      <c r="X415" s="566"/>
      <c r="Y415" s="566"/>
      <c r="Z415" s="566"/>
      <c r="AA415" s="566"/>
      <c r="AB415" s="566"/>
      <c r="AC415" s="566"/>
      <c r="AD415" s="566"/>
      <c r="AE415" s="566"/>
      <c r="AF415" s="566"/>
      <c r="AG415" s="566"/>
      <c r="AH415" s="566"/>
      <c r="AI415" s="566"/>
      <c r="AJ415" s="566"/>
      <c r="AK415" s="566"/>
      <c r="AL415" s="566"/>
      <c r="AM415" s="566"/>
      <c r="AN415" s="566"/>
      <c r="AO415" s="566"/>
    </row>
    <row r="416" spans="2:41" x14ac:dyDescent="0.15">
      <c r="B416" s="567">
        <v>12</v>
      </c>
      <c r="C416" s="566">
        <v>0.62785388127853881</v>
      </c>
      <c r="D416" s="566"/>
      <c r="E416" s="566"/>
      <c r="F416" s="566"/>
      <c r="G416" s="566"/>
      <c r="H416" s="566"/>
      <c r="I416" s="566"/>
      <c r="J416" s="566"/>
      <c r="K416" s="566"/>
      <c r="L416" s="566"/>
      <c r="M416" s="566"/>
      <c r="N416" s="566"/>
      <c r="O416" s="566"/>
      <c r="P416" s="566"/>
      <c r="Q416" s="566"/>
      <c r="R416" s="566"/>
      <c r="S416" s="566"/>
      <c r="T416" s="566"/>
      <c r="U416" s="566"/>
      <c r="V416" s="566"/>
      <c r="W416" s="566"/>
      <c r="X416" s="566"/>
      <c r="Y416" s="566"/>
      <c r="Z416" s="566"/>
      <c r="AA416" s="566"/>
      <c r="AB416" s="566"/>
      <c r="AC416" s="566"/>
      <c r="AD416" s="566"/>
      <c r="AE416" s="566"/>
      <c r="AF416" s="566"/>
      <c r="AG416" s="566"/>
      <c r="AH416" s="566"/>
      <c r="AI416" s="566"/>
      <c r="AJ416" s="566"/>
      <c r="AK416" s="566"/>
      <c r="AL416" s="566"/>
      <c r="AM416" s="566"/>
      <c r="AN416" s="566"/>
      <c r="AO416" s="566"/>
    </row>
    <row r="417" spans="2:41" x14ac:dyDescent="0.15">
      <c r="B417" s="567">
        <v>13</v>
      </c>
      <c r="C417" s="566">
        <v>0.66997716894977166</v>
      </c>
      <c r="D417" s="566"/>
      <c r="E417" s="566"/>
      <c r="F417" s="566"/>
      <c r="G417" s="566"/>
      <c r="H417" s="566"/>
      <c r="I417" s="566"/>
      <c r="J417" s="566"/>
      <c r="K417" s="566"/>
      <c r="L417" s="566"/>
      <c r="M417" s="566"/>
      <c r="N417" s="566"/>
      <c r="O417" s="566"/>
      <c r="P417" s="566"/>
      <c r="Q417" s="566"/>
      <c r="R417" s="566"/>
      <c r="S417" s="566"/>
      <c r="T417" s="566"/>
      <c r="U417" s="566"/>
      <c r="V417" s="566"/>
      <c r="W417" s="566"/>
      <c r="X417" s="566"/>
      <c r="Y417" s="566"/>
      <c r="Z417" s="566"/>
      <c r="AA417" s="566"/>
      <c r="AB417" s="566"/>
      <c r="AC417" s="566"/>
      <c r="AD417" s="566"/>
      <c r="AE417" s="566"/>
      <c r="AF417" s="566"/>
      <c r="AG417" s="566"/>
      <c r="AH417" s="566"/>
      <c r="AI417" s="566"/>
      <c r="AJ417" s="566"/>
      <c r="AK417" s="566"/>
      <c r="AL417" s="566"/>
      <c r="AM417" s="566"/>
      <c r="AN417" s="566"/>
      <c r="AO417" s="566"/>
    </row>
    <row r="418" spans="2:41" x14ac:dyDescent="0.15">
      <c r="B418" s="567">
        <v>14</v>
      </c>
      <c r="C418" s="566">
        <v>0.7179223744292238</v>
      </c>
      <c r="D418" s="566"/>
      <c r="E418" s="566"/>
      <c r="F418" s="566"/>
      <c r="G418" s="566"/>
      <c r="H418" s="566"/>
      <c r="I418" s="566"/>
      <c r="J418" s="566"/>
      <c r="K418" s="566"/>
      <c r="L418" s="566"/>
      <c r="M418" s="566"/>
      <c r="N418" s="566"/>
      <c r="O418" s="566"/>
      <c r="P418" s="566"/>
      <c r="Q418" s="566"/>
      <c r="R418" s="566"/>
      <c r="S418" s="566"/>
      <c r="T418" s="566"/>
      <c r="U418" s="566"/>
      <c r="V418" s="566"/>
      <c r="W418" s="566"/>
      <c r="X418" s="566"/>
      <c r="Y418" s="566"/>
      <c r="Z418" s="566"/>
      <c r="AA418" s="566"/>
      <c r="AB418" s="566"/>
      <c r="AC418" s="566"/>
      <c r="AD418" s="566"/>
      <c r="AE418" s="566"/>
      <c r="AF418" s="566"/>
      <c r="AG418" s="566"/>
      <c r="AH418" s="566"/>
      <c r="AI418" s="566"/>
      <c r="AJ418" s="566"/>
      <c r="AK418" s="566"/>
      <c r="AL418" s="566"/>
      <c r="AM418" s="566"/>
      <c r="AN418" s="566"/>
      <c r="AO418" s="566"/>
    </row>
    <row r="419" spans="2:41" x14ac:dyDescent="0.15">
      <c r="B419" s="567">
        <v>15</v>
      </c>
      <c r="C419" s="566">
        <v>0.76210045662100456</v>
      </c>
      <c r="D419" s="566"/>
      <c r="E419" s="566"/>
      <c r="F419" s="566"/>
      <c r="G419" s="566"/>
      <c r="H419" s="566"/>
      <c r="I419" s="566"/>
      <c r="J419" s="566"/>
      <c r="K419" s="566"/>
      <c r="L419" s="566"/>
      <c r="M419" s="566"/>
      <c r="N419" s="566"/>
      <c r="O419" s="566"/>
      <c r="P419" s="566"/>
      <c r="Q419" s="566"/>
      <c r="R419" s="566"/>
      <c r="S419" s="566"/>
      <c r="T419" s="566"/>
      <c r="U419" s="566"/>
      <c r="V419" s="566"/>
      <c r="W419" s="566"/>
      <c r="X419" s="566"/>
      <c r="Y419" s="566"/>
      <c r="Z419" s="566"/>
      <c r="AA419" s="566"/>
      <c r="AB419" s="566"/>
      <c r="AC419" s="566"/>
      <c r="AD419" s="566"/>
      <c r="AE419" s="566"/>
      <c r="AF419" s="566"/>
      <c r="AG419" s="566"/>
      <c r="AH419" s="566"/>
      <c r="AI419" s="566"/>
      <c r="AJ419" s="566"/>
      <c r="AK419" s="566"/>
      <c r="AL419" s="566"/>
      <c r="AM419" s="566"/>
      <c r="AN419" s="566"/>
      <c r="AO419" s="566"/>
    </row>
    <row r="420" spans="2:41" x14ac:dyDescent="0.15">
      <c r="B420" s="567">
        <v>16</v>
      </c>
      <c r="C420" s="566">
        <v>0.78047945205479452</v>
      </c>
      <c r="D420" s="566"/>
      <c r="E420" s="566"/>
      <c r="F420" s="566"/>
      <c r="G420" s="566"/>
      <c r="H420" s="566"/>
      <c r="I420" s="566"/>
      <c r="J420" s="566"/>
      <c r="K420" s="566"/>
      <c r="L420" s="566"/>
      <c r="M420" s="566"/>
      <c r="N420" s="566"/>
      <c r="O420" s="566"/>
      <c r="P420" s="566"/>
      <c r="Q420" s="566"/>
      <c r="R420" s="566"/>
      <c r="S420" s="566"/>
      <c r="T420" s="566"/>
      <c r="U420" s="566"/>
      <c r="V420" s="566"/>
      <c r="W420" s="566"/>
      <c r="X420" s="566"/>
      <c r="Y420" s="566"/>
      <c r="Z420" s="566"/>
      <c r="AA420" s="566"/>
      <c r="AB420" s="566"/>
      <c r="AC420" s="566"/>
      <c r="AD420" s="566"/>
      <c r="AE420" s="566"/>
      <c r="AF420" s="566"/>
      <c r="AG420" s="566"/>
      <c r="AH420" s="566"/>
      <c r="AI420" s="566"/>
      <c r="AJ420" s="566"/>
      <c r="AK420" s="566"/>
      <c r="AL420" s="566"/>
      <c r="AM420" s="566"/>
      <c r="AN420" s="566"/>
      <c r="AO420" s="566"/>
    </row>
    <row r="421" spans="2:41" x14ac:dyDescent="0.15">
      <c r="B421" s="567">
        <v>17</v>
      </c>
      <c r="C421" s="566">
        <v>0.82351598173515983</v>
      </c>
      <c r="D421" s="566"/>
      <c r="E421" s="566"/>
      <c r="F421" s="566"/>
      <c r="G421" s="566"/>
      <c r="H421" s="566"/>
      <c r="I421" s="566"/>
      <c r="J421" s="566"/>
      <c r="K421" s="566"/>
      <c r="L421" s="566"/>
      <c r="M421" s="566"/>
      <c r="N421" s="566"/>
      <c r="O421" s="566"/>
      <c r="P421" s="566"/>
      <c r="Q421" s="566"/>
      <c r="R421" s="566"/>
      <c r="S421" s="566"/>
      <c r="T421" s="566"/>
      <c r="U421" s="566"/>
      <c r="V421" s="566"/>
      <c r="W421" s="566"/>
      <c r="X421" s="566"/>
      <c r="Y421" s="566"/>
      <c r="Z421" s="566"/>
      <c r="AA421" s="566"/>
      <c r="AB421" s="566"/>
      <c r="AC421" s="566"/>
      <c r="AD421" s="566"/>
      <c r="AE421" s="566"/>
      <c r="AF421" s="566"/>
      <c r="AG421" s="566"/>
      <c r="AH421" s="566"/>
      <c r="AI421" s="566"/>
      <c r="AJ421" s="566"/>
      <c r="AK421" s="566"/>
      <c r="AL421" s="566"/>
      <c r="AM421" s="566"/>
      <c r="AN421" s="566"/>
      <c r="AO421" s="566"/>
    </row>
    <row r="422" spans="2:41" x14ac:dyDescent="0.15">
      <c r="B422" s="567">
        <v>18</v>
      </c>
      <c r="C422" s="566">
        <v>0.86461187214611868</v>
      </c>
      <c r="D422" s="566"/>
      <c r="E422" s="566"/>
      <c r="F422" s="566"/>
      <c r="G422" s="566"/>
      <c r="H422" s="566"/>
      <c r="I422" s="566"/>
      <c r="J422" s="566"/>
      <c r="K422" s="566"/>
      <c r="L422" s="566"/>
      <c r="M422" s="566"/>
      <c r="N422" s="566"/>
      <c r="O422" s="566"/>
      <c r="P422" s="566"/>
      <c r="Q422" s="566"/>
      <c r="R422" s="566"/>
      <c r="S422" s="566"/>
      <c r="T422" s="566"/>
      <c r="U422" s="566"/>
      <c r="V422" s="566"/>
      <c r="W422" s="566"/>
      <c r="X422" s="566"/>
      <c r="Y422" s="566"/>
      <c r="Z422" s="566"/>
      <c r="AA422" s="566"/>
      <c r="AB422" s="566"/>
      <c r="AC422" s="566"/>
      <c r="AD422" s="566"/>
      <c r="AE422" s="566"/>
      <c r="AF422" s="566"/>
      <c r="AG422" s="566"/>
      <c r="AH422" s="566"/>
      <c r="AI422" s="566"/>
      <c r="AJ422" s="566"/>
      <c r="AK422" s="566"/>
      <c r="AL422" s="566"/>
      <c r="AM422" s="566"/>
      <c r="AN422" s="566"/>
      <c r="AO422" s="566"/>
    </row>
    <row r="423" spans="2:41" x14ac:dyDescent="0.15">
      <c r="B423" s="567">
        <v>19</v>
      </c>
      <c r="C423" s="566">
        <v>0.89452054794520552</v>
      </c>
      <c r="D423" s="566"/>
      <c r="E423" s="566"/>
      <c r="F423" s="566"/>
      <c r="G423" s="566"/>
      <c r="H423" s="566"/>
      <c r="I423" s="566"/>
      <c r="J423" s="566"/>
      <c r="K423" s="566"/>
      <c r="L423" s="566"/>
      <c r="M423" s="566"/>
      <c r="N423" s="566"/>
      <c r="O423" s="566"/>
      <c r="P423" s="566"/>
      <c r="Q423" s="566"/>
      <c r="R423" s="566"/>
      <c r="S423" s="566"/>
      <c r="T423" s="566"/>
      <c r="U423" s="566"/>
      <c r="V423" s="566"/>
      <c r="W423" s="566"/>
      <c r="X423" s="566"/>
      <c r="Y423" s="566"/>
      <c r="Z423" s="566"/>
      <c r="AA423" s="566"/>
      <c r="AB423" s="566"/>
      <c r="AC423" s="566"/>
      <c r="AD423" s="566"/>
      <c r="AE423" s="566"/>
      <c r="AF423" s="566"/>
      <c r="AG423" s="566"/>
      <c r="AH423" s="566"/>
      <c r="AI423" s="566"/>
      <c r="AJ423" s="566"/>
      <c r="AK423" s="566"/>
      <c r="AL423" s="566"/>
      <c r="AM423" s="566"/>
      <c r="AN423" s="566"/>
      <c r="AO423" s="566"/>
    </row>
    <row r="424" spans="2:41" x14ac:dyDescent="0.15">
      <c r="B424" s="567">
        <v>20</v>
      </c>
      <c r="C424" s="566">
        <v>0.92123287671232879</v>
      </c>
      <c r="D424" s="566"/>
      <c r="E424" s="566"/>
      <c r="F424" s="566"/>
      <c r="G424" s="566"/>
      <c r="H424" s="566"/>
      <c r="I424" s="566"/>
      <c r="J424" s="566"/>
      <c r="K424" s="566"/>
      <c r="L424" s="566"/>
      <c r="M424" s="566"/>
      <c r="N424" s="566"/>
      <c r="O424" s="566"/>
      <c r="P424" s="566"/>
      <c r="Q424" s="566"/>
      <c r="R424" s="566"/>
      <c r="S424" s="566"/>
      <c r="T424" s="566"/>
      <c r="U424" s="566"/>
      <c r="V424" s="566"/>
      <c r="W424" s="566"/>
      <c r="X424" s="566"/>
      <c r="Y424" s="566"/>
      <c r="Z424" s="566"/>
      <c r="AA424" s="566"/>
      <c r="AB424" s="566"/>
      <c r="AC424" s="566"/>
      <c r="AD424" s="566"/>
      <c r="AE424" s="566"/>
      <c r="AF424" s="566"/>
      <c r="AG424" s="566"/>
      <c r="AH424" s="566"/>
      <c r="AI424" s="566"/>
      <c r="AJ424" s="566"/>
      <c r="AK424" s="566"/>
      <c r="AL424" s="566"/>
      <c r="AM424" s="566"/>
      <c r="AN424" s="566"/>
      <c r="AO424" s="566"/>
    </row>
    <row r="425" spans="2:41" x14ac:dyDescent="0.15">
      <c r="B425" s="567">
        <v>21</v>
      </c>
      <c r="C425" s="566">
        <v>0.93287671232876712</v>
      </c>
      <c r="D425" s="566"/>
      <c r="E425" s="566"/>
      <c r="F425" s="566"/>
      <c r="G425" s="566"/>
      <c r="H425" s="566"/>
      <c r="I425" s="566"/>
      <c r="J425" s="566"/>
      <c r="K425" s="566"/>
      <c r="L425" s="566"/>
      <c r="M425" s="566"/>
      <c r="N425" s="566"/>
      <c r="O425" s="566"/>
      <c r="P425" s="566"/>
      <c r="Q425" s="566"/>
      <c r="R425" s="566"/>
      <c r="S425" s="566"/>
      <c r="T425" s="566"/>
      <c r="U425" s="566"/>
      <c r="V425" s="566"/>
      <c r="W425" s="566"/>
      <c r="X425" s="566"/>
      <c r="Y425" s="566"/>
      <c r="Z425" s="566"/>
      <c r="AA425" s="566"/>
      <c r="AB425" s="566"/>
      <c r="AC425" s="566"/>
      <c r="AD425" s="566"/>
      <c r="AE425" s="566"/>
      <c r="AF425" s="566"/>
      <c r="AG425" s="566"/>
      <c r="AH425" s="566"/>
      <c r="AI425" s="566"/>
      <c r="AJ425" s="566"/>
      <c r="AK425" s="566"/>
      <c r="AL425" s="566"/>
      <c r="AM425" s="566"/>
      <c r="AN425" s="566"/>
      <c r="AO425" s="566"/>
    </row>
    <row r="426" spans="2:41" x14ac:dyDescent="0.15">
      <c r="B426" s="567">
        <v>22</v>
      </c>
      <c r="C426" s="566">
        <v>0.95091324200913241</v>
      </c>
      <c r="D426" s="566"/>
      <c r="E426" s="566"/>
      <c r="F426" s="566"/>
      <c r="G426" s="566"/>
      <c r="H426" s="566"/>
      <c r="I426" s="566"/>
      <c r="J426" s="566"/>
      <c r="K426" s="566"/>
      <c r="L426" s="566"/>
      <c r="M426" s="566"/>
      <c r="N426" s="566"/>
      <c r="O426" s="566"/>
      <c r="P426" s="566"/>
      <c r="Q426" s="566"/>
      <c r="R426" s="566"/>
      <c r="S426" s="566"/>
      <c r="T426" s="566"/>
      <c r="U426" s="566"/>
      <c r="V426" s="566"/>
      <c r="W426" s="566"/>
      <c r="X426" s="566"/>
      <c r="Y426" s="566"/>
      <c r="Z426" s="566"/>
      <c r="AA426" s="566"/>
      <c r="AB426" s="566"/>
      <c r="AC426" s="566"/>
      <c r="AD426" s="566"/>
      <c r="AE426" s="566"/>
      <c r="AF426" s="566"/>
      <c r="AG426" s="566"/>
      <c r="AH426" s="566"/>
      <c r="AI426" s="566"/>
      <c r="AJ426" s="566"/>
      <c r="AK426" s="566"/>
      <c r="AL426" s="566"/>
      <c r="AM426" s="566"/>
      <c r="AN426" s="566"/>
      <c r="AO426" s="566"/>
    </row>
    <row r="427" spans="2:41" x14ac:dyDescent="0.15">
      <c r="B427" s="567">
        <v>23</v>
      </c>
      <c r="C427" s="566">
        <v>0.9671232876712329</v>
      </c>
      <c r="D427" s="566"/>
      <c r="E427" s="566"/>
      <c r="F427" s="566"/>
      <c r="G427" s="566"/>
      <c r="H427" s="566"/>
      <c r="I427" s="566"/>
      <c r="J427" s="566"/>
      <c r="K427" s="566"/>
      <c r="L427" s="566"/>
      <c r="M427" s="566"/>
      <c r="N427" s="566"/>
      <c r="O427" s="566"/>
      <c r="P427" s="566"/>
      <c r="Q427" s="566"/>
      <c r="R427" s="566"/>
      <c r="S427" s="566"/>
      <c r="T427" s="566"/>
      <c r="U427" s="566"/>
      <c r="V427" s="566"/>
      <c r="W427" s="566"/>
      <c r="X427" s="566"/>
      <c r="Y427" s="566"/>
      <c r="Z427" s="566"/>
      <c r="AA427" s="566"/>
      <c r="AB427" s="566"/>
      <c r="AC427" s="566"/>
      <c r="AD427" s="566"/>
      <c r="AE427" s="566"/>
      <c r="AF427" s="566"/>
      <c r="AG427" s="566"/>
      <c r="AH427" s="566"/>
      <c r="AI427" s="566"/>
      <c r="AJ427" s="566"/>
      <c r="AK427" s="566"/>
      <c r="AL427" s="566"/>
      <c r="AM427" s="566"/>
      <c r="AN427" s="566"/>
      <c r="AO427" s="566"/>
    </row>
    <row r="428" spans="2:41" x14ac:dyDescent="0.15">
      <c r="B428" s="567">
        <v>24</v>
      </c>
      <c r="C428" s="566">
        <v>0.97819634703196345</v>
      </c>
      <c r="D428" s="566"/>
      <c r="E428" s="566"/>
      <c r="F428" s="566"/>
      <c r="G428" s="566"/>
      <c r="H428" s="566"/>
      <c r="I428" s="566"/>
      <c r="J428" s="566"/>
      <c r="K428" s="566"/>
      <c r="L428" s="566"/>
      <c r="M428" s="566"/>
      <c r="N428" s="566"/>
      <c r="O428" s="566"/>
      <c r="P428" s="566"/>
      <c r="Q428" s="566"/>
      <c r="R428" s="566"/>
      <c r="S428" s="566"/>
      <c r="T428" s="566"/>
      <c r="U428" s="566"/>
      <c r="V428" s="566"/>
      <c r="W428" s="566"/>
      <c r="X428" s="566"/>
      <c r="Y428" s="566"/>
      <c r="Z428" s="566"/>
      <c r="AA428" s="566"/>
      <c r="AB428" s="566"/>
      <c r="AC428" s="566"/>
      <c r="AD428" s="566"/>
      <c r="AE428" s="566"/>
      <c r="AF428" s="566"/>
      <c r="AG428" s="566"/>
      <c r="AH428" s="566"/>
      <c r="AI428" s="566"/>
      <c r="AJ428" s="566"/>
      <c r="AK428" s="566"/>
      <c r="AL428" s="566"/>
      <c r="AM428" s="566"/>
      <c r="AN428" s="566"/>
      <c r="AO428" s="566"/>
    </row>
    <row r="429" spans="2:41" x14ac:dyDescent="0.15">
      <c r="B429" s="567">
        <v>25</v>
      </c>
      <c r="C429" s="566">
        <v>0.98732876712328765</v>
      </c>
      <c r="D429" s="566"/>
      <c r="E429" s="566"/>
      <c r="F429" s="566"/>
      <c r="G429" s="566"/>
      <c r="H429" s="566"/>
      <c r="I429" s="566"/>
      <c r="J429" s="566"/>
      <c r="K429" s="566"/>
      <c r="L429" s="566"/>
      <c r="M429" s="566"/>
      <c r="N429" s="566"/>
      <c r="O429" s="566"/>
      <c r="P429" s="566"/>
      <c r="Q429" s="566"/>
      <c r="R429" s="566"/>
      <c r="S429" s="566"/>
      <c r="T429" s="566"/>
      <c r="U429" s="566"/>
      <c r="V429" s="566"/>
      <c r="W429" s="566"/>
      <c r="X429" s="566"/>
      <c r="Y429" s="566"/>
      <c r="Z429" s="566"/>
      <c r="AA429" s="566"/>
      <c r="AB429" s="566"/>
      <c r="AC429" s="566"/>
      <c r="AD429" s="566"/>
      <c r="AE429" s="566"/>
      <c r="AF429" s="566"/>
      <c r="AG429" s="566"/>
      <c r="AH429" s="566"/>
      <c r="AI429" s="566"/>
      <c r="AJ429" s="566"/>
      <c r="AK429" s="566"/>
      <c r="AL429" s="566"/>
      <c r="AM429" s="566"/>
      <c r="AN429" s="566"/>
      <c r="AO429" s="566"/>
    </row>
    <row r="430" spans="2:41" x14ac:dyDescent="0.15">
      <c r="B430" s="567">
        <v>26</v>
      </c>
      <c r="C430" s="566">
        <v>0.99018264840182646</v>
      </c>
      <c r="D430" s="566"/>
      <c r="E430" s="566"/>
      <c r="F430" s="566"/>
      <c r="G430" s="566"/>
      <c r="H430" s="566"/>
      <c r="I430" s="566"/>
      <c r="J430" s="566"/>
      <c r="K430" s="566"/>
      <c r="L430" s="566"/>
      <c r="M430" s="566"/>
      <c r="N430" s="566"/>
      <c r="O430" s="566"/>
      <c r="P430" s="566"/>
      <c r="Q430" s="566"/>
      <c r="R430" s="566"/>
      <c r="S430" s="566"/>
      <c r="T430" s="566"/>
      <c r="U430" s="566"/>
      <c r="V430" s="566"/>
      <c r="W430" s="566"/>
      <c r="X430" s="566"/>
      <c r="Y430" s="566"/>
      <c r="Z430" s="566"/>
      <c r="AA430" s="566"/>
      <c r="AB430" s="566"/>
      <c r="AC430" s="566"/>
      <c r="AD430" s="566"/>
      <c r="AE430" s="566"/>
      <c r="AF430" s="566"/>
      <c r="AG430" s="566"/>
      <c r="AH430" s="566"/>
      <c r="AI430" s="566"/>
      <c r="AJ430" s="566"/>
      <c r="AK430" s="566"/>
      <c r="AL430" s="566"/>
      <c r="AM430" s="566"/>
      <c r="AN430" s="566"/>
      <c r="AO430" s="566"/>
    </row>
    <row r="431" spans="2:41" x14ac:dyDescent="0.15">
      <c r="B431" s="567">
        <v>27</v>
      </c>
      <c r="C431" s="566">
        <v>0.99543378995433784</v>
      </c>
      <c r="D431" s="566"/>
      <c r="E431" s="566"/>
      <c r="F431" s="566"/>
      <c r="G431" s="566"/>
      <c r="H431" s="566"/>
      <c r="I431" s="566"/>
      <c r="J431" s="566"/>
      <c r="K431" s="566"/>
      <c r="L431" s="566"/>
      <c r="M431" s="566"/>
      <c r="N431" s="566"/>
      <c r="O431" s="566"/>
      <c r="P431" s="566"/>
      <c r="Q431" s="566"/>
      <c r="R431" s="566"/>
      <c r="S431" s="566"/>
      <c r="T431" s="566"/>
      <c r="U431" s="566"/>
      <c r="V431" s="566"/>
      <c r="W431" s="566"/>
      <c r="X431" s="566"/>
      <c r="Y431" s="566"/>
      <c r="Z431" s="566"/>
      <c r="AA431" s="566"/>
      <c r="AB431" s="566"/>
      <c r="AC431" s="566"/>
      <c r="AD431" s="566"/>
      <c r="AE431" s="566"/>
      <c r="AF431" s="566"/>
      <c r="AG431" s="566"/>
      <c r="AH431" s="566"/>
      <c r="AI431" s="566"/>
      <c r="AJ431" s="566"/>
      <c r="AK431" s="566"/>
      <c r="AL431" s="566"/>
      <c r="AM431" s="566"/>
      <c r="AN431" s="566"/>
      <c r="AO431" s="566"/>
    </row>
    <row r="432" spans="2:41" x14ac:dyDescent="0.15">
      <c r="B432" s="567">
        <v>28</v>
      </c>
      <c r="C432" s="566">
        <v>0.99760273972602742</v>
      </c>
      <c r="D432" s="566"/>
      <c r="E432" s="566"/>
      <c r="F432" s="566"/>
      <c r="G432" s="566"/>
      <c r="H432" s="566"/>
      <c r="I432" s="566"/>
      <c r="J432" s="566"/>
      <c r="K432" s="566"/>
      <c r="L432" s="566"/>
      <c r="M432" s="566"/>
      <c r="N432" s="566"/>
      <c r="O432" s="566"/>
      <c r="P432" s="566"/>
      <c r="Q432" s="566"/>
      <c r="R432" s="566"/>
      <c r="S432" s="566"/>
      <c r="T432" s="566"/>
      <c r="U432" s="566"/>
      <c r="V432" s="566"/>
      <c r="W432" s="566"/>
      <c r="X432" s="566"/>
      <c r="Y432" s="566"/>
      <c r="Z432" s="566"/>
      <c r="AA432" s="566"/>
      <c r="AB432" s="566"/>
      <c r="AC432" s="566"/>
      <c r="AD432" s="566"/>
      <c r="AE432" s="566"/>
      <c r="AF432" s="566"/>
      <c r="AG432" s="566"/>
      <c r="AH432" s="566"/>
      <c r="AI432" s="566"/>
      <c r="AJ432" s="566"/>
      <c r="AK432" s="566"/>
      <c r="AL432" s="566"/>
      <c r="AM432" s="566"/>
      <c r="AN432" s="566"/>
      <c r="AO432" s="566"/>
    </row>
    <row r="433" spans="2:41" x14ac:dyDescent="0.15">
      <c r="B433" s="567">
        <v>29</v>
      </c>
      <c r="C433" s="566">
        <v>0.9992009132420091</v>
      </c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6"/>
      <c r="X433" s="566"/>
      <c r="Y433" s="566"/>
      <c r="Z433" s="566"/>
      <c r="AA433" s="566"/>
      <c r="AB433" s="566"/>
      <c r="AC433" s="566"/>
      <c r="AD433" s="566"/>
      <c r="AE433" s="566"/>
      <c r="AF433" s="566"/>
      <c r="AG433" s="566"/>
      <c r="AH433" s="566"/>
      <c r="AI433" s="566"/>
      <c r="AJ433" s="566"/>
      <c r="AK433" s="566"/>
      <c r="AL433" s="566"/>
      <c r="AM433" s="566"/>
      <c r="AN433" s="566"/>
      <c r="AO433" s="566"/>
    </row>
    <row r="434" spans="2:41" x14ac:dyDescent="0.15">
      <c r="B434" s="567">
        <v>30</v>
      </c>
      <c r="C434" s="566">
        <v>1</v>
      </c>
      <c r="D434" s="566"/>
      <c r="E434" s="566"/>
      <c r="F434" s="566"/>
      <c r="G434" s="566"/>
      <c r="H434" s="566"/>
      <c r="I434" s="566"/>
      <c r="J434" s="566"/>
      <c r="K434" s="566"/>
      <c r="L434" s="566"/>
      <c r="M434" s="566"/>
      <c r="N434" s="566"/>
      <c r="O434" s="566"/>
      <c r="P434" s="566"/>
      <c r="Q434" s="566"/>
      <c r="R434" s="566"/>
      <c r="S434" s="566"/>
      <c r="T434" s="566"/>
      <c r="U434" s="566"/>
      <c r="V434" s="566"/>
      <c r="W434" s="566"/>
      <c r="X434" s="566"/>
      <c r="Y434" s="566"/>
      <c r="Z434" s="566"/>
      <c r="AA434" s="566"/>
      <c r="AB434" s="566"/>
      <c r="AC434" s="566"/>
      <c r="AD434" s="566"/>
      <c r="AE434" s="566"/>
      <c r="AF434" s="566"/>
      <c r="AG434" s="566"/>
      <c r="AH434" s="566"/>
      <c r="AI434" s="566"/>
      <c r="AJ434" s="566"/>
      <c r="AK434" s="566"/>
      <c r="AL434" s="566"/>
      <c r="AM434" s="566"/>
      <c r="AN434" s="566"/>
      <c r="AO434" s="566"/>
    </row>
    <row r="435" spans="2:41" x14ac:dyDescent="0.15">
      <c r="B435" s="567">
        <v>31</v>
      </c>
      <c r="C435" s="566">
        <v>1</v>
      </c>
      <c r="D435" s="566"/>
      <c r="E435" s="566"/>
      <c r="F435" s="566"/>
      <c r="G435" s="566"/>
      <c r="H435" s="566"/>
      <c r="I435" s="566"/>
      <c r="J435" s="566"/>
      <c r="K435" s="566"/>
      <c r="L435" s="566"/>
      <c r="M435" s="566"/>
      <c r="N435" s="566"/>
      <c r="O435" s="566"/>
      <c r="P435" s="566"/>
      <c r="Q435" s="566"/>
      <c r="R435" s="566"/>
      <c r="S435" s="566"/>
      <c r="T435" s="566"/>
      <c r="U435" s="566"/>
      <c r="V435" s="566"/>
      <c r="W435" s="566"/>
      <c r="X435" s="566"/>
      <c r="Y435" s="566"/>
      <c r="Z435" s="566"/>
      <c r="AA435" s="566"/>
      <c r="AB435" s="566"/>
      <c r="AC435" s="566"/>
      <c r="AD435" s="566"/>
      <c r="AE435" s="566"/>
      <c r="AF435" s="566"/>
      <c r="AG435" s="566"/>
      <c r="AH435" s="566"/>
      <c r="AI435" s="566"/>
      <c r="AJ435" s="566"/>
      <c r="AK435" s="566"/>
      <c r="AL435" s="566"/>
      <c r="AM435" s="566"/>
      <c r="AN435" s="566"/>
      <c r="AO435" s="566"/>
    </row>
    <row r="436" spans="2:41" x14ac:dyDescent="0.15">
      <c r="B436" s="567">
        <v>32</v>
      </c>
      <c r="C436" s="566">
        <v>1</v>
      </c>
      <c r="D436" s="566"/>
      <c r="E436" s="566"/>
      <c r="F436" s="566"/>
      <c r="G436" s="566"/>
      <c r="H436" s="566"/>
      <c r="I436" s="566"/>
      <c r="J436" s="566"/>
      <c r="K436" s="566"/>
      <c r="L436" s="566"/>
      <c r="M436" s="566"/>
      <c r="N436" s="566"/>
      <c r="O436" s="566"/>
      <c r="P436" s="566"/>
      <c r="Q436" s="566"/>
      <c r="R436" s="566"/>
      <c r="S436" s="566"/>
      <c r="T436" s="566"/>
      <c r="U436" s="566"/>
      <c r="V436" s="566"/>
      <c r="W436" s="566"/>
      <c r="X436" s="566"/>
      <c r="Y436" s="566"/>
      <c r="Z436" s="566"/>
      <c r="AA436" s="566"/>
      <c r="AB436" s="566"/>
      <c r="AC436" s="566"/>
      <c r="AD436" s="566"/>
      <c r="AE436" s="566"/>
      <c r="AF436" s="566"/>
      <c r="AG436" s="566"/>
      <c r="AH436" s="566"/>
      <c r="AI436" s="566"/>
      <c r="AJ436" s="566"/>
      <c r="AK436" s="566"/>
      <c r="AL436" s="566"/>
      <c r="AM436" s="566"/>
      <c r="AN436" s="566"/>
      <c r="AO436" s="566"/>
    </row>
    <row r="437" spans="2:41" x14ac:dyDescent="0.15">
      <c r="B437" s="567">
        <v>33</v>
      </c>
      <c r="C437" s="566">
        <v>1</v>
      </c>
      <c r="D437" s="566"/>
      <c r="E437" s="566"/>
      <c r="F437" s="566"/>
      <c r="G437" s="566"/>
      <c r="H437" s="566"/>
      <c r="I437" s="566"/>
      <c r="J437" s="566"/>
      <c r="K437" s="566"/>
      <c r="L437" s="566"/>
      <c r="M437" s="566"/>
      <c r="N437" s="566"/>
      <c r="O437" s="566"/>
      <c r="P437" s="566"/>
      <c r="Q437" s="566"/>
      <c r="R437" s="566"/>
      <c r="S437" s="566"/>
      <c r="T437" s="566"/>
      <c r="U437" s="566"/>
      <c r="V437" s="566"/>
      <c r="W437" s="566"/>
      <c r="X437" s="566"/>
      <c r="Y437" s="566"/>
      <c r="Z437" s="566"/>
      <c r="AA437" s="566"/>
      <c r="AB437" s="566"/>
      <c r="AC437" s="566"/>
      <c r="AD437" s="566"/>
      <c r="AE437" s="566"/>
      <c r="AF437" s="566"/>
      <c r="AG437" s="566"/>
      <c r="AH437" s="566"/>
      <c r="AI437" s="566"/>
      <c r="AJ437" s="566"/>
      <c r="AK437" s="566"/>
      <c r="AL437" s="566"/>
      <c r="AM437" s="566"/>
      <c r="AN437" s="566"/>
      <c r="AO437" s="566"/>
    </row>
    <row r="438" spans="2:41" x14ac:dyDescent="0.15">
      <c r="B438" s="567">
        <v>34</v>
      </c>
      <c r="C438" s="566">
        <v>1</v>
      </c>
      <c r="D438" s="566"/>
      <c r="E438" s="566"/>
      <c r="F438" s="566"/>
      <c r="G438" s="566"/>
      <c r="H438" s="566"/>
      <c r="I438" s="566"/>
      <c r="J438" s="566"/>
      <c r="K438" s="566"/>
      <c r="L438" s="566"/>
      <c r="M438" s="566"/>
      <c r="N438" s="566"/>
      <c r="O438" s="566"/>
      <c r="P438" s="566"/>
      <c r="Q438" s="566"/>
      <c r="R438" s="566"/>
      <c r="S438" s="566"/>
      <c r="T438" s="566"/>
      <c r="U438" s="566"/>
      <c r="V438" s="566"/>
      <c r="W438" s="566"/>
      <c r="X438" s="566"/>
      <c r="Y438" s="566"/>
      <c r="Z438" s="566"/>
      <c r="AA438" s="566"/>
      <c r="AB438" s="566"/>
      <c r="AC438" s="566"/>
      <c r="AD438" s="566"/>
      <c r="AE438" s="566"/>
      <c r="AF438" s="566"/>
      <c r="AG438" s="566"/>
      <c r="AH438" s="566"/>
      <c r="AI438" s="566"/>
      <c r="AJ438" s="566"/>
      <c r="AK438" s="566"/>
      <c r="AL438" s="566"/>
      <c r="AM438" s="566"/>
      <c r="AN438" s="566"/>
      <c r="AO438" s="566"/>
    </row>
    <row r="439" spans="2:41" x14ac:dyDescent="0.15">
      <c r="B439" s="567">
        <v>35</v>
      </c>
      <c r="C439" s="566">
        <v>1</v>
      </c>
      <c r="D439" s="566"/>
      <c r="E439" s="566"/>
      <c r="F439" s="566"/>
      <c r="G439" s="566"/>
      <c r="H439" s="566"/>
      <c r="I439" s="566"/>
      <c r="J439" s="566"/>
      <c r="K439" s="566"/>
      <c r="L439" s="566"/>
      <c r="M439" s="566"/>
      <c r="N439" s="566"/>
      <c r="O439" s="566"/>
      <c r="P439" s="566"/>
      <c r="Q439" s="566"/>
      <c r="R439" s="566"/>
      <c r="S439" s="566"/>
      <c r="T439" s="566"/>
      <c r="U439" s="566"/>
      <c r="V439" s="566"/>
      <c r="W439" s="566"/>
      <c r="X439" s="566"/>
      <c r="Y439" s="566"/>
      <c r="Z439" s="566"/>
      <c r="AA439" s="566"/>
      <c r="AB439" s="566"/>
      <c r="AC439" s="566"/>
      <c r="AD439" s="566"/>
      <c r="AE439" s="566"/>
      <c r="AF439" s="566"/>
      <c r="AG439" s="566"/>
      <c r="AH439" s="566"/>
      <c r="AI439" s="566"/>
      <c r="AJ439" s="566"/>
      <c r="AK439" s="566"/>
      <c r="AL439" s="566"/>
      <c r="AM439" s="566"/>
      <c r="AN439" s="566"/>
      <c r="AO439" s="566"/>
    </row>
    <row r="440" spans="2:41" x14ac:dyDescent="0.15">
      <c r="B440" s="567">
        <v>36</v>
      </c>
      <c r="C440" s="566">
        <v>1</v>
      </c>
      <c r="D440" s="566"/>
      <c r="E440" s="566"/>
      <c r="F440" s="566"/>
      <c r="G440" s="566"/>
      <c r="H440" s="566"/>
      <c r="I440" s="566"/>
      <c r="J440" s="566"/>
      <c r="K440" s="566"/>
      <c r="L440" s="566"/>
      <c r="M440" s="566"/>
      <c r="N440" s="566"/>
      <c r="O440" s="566"/>
      <c r="P440" s="566"/>
      <c r="Q440" s="566"/>
      <c r="R440" s="566"/>
      <c r="S440" s="566"/>
      <c r="T440" s="566"/>
      <c r="U440" s="566"/>
      <c r="V440" s="566"/>
      <c r="W440" s="566"/>
      <c r="X440" s="566"/>
      <c r="Y440" s="566"/>
      <c r="Z440" s="566"/>
      <c r="AA440" s="566"/>
      <c r="AB440" s="566"/>
      <c r="AC440" s="566"/>
      <c r="AD440" s="566"/>
      <c r="AE440" s="566"/>
      <c r="AF440" s="566"/>
      <c r="AG440" s="566"/>
      <c r="AH440" s="566"/>
      <c r="AI440" s="566"/>
      <c r="AJ440" s="566"/>
      <c r="AK440" s="566"/>
      <c r="AL440" s="566"/>
      <c r="AM440" s="566"/>
      <c r="AN440" s="566"/>
      <c r="AO440" s="566"/>
    </row>
    <row r="441" spans="2:41" x14ac:dyDescent="0.15">
      <c r="B441" s="567">
        <v>37</v>
      </c>
      <c r="C441" s="566">
        <v>1</v>
      </c>
      <c r="D441" s="566"/>
      <c r="E441" s="566"/>
      <c r="F441" s="566"/>
      <c r="G441" s="566"/>
      <c r="H441" s="566"/>
      <c r="I441" s="566"/>
      <c r="J441" s="566"/>
      <c r="K441" s="566"/>
      <c r="L441" s="566"/>
      <c r="M441" s="566"/>
      <c r="N441" s="566"/>
      <c r="O441" s="566"/>
      <c r="P441" s="566"/>
      <c r="Q441" s="566"/>
      <c r="R441" s="566"/>
      <c r="S441" s="566"/>
      <c r="T441" s="566"/>
      <c r="U441" s="566"/>
      <c r="V441" s="566"/>
      <c r="W441" s="566"/>
      <c r="X441" s="566"/>
      <c r="Y441" s="566"/>
      <c r="Z441" s="566"/>
      <c r="AA441" s="566"/>
      <c r="AB441" s="566"/>
      <c r="AC441" s="566"/>
      <c r="AD441" s="566"/>
      <c r="AE441" s="566"/>
      <c r="AF441" s="566"/>
      <c r="AG441" s="566"/>
      <c r="AH441" s="566"/>
      <c r="AI441" s="566"/>
      <c r="AJ441" s="566"/>
      <c r="AK441" s="566"/>
      <c r="AL441" s="566"/>
      <c r="AM441" s="566"/>
      <c r="AN441" s="566"/>
      <c r="AO441" s="566"/>
    </row>
    <row r="442" spans="2:41" x14ac:dyDescent="0.15">
      <c r="B442" s="567">
        <v>38</v>
      </c>
      <c r="C442" s="566">
        <v>1</v>
      </c>
      <c r="D442" s="566"/>
      <c r="E442" s="566"/>
      <c r="F442" s="566"/>
      <c r="G442" s="566"/>
      <c r="H442" s="566"/>
      <c r="I442" s="566"/>
      <c r="J442" s="566"/>
      <c r="K442" s="566"/>
      <c r="L442" s="566"/>
      <c r="M442" s="566"/>
      <c r="N442" s="566"/>
      <c r="O442" s="566"/>
      <c r="P442" s="566"/>
      <c r="Q442" s="566"/>
      <c r="R442" s="566"/>
      <c r="S442" s="566"/>
      <c r="T442" s="566"/>
      <c r="U442" s="566"/>
      <c r="V442" s="566"/>
      <c r="W442" s="566"/>
      <c r="X442" s="566"/>
      <c r="Y442" s="566"/>
      <c r="Z442" s="566"/>
      <c r="AA442" s="566"/>
      <c r="AB442" s="566"/>
      <c r="AC442" s="566"/>
      <c r="AD442" s="566"/>
      <c r="AE442" s="566"/>
      <c r="AF442" s="566"/>
      <c r="AG442" s="566"/>
      <c r="AH442" s="566"/>
      <c r="AI442" s="566"/>
      <c r="AJ442" s="566"/>
      <c r="AK442" s="566"/>
      <c r="AL442" s="566"/>
      <c r="AM442" s="566"/>
      <c r="AN442" s="566"/>
      <c r="AO442" s="566"/>
    </row>
    <row r="443" spans="2:41" x14ac:dyDescent="0.15">
      <c r="B443" s="567">
        <v>39</v>
      </c>
      <c r="C443" s="566">
        <v>1</v>
      </c>
      <c r="D443" s="566"/>
      <c r="E443" s="566"/>
      <c r="F443" s="566"/>
      <c r="G443" s="566"/>
      <c r="H443" s="566"/>
      <c r="I443" s="566"/>
      <c r="J443" s="566"/>
      <c r="K443" s="566"/>
      <c r="L443" s="566"/>
      <c r="M443" s="566"/>
      <c r="N443" s="566"/>
      <c r="O443" s="566"/>
      <c r="P443" s="566"/>
      <c r="Q443" s="566"/>
      <c r="R443" s="566"/>
      <c r="S443" s="566"/>
      <c r="T443" s="566"/>
      <c r="U443" s="566"/>
      <c r="V443" s="566"/>
      <c r="W443" s="566"/>
      <c r="X443" s="566"/>
      <c r="Y443" s="566"/>
      <c r="Z443" s="566"/>
      <c r="AA443" s="566"/>
      <c r="AB443" s="566"/>
      <c r="AC443" s="566"/>
      <c r="AD443" s="566"/>
      <c r="AE443" s="566"/>
      <c r="AF443" s="566"/>
      <c r="AG443" s="566"/>
      <c r="AH443" s="566"/>
      <c r="AI443" s="566"/>
      <c r="AJ443" s="566"/>
      <c r="AK443" s="566"/>
      <c r="AL443" s="566"/>
      <c r="AM443" s="566"/>
      <c r="AN443" s="566"/>
      <c r="AO443" s="566"/>
    </row>
    <row r="444" spans="2:41" x14ac:dyDescent="0.15">
      <c r="B444" s="568">
        <v>40</v>
      </c>
      <c r="C444" s="566">
        <v>1</v>
      </c>
      <c r="D444" s="566"/>
      <c r="E444" s="566"/>
      <c r="F444" s="566"/>
      <c r="G444" s="566"/>
      <c r="H444" s="566"/>
      <c r="I444" s="566"/>
      <c r="J444" s="566"/>
      <c r="K444" s="566"/>
      <c r="L444" s="566"/>
      <c r="M444" s="566"/>
      <c r="N444" s="566"/>
      <c r="O444" s="566"/>
      <c r="P444" s="566"/>
      <c r="Q444" s="566"/>
      <c r="R444" s="566"/>
      <c r="S444" s="566"/>
      <c r="T444" s="566"/>
      <c r="U444" s="566"/>
      <c r="V444" s="566"/>
      <c r="W444" s="566"/>
      <c r="X444" s="566"/>
      <c r="Y444" s="566"/>
      <c r="Z444" s="566"/>
      <c r="AA444" s="566"/>
      <c r="AB444" s="566"/>
      <c r="AC444" s="566"/>
      <c r="AD444" s="566"/>
      <c r="AE444" s="566"/>
      <c r="AF444" s="566"/>
      <c r="AG444" s="566"/>
      <c r="AH444" s="566"/>
      <c r="AI444" s="566"/>
      <c r="AJ444" s="566"/>
      <c r="AK444" s="566"/>
      <c r="AL444" s="566"/>
      <c r="AM444" s="566"/>
      <c r="AN444" s="566"/>
      <c r="AO444" s="566"/>
    </row>
    <row r="453" spans="2:41" s="563" customFormat="1" ht="14" x14ac:dyDescent="0.15">
      <c r="B453" s="560" t="str" cm="1">
        <f t="array" ref="B453:AO453">TRANSPOSE('Syötä kaupungit KIRJASTOLINKIT!'!$G$1:$G$40)</f>
        <v>MAA 6</v>
      </c>
      <c r="C453" s="564" t="str">
        <v>Vilna</v>
      </c>
      <c r="D453" s="564">
        <v>0</v>
      </c>
      <c r="E453" s="564">
        <v>0</v>
      </c>
      <c r="F453" s="564">
        <v>0</v>
      </c>
      <c r="G453" s="564">
        <v>0</v>
      </c>
      <c r="H453" s="564">
        <v>0</v>
      </c>
      <c r="I453" s="564">
        <v>0</v>
      </c>
      <c r="J453" s="564">
        <v>0</v>
      </c>
      <c r="K453" s="564">
        <v>0</v>
      </c>
      <c r="L453" s="564">
        <v>0</v>
      </c>
      <c r="M453" s="564">
        <v>0</v>
      </c>
      <c r="N453" s="564">
        <v>0</v>
      </c>
      <c r="O453" s="564">
        <v>0</v>
      </c>
      <c r="P453" s="564">
        <v>0</v>
      </c>
      <c r="Q453" s="564">
        <v>0</v>
      </c>
      <c r="R453" s="564">
        <v>0</v>
      </c>
      <c r="S453" s="564">
        <v>0</v>
      </c>
      <c r="T453" s="564">
        <v>0</v>
      </c>
      <c r="U453" s="564">
        <v>0</v>
      </c>
      <c r="V453" s="564">
        <v>0</v>
      </c>
      <c r="W453" s="564">
        <v>0</v>
      </c>
      <c r="X453" s="564">
        <v>0</v>
      </c>
      <c r="Y453" s="564">
        <v>0</v>
      </c>
      <c r="Z453" s="564">
        <v>0</v>
      </c>
      <c r="AA453" s="564">
        <v>0</v>
      </c>
      <c r="AB453" s="564">
        <v>0</v>
      </c>
      <c r="AC453" s="564">
        <v>0</v>
      </c>
      <c r="AD453" s="564">
        <v>0</v>
      </c>
      <c r="AE453" s="564">
        <v>0</v>
      </c>
      <c r="AF453" s="564">
        <v>0</v>
      </c>
      <c r="AG453" s="564">
        <v>0</v>
      </c>
      <c r="AH453" s="564">
        <v>0</v>
      </c>
      <c r="AI453" s="564">
        <v>0</v>
      </c>
      <c r="AJ453" s="564">
        <v>0</v>
      </c>
      <c r="AK453" s="564">
        <v>0</v>
      </c>
      <c r="AL453" s="564">
        <v>0</v>
      </c>
      <c r="AM453" s="564">
        <v>0</v>
      </c>
      <c r="AN453" s="564">
        <v>0</v>
      </c>
      <c r="AO453" s="564">
        <v>0</v>
      </c>
    </row>
    <row r="454" spans="2:41" x14ac:dyDescent="0.15">
      <c r="B454" s="565">
        <v>-40</v>
      </c>
      <c r="C454" s="566">
        <v>0</v>
      </c>
      <c r="D454" s="566"/>
      <c r="E454" s="566"/>
      <c r="F454" s="566"/>
      <c r="G454" s="566"/>
      <c r="H454" s="566"/>
      <c r="I454" s="566"/>
      <c r="J454" s="566"/>
      <c r="K454" s="566"/>
      <c r="L454" s="566"/>
      <c r="M454" s="566"/>
      <c r="N454" s="566"/>
      <c r="O454" s="566"/>
      <c r="P454" s="566"/>
      <c r="Q454" s="566"/>
      <c r="R454" s="566"/>
      <c r="S454" s="566"/>
      <c r="T454" s="566"/>
      <c r="U454" s="566"/>
      <c r="V454" s="566"/>
      <c r="W454" s="566"/>
      <c r="X454" s="566"/>
      <c r="Y454" s="566"/>
      <c r="Z454" s="566"/>
      <c r="AA454" s="566"/>
      <c r="AB454" s="566"/>
      <c r="AC454" s="566"/>
      <c r="AD454" s="566"/>
      <c r="AE454" s="566"/>
      <c r="AF454" s="566"/>
      <c r="AG454" s="566"/>
      <c r="AH454" s="566"/>
      <c r="AI454" s="566"/>
      <c r="AJ454" s="566"/>
      <c r="AK454" s="566"/>
      <c r="AL454" s="566"/>
      <c r="AM454" s="566"/>
      <c r="AN454" s="566"/>
      <c r="AO454" s="566"/>
    </row>
    <row r="455" spans="2:41" x14ac:dyDescent="0.15">
      <c r="B455" s="567">
        <v>-39</v>
      </c>
      <c r="C455" s="566">
        <v>0</v>
      </c>
      <c r="D455" s="566"/>
      <c r="E455" s="566"/>
      <c r="F455" s="566"/>
      <c r="G455" s="566"/>
      <c r="H455" s="566"/>
      <c r="I455" s="566"/>
      <c r="J455" s="566"/>
      <c r="K455" s="566"/>
      <c r="L455" s="566"/>
      <c r="M455" s="566"/>
      <c r="N455" s="566"/>
      <c r="O455" s="566"/>
      <c r="P455" s="566"/>
      <c r="Q455" s="566"/>
      <c r="R455" s="566"/>
      <c r="S455" s="566"/>
      <c r="T455" s="566"/>
      <c r="U455" s="566"/>
      <c r="V455" s="566"/>
      <c r="W455" s="566"/>
      <c r="X455" s="566"/>
      <c r="Y455" s="566"/>
      <c r="Z455" s="566"/>
      <c r="AA455" s="566"/>
      <c r="AB455" s="566"/>
      <c r="AC455" s="566"/>
      <c r="AD455" s="566"/>
      <c r="AE455" s="566"/>
      <c r="AF455" s="566"/>
      <c r="AG455" s="566"/>
      <c r="AH455" s="566"/>
      <c r="AI455" s="566"/>
      <c r="AJ455" s="566"/>
      <c r="AK455" s="566"/>
      <c r="AL455" s="566"/>
      <c r="AM455" s="566"/>
      <c r="AN455" s="566"/>
      <c r="AO455" s="566"/>
    </row>
    <row r="456" spans="2:41" x14ac:dyDescent="0.15">
      <c r="B456" s="567">
        <v>-38</v>
      </c>
      <c r="C456" s="566">
        <v>0</v>
      </c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6"/>
      <c r="X456" s="566"/>
      <c r="Y456" s="566"/>
      <c r="Z456" s="566"/>
      <c r="AA456" s="566"/>
      <c r="AB456" s="566"/>
      <c r="AC456" s="566"/>
      <c r="AD456" s="566"/>
      <c r="AE456" s="566"/>
      <c r="AF456" s="566"/>
      <c r="AG456" s="566"/>
      <c r="AH456" s="566"/>
      <c r="AI456" s="566"/>
      <c r="AJ456" s="566"/>
      <c r="AK456" s="566"/>
      <c r="AL456" s="566"/>
      <c r="AM456" s="566"/>
      <c r="AN456" s="566"/>
      <c r="AO456" s="566"/>
    </row>
    <row r="457" spans="2:41" x14ac:dyDescent="0.15">
      <c r="B457" s="567">
        <v>-37</v>
      </c>
      <c r="C457" s="566">
        <v>0</v>
      </c>
      <c r="D457" s="566"/>
      <c r="E457" s="566"/>
      <c r="F457" s="566"/>
      <c r="G457" s="566"/>
      <c r="H457" s="566"/>
      <c r="I457" s="566"/>
      <c r="J457" s="566"/>
      <c r="K457" s="566"/>
      <c r="L457" s="566"/>
      <c r="M457" s="566"/>
      <c r="N457" s="566"/>
      <c r="O457" s="566"/>
      <c r="P457" s="566"/>
      <c r="Q457" s="566"/>
      <c r="R457" s="566"/>
      <c r="S457" s="566"/>
      <c r="T457" s="566"/>
      <c r="U457" s="566"/>
      <c r="V457" s="566"/>
      <c r="W457" s="566"/>
      <c r="X457" s="566"/>
      <c r="Y457" s="566"/>
      <c r="Z457" s="566"/>
      <c r="AA457" s="566"/>
      <c r="AB457" s="566"/>
      <c r="AC457" s="566"/>
      <c r="AD457" s="566"/>
      <c r="AE457" s="566"/>
      <c r="AF457" s="566"/>
      <c r="AG457" s="566"/>
      <c r="AH457" s="566"/>
      <c r="AI457" s="566"/>
      <c r="AJ457" s="566"/>
      <c r="AK457" s="566"/>
      <c r="AL457" s="566"/>
      <c r="AM457" s="566"/>
      <c r="AN457" s="566"/>
      <c r="AO457" s="566"/>
    </row>
    <row r="458" spans="2:41" x14ac:dyDescent="0.15">
      <c r="B458" s="567">
        <v>-36</v>
      </c>
      <c r="C458" s="566">
        <v>0</v>
      </c>
      <c r="D458" s="566"/>
      <c r="E458" s="566"/>
      <c r="F458" s="566"/>
      <c r="G458" s="566"/>
      <c r="H458" s="566"/>
      <c r="I458" s="566"/>
      <c r="J458" s="566"/>
      <c r="K458" s="566"/>
      <c r="L458" s="566"/>
      <c r="M458" s="566"/>
      <c r="N458" s="566"/>
      <c r="O458" s="566"/>
      <c r="P458" s="566"/>
      <c r="Q458" s="566"/>
      <c r="R458" s="566"/>
      <c r="S458" s="566"/>
      <c r="T458" s="566"/>
      <c r="U458" s="566"/>
      <c r="V458" s="566"/>
      <c r="W458" s="566"/>
      <c r="X458" s="566"/>
      <c r="Y458" s="566"/>
      <c r="Z458" s="566"/>
      <c r="AA458" s="566"/>
      <c r="AB458" s="566"/>
      <c r="AC458" s="566"/>
      <c r="AD458" s="566"/>
      <c r="AE458" s="566"/>
      <c r="AF458" s="566"/>
      <c r="AG458" s="566"/>
      <c r="AH458" s="566"/>
      <c r="AI458" s="566"/>
      <c r="AJ458" s="566"/>
      <c r="AK458" s="566"/>
      <c r="AL458" s="566"/>
      <c r="AM458" s="566"/>
      <c r="AN458" s="566"/>
      <c r="AO458" s="566"/>
    </row>
    <row r="459" spans="2:41" x14ac:dyDescent="0.15">
      <c r="B459" s="567">
        <v>-35</v>
      </c>
      <c r="C459" s="566">
        <v>0</v>
      </c>
      <c r="D459" s="566"/>
      <c r="E459" s="566"/>
      <c r="F459" s="566"/>
      <c r="G459" s="566"/>
      <c r="H459" s="566"/>
      <c r="I459" s="566"/>
      <c r="J459" s="566"/>
      <c r="K459" s="566"/>
      <c r="L459" s="566"/>
      <c r="M459" s="566"/>
      <c r="N459" s="566"/>
      <c r="O459" s="566"/>
      <c r="P459" s="566"/>
      <c r="Q459" s="566"/>
      <c r="R459" s="566"/>
      <c r="S459" s="566"/>
      <c r="T459" s="566"/>
      <c r="U459" s="566"/>
      <c r="V459" s="566"/>
      <c r="W459" s="566"/>
      <c r="X459" s="566"/>
      <c r="Y459" s="566"/>
      <c r="Z459" s="566"/>
      <c r="AA459" s="566"/>
      <c r="AB459" s="566"/>
      <c r="AC459" s="566"/>
      <c r="AD459" s="566"/>
      <c r="AE459" s="566"/>
      <c r="AF459" s="566"/>
      <c r="AG459" s="566"/>
      <c r="AH459" s="566"/>
      <c r="AI459" s="566"/>
      <c r="AJ459" s="566"/>
      <c r="AK459" s="566"/>
      <c r="AL459" s="566"/>
      <c r="AM459" s="566"/>
      <c r="AN459" s="566"/>
      <c r="AO459" s="566"/>
    </row>
    <row r="460" spans="2:41" x14ac:dyDescent="0.15">
      <c r="B460" s="567">
        <v>-34</v>
      </c>
      <c r="C460" s="566">
        <v>0</v>
      </c>
      <c r="D460" s="566"/>
      <c r="E460" s="566"/>
      <c r="F460" s="566"/>
      <c r="G460" s="566"/>
      <c r="H460" s="566"/>
      <c r="I460" s="566"/>
      <c r="J460" s="566"/>
      <c r="K460" s="566"/>
      <c r="L460" s="566"/>
      <c r="M460" s="566"/>
      <c r="N460" s="566"/>
      <c r="O460" s="566"/>
      <c r="P460" s="566"/>
      <c r="Q460" s="566"/>
      <c r="R460" s="566"/>
      <c r="S460" s="566"/>
      <c r="T460" s="566"/>
      <c r="U460" s="566"/>
      <c r="V460" s="566"/>
      <c r="W460" s="566"/>
      <c r="X460" s="566"/>
      <c r="Y460" s="566"/>
      <c r="Z460" s="566"/>
      <c r="AA460" s="566"/>
      <c r="AB460" s="566"/>
      <c r="AC460" s="566"/>
      <c r="AD460" s="566"/>
      <c r="AE460" s="566"/>
      <c r="AF460" s="566"/>
      <c r="AG460" s="566"/>
      <c r="AH460" s="566"/>
      <c r="AI460" s="566"/>
      <c r="AJ460" s="566"/>
      <c r="AK460" s="566"/>
      <c r="AL460" s="566"/>
      <c r="AM460" s="566"/>
      <c r="AN460" s="566"/>
      <c r="AO460" s="566"/>
    </row>
    <row r="461" spans="2:41" x14ac:dyDescent="0.15">
      <c r="B461" s="567">
        <v>-33</v>
      </c>
      <c r="C461" s="566">
        <v>0</v>
      </c>
      <c r="D461" s="566"/>
      <c r="E461" s="566"/>
      <c r="F461" s="566"/>
      <c r="G461" s="566"/>
      <c r="H461" s="566"/>
      <c r="I461" s="566"/>
      <c r="J461" s="566"/>
      <c r="K461" s="566"/>
      <c r="L461" s="566"/>
      <c r="M461" s="566"/>
      <c r="N461" s="566"/>
      <c r="O461" s="566"/>
      <c r="P461" s="566"/>
      <c r="Q461" s="566"/>
      <c r="R461" s="566"/>
      <c r="S461" s="566"/>
      <c r="T461" s="566"/>
      <c r="U461" s="566"/>
      <c r="V461" s="566"/>
      <c r="W461" s="566"/>
      <c r="X461" s="566"/>
      <c r="Y461" s="566"/>
      <c r="Z461" s="566"/>
      <c r="AA461" s="566"/>
      <c r="AB461" s="566"/>
      <c r="AC461" s="566"/>
      <c r="AD461" s="566"/>
      <c r="AE461" s="566"/>
      <c r="AF461" s="566"/>
      <c r="AG461" s="566"/>
      <c r="AH461" s="566"/>
      <c r="AI461" s="566"/>
      <c r="AJ461" s="566"/>
      <c r="AK461" s="566"/>
      <c r="AL461" s="566"/>
      <c r="AM461" s="566"/>
      <c r="AN461" s="566"/>
      <c r="AO461" s="566"/>
    </row>
    <row r="462" spans="2:41" x14ac:dyDescent="0.15">
      <c r="B462" s="567">
        <v>-32</v>
      </c>
      <c r="C462" s="566">
        <v>0</v>
      </c>
      <c r="D462" s="566"/>
      <c r="E462" s="566"/>
      <c r="F462" s="566"/>
      <c r="G462" s="566"/>
      <c r="H462" s="566"/>
      <c r="I462" s="566"/>
      <c r="J462" s="566"/>
      <c r="K462" s="566"/>
      <c r="L462" s="566"/>
      <c r="M462" s="566"/>
      <c r="N462" s="566"/>
      <c r="O462" s="566"/>
      <c r="P462" s="566"/>
      <c r="Q462" s="566"/>
      <c r="R462" s="566"/>
      <c r="S462" s="566"/>
      <c r="T462" s="566"/>
      <c r="U462" s="566"/>
      <c r="V462" s="566"/>
      <c r="W462" s="566"/>
      <c r="X462" s="566"/>
      <c r="Y462" s="566"/>
      <c r="Z462" s="566"/>
      <c r="AA462" s="566"/>
      <c r="AB462" s="566"/>
      <c r="AC462" s="566"/>
      <c r="AD462" s="566"/>
      <c r="AE462" s="566"/>
      <c r="AF462" s="566"/>
      <c r="AG462" s="566"/>
      <c r="AH462" s="566"/>
      <c r="AI462" s="566"/>
      <c r="AJ462" s="566"/>
      <c r="AK462" s="566"/>
      <c r="AL462" s="566"/>
      <c r="AM462" s="566"/>
      <c r="AN462" s="566"/>
      <c r="AO462" s="566"/>
    </row>
    <row r="463" spans="2:41" x14ac:dyDescent="0.15">
      <c r="B463" s="567">
        <v>-31</v>
      </c>
      <c r="C463" s="566">
        <v>0</v>
      </c>
      <c r="D463" s="566"/>
      <c r="E463" s="566"/>
      <c r="F463" s="566"/>
      <c r="G463" s="566"/>
      <c r="H463" s="566"/>
      <c r="I463" s="566"/>
      <c r="J463" s="566"/>
      <c r="K463" s="566"/>
      <c r="L463" s="566"/>
      <c r="M463" s="566"/>
      <c r="N463" s="566"/>
      <c r="O463" s="566"/>
      <c r="P463" s="566"/>
      <c r="Q463" s="566"/>
      <c r="R463" s="566"/>
      <c r="S463" s="566"/>
      <c r="T463" s="566"/>
      <c r="U463" s="566"/>
      <c r="V463" s="566"/>
      <c r="W463" s="566"/>
      <c r="X463" s="566"/>
      <c r="Y463" s="566"/>
      <c r="Z463" s="566"/>
      <c r="AA463" s="566"/>
      <c r="AB463" s="566"/>
      <c r="AC463" s="566"/>
      <c r="AD463" s="566"/>
      <c r="AE463" s="566"/>
      <c r="AF463" s="566"/>
      <c r="AG463" s="566"/>
      <c r="AH463" s="566"/>
      <c r="AI463" s="566"/>
      <c r="AJ463" s="566"/>
      <c r="AK463" s="566"/>
      <c r="AL463" s="566"/>
      <c r="AM463" s="566"/>
      <c r="AN463" s="566"/>
      <c r="AO463" s="566"/>
    </row>
    <row r="464" spans="2:41" x14ac:dyDescent="0.15">
      <c r="B464" s="567">
        <v>-30</v>
      </c>
      <c r="C464" s="566">
        <v>0</v>
      </c>
      <c r="D464" s="566"/>
      <c r="E464" s="566"/>
      <c r="F464" s="566"/>
      <c r="G464" s="566"/>
      <c r="H464" s="566"/>
      <c r="I464" s="566"/>
      <c r="J464" s="566"/>
      <c r="K464" s="566"/>
      <c r="L464" s="566"/>
      <c r="M464" s="566"/>
      <c r="N464" s="566"/>
      <c r="O464" s="566"/>
      <c r="P464" s="566"/>
      <c r="Q464" s="566"/>
      <c r="R464" s="566"/>
      <c r="S464" s="566"/>
      <c r="T464" s="566"/>
      <c r="U464" s="566"/>
      <c r="V464" s="566"/>
      <c r="W464" s="566"/>
      <c r="X464" s="566"/>
      <c r="Y464" s="566"/>
      <c r="Z464" s="566"/>
      <c r="AA464" s="566"/>
      <c r="AB464" s="566"/>
      <c r="AC464" s="566"/>
      <c r="AD464" s="566"/>
      <c r="AE464" s="566"/>
      <c r="AF464" s="566"/>
      <c r="AG464" s="566"/>
      <c r="AH464" s="566"/>
      <c r="AI464" s="566"/>
      <c r="AJ464" s="566"/>
      <c r="AK464" s="566"/>
      <c r="AL464" s="566"/>
      <c r="AM464" s="566"/>
      <c r="AN464" s="566"/>
      <c r="AO464" s="566"/>
    </row>
    <row r="465" spans="2:41" x14ac:dyDescent="0.15">
      <c r="B465" s="567">
        <v>-29</v>
      </c>
      <c r="C465" s="566">
        <v>0</v>
      </c>
      <c r="D465" s="566"/>
      <c r="E465" s="566"/>
      <c r="F465" s="566"/>
      <c r="G465" s="566"/>
      <c r="H465" s="566"/>
      <c r="I465" s="566"/>
      <c r="J465" s="566"/>
      <c r="K465" s="566"/>
      <c r="L465" s="566"/>
      <c r="M465" s="566"/>
      <c r="N465" s="566"/>
      <c r="O465" s="566"/>
      <c r="P465" s="566"/>
      <c r="Q465" s="566"/>
      <c r="R465" s="566"/>
      <c r="S465" s="566"/>
      <c r="T465" s="566"/>
      <c r="U465" s="566"/>
      <c r="V465" s="566"/>
      <c r="W465" s="566"/>
      <c r="X465" s="566"/>
      <c r="Y465" s="566"/>
      <c r="Z465" s="566"/>
      <c r="AA465" s="566"/>
      <c r="AB465" s="566"/>
      <c r="AC465" s="566"/>
      <c r="AD465" s="566"/>
      <c r="AE465" s="566"/>
      <c r="AF465" s="566"/>
      <c r="AG465" s="566"/>
      <c r="AH465" s="566"/>
      <c r="AI465" s="566"/>
      <c r="AJ465" s="566"/>
      <c r="AK465" s="566"/>
      <c r="AL465" s="566"/>
      <c r="AM465" s="566"/>
      <c r="AN465" s="566"/>
      <c r="AO465" s="566"/>
    </row>
    <row r="466" spans="2:41" x14ac:dyDescent="0.15">
      <c r="B466" s="567">
        <v>-28</v>
      </c>
      <c r="C466" s="566">
        <v>0</v>
      </c>
      <c r="D466" s="566"/>
      <c r="E466" s="566"/>
      <c r="F466" s="566"/>
      <c r="G466" s="566"/>
      <c r="H466" s="566"/>
      <c r="I466" s="566"/>
      <c r="J466" s="566"/>
      <c r="K466" s="566"/>
      <c r="L466" s="566"/>
      <c r="M466" s="566"/>
      <c r="N466" s="566"/>
      <c r="O466" s="566"/>
      <c r="P466" s="566"/>
      <c r="Q466" s="566"/>
      <c r="R466" s="566"/>
      <c r="S466" s="566"/>
      <c r="T466" s="566"/>
      <c r="U466" s="566"/>
      <c r="V466" s="566"/>
      <c r="W466" s="566"/>
      <c r="X466" s="566"/>
      <c r="Y466" s="566"/>
      <c r="Z466" s="566"/>
      <c r="AA466" s="566"/>
      <c r="AB466" s="566"/>
      <c r="AC466" s="566"/>
      <c r="AD466" s="566"/>
      <c r="AE466" s="566"/>
      <c r="AF466" s="566"/>
      <c r="AG466" s="566"/>
      <c r="AH466" s="566"/>
      <c r="AI466" s="566"/>
      <c r="AJ466" s="566"/>
      <c r="AK466" s="566"/>
      <c r="AL466" s="566"/>
      <c r="AM466" s="566"/>
      <c r="AN466" s="566"/>
      <c r="AO466" s="566"/>
    </row>
    <row r="467" spans="2:41" x14ac:dyDescent="0.15">
      <c r="B467" s="567">
        <v>-27</v>
      </c>
      <c r="C467" s="566">
        <v>0</v>
      </c>
      <c r="D467" s="566"/>
      <c r="E467" s="566"/>
      <c r="F467" s="566"/>
      <c r="G467" s="566"/>
      <c r="H467" s="566"/>
      <c r="I467" s="566"/>
      <c r="J467" s="566"/>
      <c r="K467" s="566"/>
      <c r="L467" s="566"/>
      <c r="M467" s="566"/>
      <c r="N467" s="566"/>
      <c r="O467" s="566"/>
      <c r="P467" s="566"/>
      <c r="Q467" s="566"/>
      <c r="R467" s="566"/>
      <c r="S467" s="566"/>
      <c r="T467" s="566"/>
      <c r="U467" s="566"/>
      <c r="V467" s="566"/>
      <c r="W467" s="566"/>
      <c r="X467" s="566"/>
      <c r="Y467" s="566"/>
      <c r="Z467" s="566"/>
      <c r="AA467" s="566"/>
      <c r="AB467" s="566"/>
      <c r="AC467" s="566"/>
      <c r="AD467" s="566"/>
      <c r="AE467" s="566"/>
      <c r="AF467" s="566"/>
      <c r="AG467" s="566"/>
      <c r="AH467" s="566"/>
      <c r="AI467" s="566"/>
      <c r="AJ467" s="566"/>
      <c r="AK467" s="566"/>
      <c r="AL467" s="566"/>
      <c r="AM467" s="566"/>
      <c r="AN467" s="566"/>
      <c r="AO467" s="566"/>
    </row>
    <row r="468" spans="2:41" x14ac:dyDescent="0.15">
      <c r="B468" s="567">
        <v>-26</v>
      </c>
      <c r="C468" s="566">
        <v>0</v>
      </c>
      <c r="D468" s="566"/>
      <c r="E468" s="566"/>
      <c r="F468" s="566"/>
      <c r="G468" s="566"/>
      <c r="H468" s="566"/>
      <c r="I468" s="566"/>
      <c r="J468" s="566"/>
      <c r="K468" s="566"/>
      <c r="L468" s="566"/>
      <c r="M468" s="566"/>
      <c r="N468" s="566"/>
      <c r="O468" s="566"/>
      <c r="P468" s="566"/>
      <c r="Q468" s="566"/>
      <c r="R468" s="566"/>
      <c r="S468" s="566"/>
      <c r="T468" s="566"/>
      <c r="U468" s="566"/>
      <c r="V468" s="566"/>
      <c r="W468" s="566"/>
      <c r="X468" s="566"/>
      <c r="Y468" s="566"/>
      <c r="Z468" s="566"/>
      <c r="AA468" s="566"/>
      <c r="AB468" s="566"/>
      <c r="AC468" s="566"/>
      <c r="AD468" s="566"/>
      <c r="AE468" s="566"/>
      <c r="AF468" s="566"/>
      <c r="AG468" s="566"/>
      <c r="AH468" s="566"/>
      <c r="AI468" s="566"/>
      <c r="AJ468" s="566"/>
      <c r="AK468" s="566"/>
      <c r="AL468" s="566"/>
      <c r="AM468" s="566"/>
      <c r="AN468" s="566"/>
      <c r="AO468" s="566"/>
    </row>
    <row r="469" spans="2:41" x14ac:dyDescent="0.15">
      <c r="B469" s="567">
        <v>-25</v>
      </c>
      <c r="C469" s="566">
        <v>0</v>
      </c>
      <c r="D469" s="566"/>
      <c r="E469" s="566"/>
      <c r="F469" s="566"/>
      <c r="G469" s="566"/>
      <c r="H469" s="566"/>
      <c r="I469" s="566"/>
      <c r="J469" s="566"/>
      <c r="K469" s="566"/>
      <c r="L469" s="566"/>
      <c r="M469" s="566"/>
      <c r="N469" s="566"/>
      <c r="O469" s="566"/>
      <c r="P469" s="566"/>
      <c r="Q469" s="566"/>
      <c r="R469" s="566"/>
      <c r="S469" s="566"/>
      <c r="T469" s="566"/>
      <c r="U469" s="566"/>
      <c r="V469" s="566"/>
      <c r="W469" s="566"/>
      <c r="X469" s="566"/>
      <c r="Y469" s="566"/>
      <c r="Z469" s="566"/>
      <c r="AA469" s="566"/>
      <c r="AB469" s="566"/>
      <c r="AC469" s="566"/>
      <c r="AD469" s="566"/>
      <c r="AE469" s="566"/>
      <c r="AF469" s="566"/>
      <c r="AG469" s="566"/>
      <c r="AH469" s="566"/>
      <c r="AI469" s="566"/>
      <c r="AJ469" s="566"/>
      <c r="AK469" s="566"/>
      <c r="AL469" s="566"/>
      <c r="AM469" s="566"/>
      <c r="AN469" s="566"/>
      <c r="AO469" s="566"/>
    </row>
    <row r="470" spans="2:41" x14ac:dyDescent="0.15">
      <c r="B470" s="567">
        <v>-24</v>
      </c>
      <c r="C470" s="566">
        <v>0</v>
      </c>
      <c r="D470" s="566"/>
      <c r="E470" s="566"/>
      <c r="F470" s="566"/>
      <c r="G470" s="566"/>
      <c r="H470" s="566"/>
      <c r="I470" s="566"/>
      <c r="J470" s="566"/>
      <c r="K470" s="566"/>
      <c r="L470" s="566"/>
      <c r="M470" s="566"/>
      <c r="N470" s="566"/>
      <c r="O470" s="566"/>
      <c r="P470" s="566"/>
      <c r="Q470" s="566"/>
      <c r="R470" s="566"/>
      <c r="S470" s="566"/>
      <c r="T470" s="566"/>
      <c r="U470" s="566"/>
      <c r="V470" s="566"/>
      <c r="W470" s="566"/>
      <c r="X470" s="566"/>
      <c r="Y470" s="566"/>
      <c r="Z470" s="566"/>
      <c r="AA470" s="566"/>
      <c r="AB470" s="566"/>
      <c r="AC470" s="566"/>
      <c r="AD470" s="566"/>
      <c r="AE470" s="566"/>
      <c r="AF470" s="566"/>
      <c r="AG470" s="566"/>
      <c r="AH470" s="566"/>
      <c r="AI470" s="566"/>
      <c r="AJ470" s="566"/>
      <c r="AK470" s="566"/>
      <c r="AL470" s="566"/>
      <c r="AM470" s="566"/>
      <c r="AN470" s="566"/>
      <c r="AO470" s="566"/>
    </row>
    <row r="471" spans="2:41" x14ac:dyDescent="0.15">
      <c r="B471" s="567">
        <v>-23</v>
      </c>
      <c r="C471" s="566">
        <v>0</v>
      </c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6"/>
    </row>
    <row r="472" spans="2:41" x14ac:dyDescent="0.15">
      <c r="B472" s="567">
        <v>-22</v>
      </c>
      <c r="C472" s="566">
        <v>0</v>
      </c>
      <c r="D472" s="566"/>
      <c r="E472" s="566"/>
      <c r="F472" s="566"/>
      <c r="G472" s="566"/>
      <c r="H472" s="566"/>
      <c r="I472" s="566"/>
      <c r="J472" s="566"/>
      <c r="K472" s="566"/>
      <c r="L472" s="566"/>
      <c r="M472" s="566"/>
      <c r="N472" s="566"/>
      <c r="O472" s="566"/>
      <c r="P472" s="566"/>
      <c r="Q472" s="566"/>
      <c r="R472" s="566"/>
      <c r="S472" s="566"/>
      <c r="T472" s="566"/>
      <c r="U472" s="566"/>
      <c r="V472" s="566"/>
      <c r="W472" s="566"/>
      <c r="X472" s="566"/>
      <c r="Y472" s="566"/>
      <c r="Z472" s="566"/>
      <c r="AA472" s="566"/>
      <c r="AB472" s="566"/>
      <c r="AC472" s="566"/>
      <c r="AD472" s="566"/>
      <c r="AE472" s="566"/>
      <c r="AF472" s="566"/>
      <c r="AG472" s="566"/>
      <c r="AH472" s="566"/>
      <c r="AI472" s="566"/>
      <c r="AJ472" s="566"/>
      <c r="AK472" s="566"/>
      <c r="AL472" s="566"/>
      <c r="AM472" s="566"/>
      <c r="AN472" s="566"/>
      <c r="AO472" s="566"/>
    </row>
    <row r="473" spans="2:41" x14ac:dyDescent="0.15">
      <c r="B473" s="567">
        <v>-21</v>
      </c>
      <c r="C473" s="566">
        <v>0</v>
      </c>
      <c r="D473" s="566"/>
      <c r="E473" s="566"/>
      <c r="F473" s="566"/>
      <c r="G473" s="566"/>
      <c r="H473" s="566"/>
      <c r="I473" s="566"/>
      <c r="J473" s="566"/>
      <c r="K473" s="566"/>
      <c r="L473" s="566"/>
      <c r="M473" s="566"/>
      <c r="N473" s="566"/>
      <c r="O473" s="566"/>
      <c r="P473" s="566"/>
      <c r="Q473" s="566"/>
      <c r="R473" s="566"/>
      <c r="S473" s="566"/>
      <c r="T473" s="566"/>
      <c r="U473" s="566"/>
      <c r="V473" s="566"/>
      <c r="W473" s="566"/>
      <c r="X473" s="566"/>
      <c r="Y473" s="566"/>
      <c r="Z473" s="566"/>
      <c r="AA473" s="566"/>
      <c r="AB473" s="566"/>
      <c r="AC473" s="566"/>
      <c r="AD473" s="566"/>
      <c r="AE473" s="566"/>
      <c r="AF473" s="566"/>
      <c r="AG473" s="566"/>
      <c r="AH473" s="566"/>
      <c r="AI473" s="566"/>
      <c r="AJ473" s="566"/>
      <c r="AK473" s="566"/>
      <c r="AL473" s="566"/>
      <c r="AM473" s="566"/>
      <c r="AN473" s="566"/>
      <c r="AO473" s="566"/>
    </row>
    <row r="474" spans="2:41" x14ac:dyDescent="0.15">
      <c r="B474" s="567">
        <v>-20</v>
      </c>
      <c r="C474" s="566">
        <v>0</v>
      </c>
      <c r="D474" s="566"/>
      <c r="E474" s="566"/>
      <c r="F474" s="566"/>
      <c r="G474" s="566"/>
      <c r="H474" s="566"/>
      <c r="I474" s="566"/>
      <c r="J474" s="566"/>
      <c r="K474" s="566"/>
      <c r="L474" s="566"/>
      <c r="M474" s="566"/>
      <c r="N474" s="566"/>
      <c r="O474" s="566"/>
      <c r="P474" s="566"/>
      <c r="Q474" s="566"/>
      <c r="R474" s="566"/>
      <c r="S474" s="566"/>
      <c r="T474" s="566"/>
      <c r="U474" s="566"/>
      <c r="V474" s="566"/>
      <c r="W474" s="566"/>
      <c r="X474" s="566"/>
      <c r="Y474" s="566"/>
      <c r="Z474" s="566"/>
      <c r="AA474" s="566"/>
      <c r="AB474" s="566"/>
      <c r="AC474" s="566"/>
      <c r="AD474" s="566"/>
      <c r="AE474" s="566"/>
      <c r="AF474" s="566"/>
      <c r="AG474" s="566"/>
      <c r="AH474" s="566"/>
      <c r="AI474" s="566"/>
      <c r="AJ474" s="566"/>
      <c r="AK474" s="566"/>
      <c r="AL474" s="566"/>
      <c r="AM474" s="566"/>
      <c r="AN474" s="566"/>
      <c r="AO474" s="566"/>
    </row>
    <row r="475" spans="2:41" x14ac:dyDescent="0.15">
      <c r="B475" s="567">
        <v>-19</v>
      </c>
      <c r="C475" s="566">
        <v>0</v>
      </c>
      <c r="D475" s="566"/>
      <c r="E475" s="566"/>
      <c r="F475" s="566"/>
      <c r="G475" s="566"/>
      <c r="H475" s="566"/>
      <c r="I475" s="566"/>
      <c r="J475" s="566"/>
      <c r="K475" s="566"/>
      <c r="L475" s="566"/>
      <c r="M475" s="566"/>
      <c r="N475" s="566"/>
      <c r="O475" s="566"/>
      <c r="P475" s="566"/>
      <c r="Q475" s="566"/>
      <c r="R475" s="566"/>
      <c r="S475" s="566"/>
      <c r="T475" s="566"/>
      <c r="U475" s="566"/>
      <c r="V475" s="566"/>
      <c r="W475" s="566"/>
      <c r="X475" s="566"/>
      <c r="Y475" s="566"/>
      <c r="Z475" s="566"/>
      <c r="AA475" s="566"/>
      <c r="AB475" s="566"/>
      <c r="AC475" s="566"/>
      <c r="AD475" s="566"/>
      <c r="AE475" s="566"/>
      <c r="AF475" s="566"/>
      <c r="AG475" s="566"/>
      <c r="AH475" s="566"/>
      <c r="AI475" s="566"/>
      <c r="AJ475" s="566"/>
      <c r="AK475" s="566"/>
      <c r="AL475" s="566"/>
      <c r="AM475" s="566"/>
      <c r="AN475" s="566"/>
      <c r="AO475" s="566"/>
    </row>
    <row r="476" spans="2:41" x14ac:dyDescent="0.15">
      <c r="B476" s="567">
        <v>-18</v>
      </c>
      <c r="C476" s="566">
        <v>0</v>
      </c>
      <c r="D476" s="566"/>
      <c r="E476" s="566"/>
      <c r="F476" s="566"/>
      <c r="G476" s="566"/>
      <c r="H476" s="566"/>
      <c r="I476" s="566"/>
      <c r="J476" s="566"/>
      <c r="K476" s="566"/>
      <c r="L476" s="566"/>
      <c r="M476" s="566"/>
      <c r="N476" s="566"/>
      <c r="O476" s="566"/>
      <c r="P476" s="566"/>
      <c r="Q476" s="566"/>
      <c r="R476" s="566"/>
      <c r="S476" s="566"/>
      <c r="T476" s="566"/>
      <c r="U476" s="566"/>
      <c r="V476" s="566"/>
      <c r="W476" s="566"/>
      <c r="X476" s="566"/>
      <c r="Y476" s="566"/>
      <c r="Z476" s="566"/>
      <c r="AA476" s="566"/>
      <c r="AB476" s="566"/>
      <c r="AC476" s="566"/>
      <c r="AD476" s="566"/>
      <c r="AE476" s="566"/>
      <c r="AF476" s="566"/>
      <c r="AG476" s="566"/>
      <c r="AH476" s="566"/>
      <c r="AI476" s="566"/>
      <c r="AJ476" s="566"/>
      <c r="AK476" s="566"/>
      <c r="AL476" s="566"/>
      <c r="AM476" s="566"/>
      <c r="AN476" s="566"/>
      <c r="AO476" s="566"/>
    </row>
    <row r="477" spans="2:41" x14ac:dyDescent="0.15">
      <c r="B477" s="567">
        <v>-17</v>
      </c>
      <c r="C477" s="566">
        <v>0</v>
      </c>
      <c r="D477" s="566"/>
      <c r="E477" s="566"/>
      <c r="F477" s="566"/>
      <c r="G477" s="566"/>
      <c r="H477" s="566"/>
      <c r="I477" s="566"/>
      <c r="J477" s="566"/>
      <c r="K477" s="566"/>
      <c r="L477" s="566"/>
      <c r="M477" s="566"/>
      <c r="N477" s="566"/>
      <c r="O477" s="566"/>
      <c r="P477" s="566"/>
      <c r="Q477" s="566"/>
      <c r="R477" s="566"/>
      <c r="S477" s="566"/>
      <c r="T477" s="566"/>
      <c r="U477" s="566"/>
      <c r="V477" s="566"/>
      <c r="W477" s="566"/>
      <c r="X477" s="566"/>
      <c r="Y477" s="566"/>
      <c r="Z477" s="566"/>
      <c r="AA477" s="566"/>
      <c r="AB477" s="566"/>
      <c r="AC477" s="566"/>
      <c r="AD477" s="566"/>
      <c r="AE477" s="566"/>
      <c r="AF477" s="566"/>
      <c r="AG477" s="566"/>
      <c r="AH477" s="566"/>
      <c r="AI477" s="566"/>
      <c r="AJ477" s="566"/>
      <c r="AK477" s="566"/>
      <c r="AL477" s="566"/>
      <c r="AM477" s="566"/>
      <c r="AN477" s="566"/>
      <c r="AO477" s="566"/>
    </row>
    <row r="478" spans="2:41" x14ac:dyDescent="0.15">
      <c r="B478" s="567">
        <v>-16</v>
      </c>
      <c r="C478" s="566">
        <v>0</v>
      </c>
      <c r="D478" s="566"/>
      <c r="E478" s="566"/>
      <c r="F478" s="566"/>
      <c r="G478" s="566"/>
      <c r="H478" s="566"/>
      <c r="I478" s="566"/>
      <c r="J478" s="566"/>
      <c r="K478" s="566"/>
      <c r="L478" s="566"/>
      <c r="M478" s="566"/>
      <c r="N478" s="566"/>
      <c r="O478" s="566"/>
      <c r="P478" s="566"/>
      <c r="Q478" s="566"/>
      <c r="R478" s="566"/>
      <c r="S478" s="566"/>
      <c r="T478" s="566"/>
      <c r="U478" s="566"/>
      <c r="V478" s="566"/>
      <c r="W478" s="566"/>
      <c r="X478" s="566"/>
      <c r="Y478" s="566"/>
      <c r="Z478" s="566"/>
      <c r="AA478" s="566"/>
      <c r="AB478" s="566"/>
      <c r="AC478" s="566"/>
      <c r="AD478" s="566"/>
      <c r="AE478" s="566"/>
      <c r="AF478" s="566"/>
      <c r="AG478" s="566"/>
      <c r="AH478" s="566"/>
      <c r="AI478" s="566"/>
      <c r="AJ478" s="566"/>
      <c r="AK478" s="566"/>
      <c r="AL478" s="566"/>
      <c r="AM478" s="566"/>
      <c r="AN478" s="566"/>
      <c r="AO478" s="566"/>
    </row>
    <row r="479" spans="2:41" x14ac:dyDescent="0.15">
      <c r="B479" s="567">
        <v>-15</v>
      </c>
      <c r="C479" s="566">
        <v>1.1415525114155251E-4</v>
      </c>
      <c r="D479" s="566"/>
      <c r="E479" s="566"/>
      <c r="F479" s="566"/>
      <c r="G479" s="566"/>
      <c r="H479" s="566"/>
      <c r="I479" s="566"/>
      <c r="J479" s="566"/>
      <c r="K479" s="566"/>
      <c r="L479" s="566"/>
      <c r="M479" s="566"/>
      <c r="N479" s="566"/>
      <c r="O479" s="566"/>
      <c r="P479" s="566"/>
      <c r="Q479" s="566"/>
      <c r="R479" s="566"/>
      <c r="S479" s="566"/>
      <c r="T479" s="566"/>
      <c r="U479" s="566"/>
      <c r="V479" s="566"/>
      <c r="W479" s="566"/>
      <c r="X479" s="566"/>
      <c r="Y479" s="566"/>
      <c r="Z479" s="566"/>
      <c r="AA479" s="566"/>
      <c r="AB479" s="566"/>
      <c r="AC479" s="566"/>
      <c r="AD479" s="566"/>
      <c r="AE479" s="566"/>
      <c r="AF479" s="566"/>
      <c r="AG479" s="566"/>
      <c r="AH479" s="566"/>
      <c r="AI479" s="566"/>
      <c r="AJ479" s="566"/>
      <c r="AK479" s="566"/>
      <c r="AL479" s="566"/>
      <c r="AM479" s="566"/>
      <c r="AN479" s="566"/>
      <c r="AO479" s="566"/>
    </row>
    <row r="480" spans="2:41" x14ac:dyDescent="0.15">
      <c r="B480" s="567">
        <v>-14</v>
      </c>
      <c r="C480" s="566">
        <v>6.8493150684931507E-4</v>
      </c>
      <c r="D480" s="566"/>
      <c r="E480" s="566"/>
      <c r="F480" s="566"/>
      <c r="G480" s="566"/>
      <c r="H480" s="566"/>
      <c r="I480" s="566"/>
      <c r="J480" s="566"/>
      <c r="K480" s="566"/>
      <c r="L480" s="566"/>
      <c r="M480" s="566"/>
      <c r="N480" s="566"/>
      <c r="O480" s="566"/>
      <c r="P480" s="566"/>
      <c r="Q480" s="566"/>
      <c r="R480" s="566"/>
      <c r="S480" s="566"/>
      <c r="T480" s="566"/>
      <c r="U480" s="566"/>
      <c r="V480" s="566"/>
      <c r="W480" s="566"/>
      <c r="X480" s="566"/>
      <c r="Y480" s="566"/>
      <c r="Z480" s="566"/>
      <c r="AA480" s="566"/>
      <c r="AB480" s="566"/>
      <c r="AC480" s="566"/>
      <c r="AD480" s="566"/>
      <c r="AE480" s="566"/>
      <c r="AF480" s="566"/>
      <c r="AG480" s="566"/>
      <c r="AH480" s="566"/>
      <c r="AI480" s="566"/>
      <c r="AJ480" s="566"/>
      <c r="AK480" s="566"/>
      <c r="AL480" s="566"/>
      <c r="AM480" s="566"/>
      <c r="AN480" s="566"/>
      <c r="AO480" s="566"/>
    </row>
    <row r="481" spans="2:41" x14ac:dyDescent="0.15">
      <c r="B481" s="567">
        <v>-13</v>
      </c>
      <c r="C481" s="566">
        <v>1.5981735159817352E-3</v>
      </c>
      <c r="D481" s="566"/>
      <c r="E481" s="566"/>
      <c r="F481" s="566"/>
      <c r="G481" s="566"/>
      <c r="H481" s="566"/>
      <c r="I481" s="566"/>
      <c r="J481" s="566"/>
      <c r="K481" s="566"/>
      <c r="L481" s="566"/>
      <c r="M481" s="566"/>
      <c r="N481" s="566"/>
      <c r="O481" s="566"/>
      <c r="P481" s="566"/>
      <c r="Q481" s="566"/>
      <c r="R481" s="566"/>
      <c r="S481" s="566"/>
      <c r="T481" s="566"/>
      <c r="U481" s="566"/>
      <c r="V481" s="566"/>
      <c r="W481" s="566"/>
      <c r="X481" s="566"/>
      <c r="Y481" s="566"/>
      <c r="Z481" s="566"/>
      <c r="AA481" s="566"/>
      <c r="AB481" s="566"/>
      <c r="AC481" s="566"/>
      <c r="AD481" s="566"/>
      <c r="AE481" s="566"/>
      <c r="AF481" s="566"/>
      <c r="AG481" s="566"/>
      <c r="AH481" s="566"/>
      <c r="AI481" s="566"/>
      <c r="AJ481" s="566"/>
      <c r="AK481" s="566"/>
      <c r="AL481" s="566"/>
      <c r="AM481" s="566"/>
      <c r="AN481" s="566"/>
      <c r="AO481" s="566"/>
    </row>
    <row r="482" spans="2:41" x14ac:dyDescent="0.15">
      <c r="B482" s="567">
        <v>-12</v>
      </c>
      <c r="C482" s="566">
        <v>3.767123287671233E-3</v>
      </c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6"/>
      <c r="X482" s="566"/>
      <c r="Y482" s="566"/>
      <c r="Z482" s="566"/>
      <c r="AA482" s="566"/>
      <c r="AB482" s="566"/>
      <c r="AC482" s="566"/>
      <c r="AD482" s="566"/>
      <c r="AE482" s="566"/>
      <c r="AF482" s="566"/>
      <c r="AG482" s="566"/>
      <c r="AH482" s="566"/>
      <c r="AI482" s="566"/>
      <c r="AJ482" s="566"/>
      <c r="AK482" s="566"/>
      <c r="AL482" s="566"/>
      <c r="AM482" s="566"/>
      <c r="AN482" s="566"/>
      <c r="AO482" s="566"/>
    </row>
    <row r="483" spans="2:41" x14ac:dyDescent="0.15">
      <c r="B483" s="567">
        <v>-11</v>
      </c>
      <c r="C483" s="566">
        <v>5.4794520547945206E-3</v>
      </c>
      <c r="D483" s="566"/>
      <c r="E483" s="566"/>
      <c r="F483" s="566"/>
      <c r="G483" s="566"/>
      <c r="H483" s="566"/>
      <c r="I483" s="566"/>
      <c r="J483" s="566"/>
      <c r="K483" s="566"/>
      <c r="L483" s="566"/>
      <c r="M483" s="566"/>
      <c r="N483" s="566"/>
      <c r="O483" s="566"/>
      <c r="P483" s="566"/>
      <c r="Q483" s="566"/>
      <c r="R483" s="566"/>
      <c r="S483" s="566"/>
      <c r="T483" s="566"/>
      <c r="U483" s="566"/>
      <c r="V483" s="566"/>
      <c r="W483" s="566"/>
      <c r="X483" s="566"/>
      <c r="Y483" s="566"/>
      <c r="Z483" s="566"/>
      <c r="AA483" s="566"/>
      <c r="AB483" s="566"/>
      <c r="AC483" s="566"/>
      <c r="AD483" s="566"/>
      <c r="AE483" s="566"/>
      <c r="AF483" s="566"/>
      <c r="AG483" s="566"/>
      <c r="AH483" s="566"/>
      <c r="AI483" s="566"/>
      <c r="AJ483" s="566"/>
      <c r="AK483" s="566"/>
      <c r="AL483" s="566"/>
      <c r="AM483" s="566"/>
      <c r="AN483" s="566"/>
      <c r="AO483" s="566"/>
    </row>
    <row r="484" spans="2:41" x14ac:dyDescent="0.15">
      <c r="B484" s="567">
        <v>-10</v>
      </c>
      <c r="C484" s="566">
        <v>8.1050228310502286E-3</v>
      </c>
      <c r="D484" s="566"/>
      <c r="E484" s="566"/>
      <c r="F484" s="566"/>
      <c r="G484" s="566"/>
      <c r="H484" s="566"/>
      <c r="I484" s="566"/>
      <c r="J484" s="566"/>
      <c r="K484" s="566"/>
      <c r="L484" s="566"/>
      <c r="M484" s="566"/>
      <c r="N484" s="566"/>
      <c r="O484" s="566"/>
      <c r="P484" s="566"/>
      <c r="Q484" s="566"/>
      <c r="R484" s="566"/>
      <c r="S484" s="566"/>
      <c r="T484" s="566"/>
      <c r="U484" s="566"/>
      <c r="V484" s="566"/>
      <c r="W484" s="566"/>
      <c r="X484" s="566"/>
      <c r="Y484" s="566"/>
      <c r="Z484" s="566"/>
      <c r="AA484" s="566"/>
      <c r="AB484" s="566"/>
      <c r="AC484" s="566"/>
      <c r="AD484" s="566"/>
      <c r="AE484" s="566"/>
      <c r="AF484" s="566"/>
      <c r="AG484" s="566"/>
      <c r="AH484" s="566"/>
      <c r="AI484" s="566"/>
      <c r="AJ484" s="566"/>
      <c r="AK484" s="566"/>
      <c r="AL484" s="566"/>
      <c r="AM484" s="566"/>
      <c r="AN484" s="566"/>
      <c r="AO484" s="566"/>
    </row>
    <row r="485" spans="2:41" x14ac:dyDescent="0.15">
      <c r="B485" s="567">
        <v>-9</v>
      </c>
      <c r="C485" s="566">
        <v>9.2465753424657536E-3</v>
      </c>
      <c r="D485" s="566"/>
      <c r="E485" s="566"/>
      <c r="F485" s="566"/>
      <c r="G485" s="566"/>
      <c r="H485" s="566"/>
      <c r="I485" s="566"/>
      <c r="J485" s="566"/>
      <c r="K485" s="566"/>
      <c r="L485" s="566"/>
      <c r="M485" s="566"/>
      <c r="N485" s="566"/>
      <c r="O485" s="566"/>
      <c r="P485" s="566"/>
      <c r="Q485" s="566"/>
      <c r="R485" s="566"/>
      <c r="S485" s="566"/>
      <c r="T485" s="566"/>
      <c r="U485" s="566"/>
      <c r="V485" s="566"/>
      <c r="W485" s="566"/>
      <c r="X485" s="566"/>
      <c r="Y485" s="566"/>
      <c r="Z485" s="566"/>
      <c r="AA485" s="566"/>
      <c r="AB485" s="566"/>
      <c r="AC485" s="566"/>
      <c r="AD485" s="566"/>
      <c r="AE485" s="566"/>
      <c r="AF485" s="566"/>
      <c r="AG485" s="566"/>
      <c r="AH485" s="566"/>
      <c r="AI485" s="566"/>
      <c r="AJ485" s="566"/>
      <c r="AK485" s="566"/>
      <c r="AL485" s="566"/>
      <c r="AM485" s="566"/>
      <c r="AN485" s="566"/>
      <c r="AO485" s="566"/>
    </row>
    <row r="486" spans="2:41" x14ac:dyDescent="0.15">
      <c r="B486" s="567">
        <v>-8</v>
      </c>
      <c r="C486" s="566">
        <v>1.2785388127853882E-2</v>
      </c>
      <c r="D486" s="566"/>
      <c r="E486" s="566"/>
      <c r="F486" s="566"/>
      <c r="G486" s="566"/>
      <c r="H486" s="566"/>
      <c r="I486" s="566"/>
      <c r="J486" s="566"/>
      <c r="K486" s="566"/>
      <c r="L486" s="566"/>
      <c r="M486" s="566"/>
      <c r="N486" s="566"/>
      <c r="O486" s="566"/>
      <c r="P486" s="566"/>
      <c r="Q486" s="566"/>
      <c r="R486" s="566"/>
      <c r="S486" s="566"/>
      <c r="T486" s="566"/>
      <c r="U486" s="566"/>
      <c r="V486" s="566"/>
      <c r="W486" s="566"/>
      <c r="X486" s="566"/>
      <c r="Y486" s="566"/>
      <c r="Z486" s="566"/>
      <c r="AA486" s="566"/>
      <c r="AB486" s="566"/>
      <c r="AC486" s="566"/>
      <c r="AD486" s="566"/>
      <c r="AE486" s="566"/>
      <c r="AF486" s="566"/>
      <c r="AG486" s="566"/>
      <c r="AH486" s="566"/>
      <c r="AI486" s="566"/>
      <c r="AJ486" s="566"/>
      <c r="AK486" s="566"/>
      <c r="AL486" s="566"/>
      <c r="AM486" s="566"/>
      <c r="AN486" s="566"/>
      <c r="AO486" s="566"/>
    </row>
    <row r="487" spans="2:41" x14ac:dyDescent="0.15">
      <c r="B487" s="567">
        <v>-7</v>
      </c>
      <c r="C487" s="566">
        <v>1.6552511415525113E-2</v>
      </c>
      <c r="D487" s="566"/>
      <c r="E487" s="566"/>
      <c r="F487" s="566"/>
      <c r="G487" s="566"/>
      <c r="H487" s="566"/>
      <c r="I487" s="566"/>
      <c r="J487" s="566"/>
      <c r="K487" s="566"/>
      <c r="L487" s="566"/>
      <c r="M487" s="566"/>
      <c r="N487" s="566"/>
      <c r="O487" s="566"/>
      <c r="P487" s="566"/>
      <c r="Q487" s="566"/>
      <c r="R487" s="566"/>
      <c r="S487" s="566"/>
      <c r="T487" s="566"/>
      <c r="U487" s="566"/>
      <c r="V487" s="566"/>
      <c r="W487" s="566"/>
      <c r="X487" s="566"/>
      <c r="Y487" s="566"/>
      <c r="Z487" s="566"/>
      <c r="AA487" s="566"/>
      <c r="AB487" s="566"/>
      <c r="AC487" s="566"/>
      <c r="AD487" s="566"/>
      <c r="AE487" s="566"/>
      <c r="AF487" s="566"/>
      <c r="AG487" s="566"/>
      <c r="AH487" s="566"/>
      <c r="AI487" s="566"/>
      <c r="AJ487" s="566"/>
      <c r="AK487" s="566"/>
      <c r="AL487" s="566"/>
      <c r="AM487" s="566"/>
      <c r="AN487" s="566"/>
      <c r="AO487" s="566"/>
    </row>
    <row r="488" spans="2:41" x14ac:dyDescent="0.15">
      <c r="B488" s="567">
        <v>-6</v>
      </c>
      <c r="C488" s="566">
        <v>2.1803652968036529E-2</v>
      </c>
      <c r="D488" s="566"/>
      <c r="E488" s="566"/>
      <c r="F488" s="566"/>
      <c r="G488" s="566"/>
      <c r="H488" s="566"/>
      <c r="I488" s="566"/>
      <c r="J488" s="566"/>
      <c r="K488" s="566"/>
      <c r="L488" s="566"/>
      <c r="M488" s="566"/>
      <c r="N488" s="566"/>
      <c r="O488" s="566"/>
      <c r="P488" s="566"/>
      <c r="Q488" s="566"/>
      <c r="R488" s="566"/>
      <c r="S488" s="566"/>
      <c r="T488" s="566"/>
      <c r="U488" s="566"/>
      <c r="V488" s="566"/>
      <c r="W488" s="566"/>
      <c r="X488" s="566"/>
      <c r="Y488" s="566"/>
      <c r="Z488" s="566"/>
      <c r="AA488" s="566"/>
      <c r="AB488" s="566"/>
      <c r="AC488" s="566"/>
      <c r="AD488" s="566"/>
      <c r="AE488" s="566"/>
      <c r="AF488" s="566"/>
      <c r="AG488" s="566"/>
      <c r="AH488" s="566"/>
      <c r="AI488" s="566"/>
      <c r="AJ488" s="566"/>
      <c r="AK488" s="566"/>
      <c r="AL488" s="566"/>
      <c r="AM488" s="566"/>
      <c r="AN488" s="566"/>
      <c r="AO488" s="566"/>
    </row>
    <row r="489" spans="2:41" x14ac:dyDescent="0.15">
      <c r="B489" s="567">
        <v>-5</v>
      </c>
      <c r="C489" s="566">
        <v>2.8767123287671233E-2</v>
      </c>
      <c r="D489" s="566"/>
      <c r="E489" s="566"/>
      <c r="F489" s="566"/>
      <c r="G489" s="566"/>
      <c r="H489" s="566"/>
      <c r="I489" s="566"/>
      <c r="J489" s="566"/>
      <c r="K489" s="566"/>
      <c r="L489" s="566"/>
      <c r="M489" s="566"/>
      <c r="N489" s="566"/>
      <c r="O489" s="566"/>
      <c r="P489" s="566"/>
      <c r="Q489" s="566"/>
      <c r="R489" s="566"/>
      <c r="S489" s="566"/>
      <c r="T489" s="566"/>
      <c r="U489" s="566"/>
      <c r="V489" s="566"/>
      <c r="W489" s="566"/>
      <c r="X489" s="566"/>
      <c r="Y489" s="566"/>
      <c r="Z489" s="566"/>
      <c r="AA489" s="566"/>
      <c r="AB489" s="566"/>
      <c r="AC489" s="566"/>
      <c r="AD489" s="566"/>
      <c r="AE489" s="566"/>
      <c r="AF489" s="566"/>
      <c r="AG489" s="566"/>
      <c r="AH489" s="566"/>
      <c r="AI489" s="566"/>
      <c r="AJ489" s="566"/>
      <c r="AK489" s="566"/>
      <c r="AL489" s="566"/>
      <c r="AM489" s="566"/>
      <c r="AN489" s="566"/>
      <c r="AO489" s="566"/>
    </row>
    <row r="490" spans="2:41" x14ac:dyDescent="0.15">
      <c r="B490" s="567">
        <v>-4</v>
      </c>
      <c r="C490" s="566">
        <v>3.515981735159817E-2</v>
      </c>
      <c r="D490" s="566"/>
      <c r="E490" s="566"/>
      <c r="F490" s="566"/>
      <c r="G490" s="566"/>
      <c r="H490" s="566"/>
      <c r="I490" s="566"/>
      <c r="J490" s="566"/>
      <c r="K490" s="566"/>
      <c r="L490" s="566"/>
      <c r="M490" s="566"/>
      <c r="N490" s="566"/>
      <c r="O490" s="566"/>
      <c r="P490" s="566"/>
      <c r="Q490" s="566"/>
      <c r="R490" s="566"/>
      <c r="S490" s="566"/>
      <c r="T490" s="566"/>
      <c r="U490" s="566"/>
      <c r="V490" s="566"/>
      <c r="W490" s="566"/>
      <c r="X490" s="566"/>
      <c r="Y490" s="566"/>
      <c r="Z490" s="566"/>
      <c r="AA490" s="566"/>
      <c r="AB490" s="566"/>
      <c r="AC490" s="566"/>
      <c r="AD490" s="566"/>
      <c r="AE490" s="566"/>
      <c r="AF490" s="566"/>
      <c r="AG490" s="566"/>
      <c r="AH490" s="566"/>
      <c r="AI490" s="566"/>
      <c r="AJ490" s="566"/>
      <c r="AK490" s="566"/>
      <c r="AL490" s="566"/>
      <c r="AM490" s="566"/>
      <c r="AN490" s="566"/>
      <c r="AO490" s="566"/>
    </row>
    <row r="491" spans="2:41" x14ac:dyDescent="0.15">
      <c r="B491" s="567">
        <v>-3</v>
      </c>
      <c r="C491" s="566">
        <v>4.8858447488584478E-2</v>
      </c>
      <c r="D491" s="566"/>
      <c r="E491" s="566"/>
      <c r="F491" s="566"/>
      <c r="G491" s="566"/>
      <c r="H491" s="566"/>
      <c r="I491" s="566"/>
      <c r="J491" s="566"/>
      <c r="K491" s="566"/>
      <c r="L491" s="566"/>
      <c r="M491" s="566"/>
      <c r="N491" s="566"/>
      <c r="O491" s="566"/>
      <c r="P491" s="566"/>
      <c r="Q491" s="566"/>
      <c r="R491" s="566"/>
      <c r="S491" s="566"/>
      <c r="T491" s="566"/>
      <c r="U491" s="566"/>
      <c r="V491" s="566"/>
      <c r="W491" s="566"/>
      <c r="X491" s="566"/>
      <c r="Y491" s="566"/>
      <c r="Z491" s="566"/>
      <c r="AA491" s="566"/>
      <c r="AB491" s="566"/>
      <c r="AC491" s="566"/>
      <c r="AD491" s="566"/>
      <c r="AE491" s="566"/>
      <c r="AF491" s="566"/>
      <c r="AG491" s="566"/>
      <c r="AH491" s="566"/>
      <c r="AI491" s="566"/>
      <c r="AJ491" s="566"/>
      <c r="AK491" s="566"/>
      <c r="AL491" s="566"/>
      <c r="AM491" s="566"/>
      <c r="AN491" s="566"/>
      <c r="AO491" s="566"/>
    </row>
    <row r="492" spans="2:41" x14ac:dyDescent="0.15">
      <c r="B492" s="567">
        <v>-2</v>
      </c>
      <c r="C492" s="566">
        <v>6.632420091324201E-2</v>
      </c>
      <c r="D492" s="566"/>
      <c r="E492" s="566"/>
      <c r="F492" s="566"/>
      <c r="G492" s="566"/>
      <c r="H492" s="566"/>
      <c r="I492" s="566"/>
      <c r="J492" s="566"/>
      <c r="K492" s="566"/>
      <c r="L492" s="566"/>
      <c r="M492" s="566"/>
      <c r="N492" s="566"/>
      <c r="O492" s="566"/>
      <c r="P492" s="566"/>
      <c r="Q492" s="566"/>
      <c r="R492" s="566"/>
      <c r="S492" s="566"/>
      <c r="T492" s="566"/>
      <c r="U492" s="566"/>
      <c r="V492" s="566"/>
      <c r="W492" s="566"/>
      <c r="X492" s="566"/>
      <c r="Y492" s="566"/>
      <c r="Z492" s="566"/>
      <c r="AA492" s="566"/>
      <c r="AB492" s="566"/>
      <c r="AC492" s="566"/>
      <c r="AD492" s="566"/>
      <c r="AE492" s="566"/>
      <c r="AF492" s="566"/>
      <c r="AG492" s="566"/>
      <c r="AH492" s="566"/>
      <c r="AI492" s="566"/>
      <c r="AJ492" s="566"/>
      <c r="AK492" s="566"/>
      <c r="AL492" s="566"/>
      <c r="AM492" s="566"/>
      <c r="AN492" s="566"/>
      <c r="AO492" s="566"/>
    </row>
    <row r="493" spans="2:41" x14ac:dyDescent="0.15">
      <c r="B493" s="567">
        <v>-1</v>
      </c>
      <c r="C493" s="566">
        <v>0.10091324200913242</v>
      </c>
      <c r="D493" s="566"/>
      <c r="E493" s="566"/>
      <c r="F493" s="566"/>
      <c r="G493" s="566"/>
      <c r="H493" s="566"/>
      <c r="I493" s="566"/>
      <c r="J493" s="566"/>
      <c r="K493" s="566"/>
      <c r="L493" s="566"/>
      <c r="M493" s="566"/>
      <c r="N493" s="566"/>
      <c r="O493" s="566"/>
      <c r="P493" s="566"/>
      <c r="Q493" s="566"/>
      <c r="R493" s="566"/>
      <c r="S493" s="566"/>
      <c r="T493" s="566"/>
      <c r="U493" s="566"/>
      <c r="V493" s="566"/>
      <c r="W493" s="566"/>
      <c r="X493" s="566"/>
      <c r="Y493" s="566"/>
      <c r="Z493" s="566"/>
      <c r="AA493" s="566"/>
      <c r="AB493" s="566"/>
      <c r="AC493" s="566"/>
      <c r="AD493" s="566"/>
      <c r="AE493" s="566"/>
      <c r="AF493" s="566"/>
      <c r="AG493" s="566"/>
      <c r="AH493" s="566"/>
      <c r="AI493" s="566"/>
      <c r="AJ493" s="566"/>
      <c r="AK493" s="566"/>
      <c r="AL493" s="566"/>
      <c r="AM493" s="566"/>
      <c r="AN493" s="566"/>
      <c r="AO493" s="566"/>
    </row>
    <row r="494" spans="2:41" x14ac:dyDescent="0.15">
      <c r="B494" s="567">
        <v>0</v>
      </c>
      <c r="C494" s="566">
        <v>0.13904109589041097</v>
      </c>
      <c r="D494" s="566"/>
      <c r="E494" s="566"/>
      <c r="F494" s="566"/>
      <c r="G494" s="566"/>
      <c r="H494" s="566"/>
      <c r="I494" s="566"/>
      <c r="J494" s="566"/>
      <c r="K494" s="566"/>
      <c r="L494" s="566"/>
      <c r="M494" s="566"/>
      <c r="N494" s="566"/>
      <c r="O494" s="566"/>
      <c r="P494" s="566"/>
      <c r="Q494" s="566"/>
      <c r="R494" s="566"/>
      <c r="S494" s="566"/>
      <c r="T494" s="566"/>
      <c r="U494" s="566"/>
      <c r="V494" s="566"/>
      <c r="W494" s="566"/>
      <c r="X494" s="566"/>
      <c r="Y494" s="566"/>
      <c r="Z494" s="566"/>
      <c r="AA494" s="566"/>
      <c r="AB494" s="566"/>
      <c r="AC494" s="566"/>
      <c r="AD494" s="566"/>
      <c r="AE494" s="566"/>
      <c r="AF494" s="566"/>
      <c r="AG494" s="566"/>
      <c r="AH494" s="566"/>
      <c r="AI494" s="566"/>
      <c r="AJ494" s="566"/>
      <c r="AK494" s="566"/>
      <c r="AL494" s="566"/>
      <c r="AM494" s="566"/>
      <c r="AN494" s="566"/>
      <c r="AO494" s="566"/>
    </row>
    <row r="495" spans="2:41" x14ac:dyDescent="0.15">
      <c r="B495" s="567">
        <v>1</v>
      </c>
      <c r="C495" s="566">
        <v>0.16232876712328767</v>
      </c>
      <c r="D495" s="566"/>
      <c r="E495" s="566"/>
      <c r="F495" s="566"/>
      <c r="G495" s="566"/>
      <c r="H495" s="566"/>
      <c r="I495" s="566"/>
      <c r="J495" s="566"/>
      <c r="K495" s="566"/>
      <c r="L495" s="566"/>
      <c r="M495" s="566"/>
      <c r="N495" s="566"/>
      <c r="O495" s="566"/>
      <c r="P495" s="566"/>
      <c r="Q495" s="566"/>
      <c r="R495" s="566"/>
      <c r="S495" s="566"/>
      <c r="T495" s="566"/>
      <c r="U495" s="566"/>
      <c r="V495" s="566"/>
      <c r="W495" s="566"/>
      <c r="X495" s="566"/>
      <c r="Y495" s="566"/>
      <c r="Z495" s="566"/>
      <c r="AA495" s="566"/>
      <c r="AB495" s="566"/>
      <c r="AC495" s="566"/>
      <c r="AD495" s="566"/>
      <c r="AE495" s="566"/>
      <c r="AF495" s="566"/>
      <c r="AG495" s="566"/>
      <c r="AH495" s="566"/>
      <c r="AI495" s="566"/>
      <c r="AJ495" s="566"/>
      <c r="AK495" s="566"/>
      <c r="AL495" s="566"/>
      <c r="AM495" s="566"/>
      <c r="AN495" s="566"/>
      <c r="AO495" s="566"/>
    </row>
    <row r="496" spans="2:41" x14ac:dyDescent="0.15">
      <c r="B496" s="567">
        <v>2</v>
      </c>
      <c r="C496" s="566">
        <v>0.1980593607305936</v>
      </c>
      <c r="D496" s="566"/>
      <c r="E496" s="566"/>
      <c r="F496" s="566"/>
      <c r="G496" s="566"/>
      <c r="H496" s="566"/>
      <c r="I496" s="566"/>
      <c r="J496" s="566"/>
      <c r="K496" s="566"/>
      <c r="L496" s="566"/>
      <c r="M496" s="566"/>
      <c r="N496" s="566"/>
      <c r="O496" s="566"/>
      <c r="P496" s="566"/>
      <c r="Q496" s="566"/>
      <c r="R496" s="566"/>
      <c r="S496" s="566"/>
      <c r="T496" s="566"/>
      <c r="U496" s="566"/>
      <c r="V496" s="566"/>
      <c r="W496" s="566"/>
      <c r="X496" s="566"/>
      <c r="Y496" s="566"/>
      <c r="Z496" s="566"/>
      <c r="AA496" s="566"/>
      <c r="AB496" s="566"/>
      <c r="AC496" s="566"/>
      <c r="AD496" s="566"/>
      <c r="AE496" s="566"/>
      <c r="AF496" s="566"/>
      <c r="AG496" s="566"/>
      <c r="AH496" s="566"/>
      <c r="AI496" s="566"/>
      <c r="AJ496" s="566"/>
      <c r="AK496" s="566"/>
      <c r="AL496" s="566"/>
      <c r="AM496" s="566"/>
      <c r="AN496" s="566"/>
      <c r="AO496" s="566"/>
    </row>
    <row r="497" spans="2:41" x14ac:dyDescent="0.15">
      <c r="B497" s="567">
        <v>3</v>
      </c>
      <c r="C497" s="566">
        <v>0.24200913242009131</v>
      </c>
      <c r="D497" s="566"/>
      <c r="E497" s="566"/>
      <c r="F497" s="566"/>
      <c r="G497" s="566"/>
      <c r="H497" s="566"/>
      <c r="I497" s="566"/>
      <c r="J497" s="566"/>
      <c r="K497" s="566"/>
      <c r="L497" s="566"/>
      <c r="M497" s="566"/>
      <c r="N497" s="566"/>
      <c r="O497" s="566"/>
      <c r="P497" s="566"/>
      <c r="Q497" s="566"/>
      <c r="R497" s="566"/>
      <c r="S497" s="566"/>
      <c r="T497" s="566"/>
      <c r="U497" s="566"/>
      <c r="V497" s="566"/>
      <c r="W497" s="566"/>
      <c r="X497" s="566"/>
      <c r="Y497" s="566"/>
      <c r="Z497" s="566"/>
      <c r="AA497" s="566"/>
      <c r="AB497" s="566"/>
      <c r="AC497" s="566"/>
      <c r="AD497" s="566"/>
      <c r="AE497" s="566"/>
      <c r="AF497" s="566"/>
      <c r="AG497" s="566"/>
      <c r="AH497" s="566"/>
      <c r="AI497" s="566"/>
      <c r="AJ497" s="566"/>
      <c r="AK497" s="566"/>
      <c r="AL497" s="566"/>
      <c r="AM497" s="566"/>
      <c r="AN497" s="566"/>
      <c r="AO497" s="566"/>
    </row>
    <row r="498" spans="2:41" x14ac:dyDescent="0.15">
      <c r="B498" s="567">
        <v>4</v>
      </c>
      <c r="C498" s="566">
        <v>0.29486301369863016</v>
      </c>
      <c r="D498" s="566"/>
      <c r="E498" s="566"/>
      <c r="F498" s="566"/>
      <c r="G498" s="566"/>
      <c r="H498" s="566"/>
      <c r="I498" s="566"/>
      <c r="J498" s="566"/>
      <c r="K498" s="566"/>
      <c r="L498" s="566"/>
      <c r="M498" s="566"/>
      <c r="N498" s="566"/>
      <c r="O498" s="566"/>
      <c r="P498" s="566"/>
      <c r="Q498" s="566"/>
      <c r="R498" s="566"/>
      <c r="S498" s="566"/>
      <c r="T498" s="566"/>
      <c r="U498" s="566"/>
      <c r="V498" s="566"/>
      <c r="W498" s="566"/>
      <c r="X498" s="566"/>
      <c r="Y498" s="566"/>
      <c r="Z498" s="566"/>
      <c r="AA498" s="566"/>
      <c r="AB498" s="566"/>
      <c r="AC498" s="566"/>
      <c r="AD498" s="566"/>
      <c r="AE498" s="566"/>
      <c r="AF498" s="566"/>
      <c r="AG498" s="566"/>
      <c r="AH498" s="566"/>
      <c r="AI498" s="566"/>
      <c r="AJ498" s="566"/>
      <c r="AK498" s="566"/>
      <c r="AL498" s="566"/>
      <c r="AM498" s="566"/>
      <c r="AN498" s="566"/>
      <c r="AO498" s="566"/>
    </row>
    <row r="499" spans="2:41" x14ac:dyDescent="0.15">
      <c r="B499" s="567">
        <v>5</v>
      </c>
      <c r="C499" s="566">
        <v>0.34166666666666667</v>
      </c>
      <c r="D499" s="566"/>
      <c r="E499" s="566"/>
      <c r="F499" s="566"/>
      <c r="G499" s="566"/>
      <c r="H499" s="566"/>
      <c r="I499" s="566"/>
      <c r="J499" s="566"/>
      <c r="K499" s="566"/>
      <c r="L499" s="566"/>
      <c r="M499" s="566"/>
      <c r="N499" s="566"/>
      <c r="O499" s="566"/>
      <c r="P499" s="566"/>
      <c r="Q499" s="566"/>
      <c r="R499" s="566"/>
      <c r="S499" s="566"/>
      <c r="T499" s="566"/>
      <c r="U499" s="566"/>
      <c r="V499" s="566"/>
      <c r="W499" s="566"/>
      <c r="X499" s="566"/>
      <c r="Y499" s="566"/>
      <c r="Z499" s="566"/>
      <c r="AA499" s="566"/>
      <c r="AB499" s="566"/>
      <c r="AC499" s="566"/>
      <c r="AD499" s="566"/>
      <c r="AE499" s="566"/>
      <c r="AF499" s="566"/>
      <c r="AG499" s="566"/>
      <c r="AH499" s="566"/>
      <c r="AI499" s="566"/>
      <c r="AJ499" s="566"/>
      <c r="AK499" s="566"/>
      <c r="AL499" s="566"/>
      <c r="AM499" s="566"/>
      <c r="AN499" s="566"/>
      <c r="AO499" s="566"/>
    </row>
    <row r="500" spans="2:41" x14ac:dyDescent="0.15">
      <c r="B500" s="567">
        <v>6</v>
      </c>
      <c r="C500" s="566">
        <v>0.36552511415525113</v>
      </c>
      <c r="D500" s="566"/>
      <c r="E500" s="566"/>
      <c r="F500" s="566"/>
      <c r="G500" s="566"/>
      <c r="H500" s="566"/>
      <c r="I500" s="566"/>
      <c r="J500" s="566"/>
      <c r="K500" s="566"/>
      <c r="L500" s="566"/>
      <c r="M500" s="566"/>
      <c r="N500" s="566"/>
      <c r="O500" s="566"/>
      <c r="P500" s="566"/>
      <c r="Q500" s="566"/>
      <c r="R500" s="566"/>
      <c r="S500" s="566"/>
      <c r="T500" s="566"/>
      <c r="U500" s="566"/>
      <c r="V500" s="566"/>
      <c r="W500" s="566"/>
      <c r="X500" s="566"/>
      <c r="Y500" s="566"/>
      <c r="Z500" s="566"/>
      <c r="AA500" s="566"/>
      <c r="AB500" s="566"/>
      <c r="AC500" s="566"/>
      <c r="AD500" s="566"/>
      <c r="AE500" s="566"/>
      <c r="AF500" s="566"/>
      <c r="AG500" s="566"/>
      <c r="AH500" s="566"/>
      <c r="AI500" s="566"/>
      <c r="AJ500" s="566"/>
      <c r="AK500" s="566"/>
      <c r="AL500" s="566"/>
      <c r="AM500" s="566"/>
      <c r="AN500" s="566"/>
      <c r="AO500" s="566"/>
    </row>
    <row r="501" spans="2:41" x14ac:dyDescent="0.15">
      <c r="B501" s="567">
        <v>7</v>
      </c>
      <c r="C501" s="566">
        <v>0.41495433789954339</v>
      </c>
      <c r="D501" s="566"/>
      <c r="E501" s="566"/>
      <c r="F501" s="566"/>
      <c r="G501" s="566"/>
      <c r="H501" s="566"/>
      <c r="I501" s="566"/>
      <c r="J501" s="566"/>
      <c r="K501" s="566"/>
      <c r="L501" s="566"/>
      <c r="M501" s="566"/>
      <c r="N501" s="566"/>
      <c r="O501" s="566"/>
      <c r="P501" s="566"/>
      <c r="Q501" s="566"/>
      <c r="R501" s="566"/>
      <c r="S501" s="566"/>
      <c r="T501" s="566"/>
      <c r="U501" s="566"/>
      <c r="V501" s="566"/>
      <c r="W501" s="566"/>
      <c r="X501" s="566"/>
      <c r="Y501" s="566"/>
      <c r="Z501" s="566"/>
      <c r="AA501" s="566"/>
      <c r="AB501" s="566"/>
      <c r="AC501" s="566"/>
      <c r="AD501" s="566"/>
      <c r="AE501" s="566"/>
      <c r="AF501" s="566"/>
      <c r="AG501" s="566"/>
      <c r="AH501" s="566"/>
      <c r="AI501" s="566"/>
      <c r="AJ501" s="566"/>
      <c r="AK501" s="566"/>
      <c r="AL501" s="566"/>
      <c r="AM501" s="566"/>
      <c r="AN501" s="566"/>
      <c r="AO501" s="566"/>
    </row>
    <row r="502" spans="2:41" x14ac:dyDescent="0.15">
      <c r="B502" s="567">
        <v>8</v>
      </c>
      <c r="C502" s="566">
        <v>0.45878995433789954</v>
      </c>
      <c r="D502" s="566"/>
      <c r="E502" s="566"/>
      <c r="F502" s="566"/>
      <c r="G502" s="566"/>
      <c r="H502" s="566"/>
      <c r="I502" s="566"/>
      <c r="J502" s="566"/>
      <c r="K502" s="566"/>
      <c r="L502" s="566"/>
      <c r="M502" s="566"/>
      <c r="N502" s="566"/>
      <c r="O502" s="566"/>
      <c r="P502" s="566"/>
      <c r="Q502" s="566"/>
      <c r="R502" s="566"/>
      <c r="S502" s="566"/>
      <c r="T502" s="566"/>
      <c r="U502" s="566"/>
      <c r="V502" s="566"/>
      <c r="W502" s="566"/>
      <c r="X502" s="566"/>
      <c r="Y502" s="566"/>
      <c r="Z502" s="566"/>
      <c r="AA502" s="566"/>
      <c r="AB502" s="566"/>
      <c r="AC502" s="566"/>
      <c r="AD502" s="566"/>
      <c r="AE502" s="566"/>
      <c r="AF502" s="566"/>
      <c r="AG502" s="566"/>
      <c r="AH502" s="566"/>
      <c r="AI502" s="566"/>
      <c r="AJ502" s="566"/>
      <c r="AK502" s="566"/>
      <c r="AL502" s="566"/>
      <c r="AM502" s="566"/>
      <c r="AN502" s="566"/>
      <c r="AO502" s="566"/>
    </row>
    <row r="503" spans="2:41" x14ac:dyDescent="0.15">
      <c r="B503" s="567">
        <v>9</v>
      </c>
      <c r="C503" s="566">
        <v>0.50376712328767126</v>
      </c>
      <c r="D503" s="566"/>
      <c r="E503" s="566"/>
      <c r="F503" s="566"/>
      <c r="G503" s="566"/>
      <c r="H503" s="566"/>
      <c r="I503" s="566"/>
      <c r="J503" s="566"/>
      <c r="K503" s="566"/>
      <c r="L503" s="566"/>
      <c r="M503" s="566"/>
      <c r="N503" s="566"/>
      <c r="O503" s="566"/>
      <c r="P503" s="566"/>
      <c r="Q503" s="566"/>
      <c r="R503" s="566"/>
      <c r="S503" s="566"/>
      <c r="T503" s="566"/>
      <c r="U503" s="566"/>
      <c r="V503" s="566"/>
      <c r="W503" s="566"/>
      <c r="X503" s="566"/>
      <c r="Y503" s="566"/>
      <c r="Z503" s="566"/>
      <c r="AA503" s="566"/>
      <c r="AB503" s="566"/>
      <c r="AC503" s="566"/>
      <c r="AD503" s="566"/>
      <c r="AE503" s="566"/>
      <c r="AF503" s="566"/>
      <c r="AG503" s="566"/>
      <c r="AH503" s="566"/>
      <c r="AI503" s="566"/>
      <c r="AJ503" s="566"/>
      <c r="AK503" s="566"/>
      <c r="AL503" s="566"/>
      <c r="AM503" s="566"/>
      <c r="AN503" s="566"/>
      <c r="AO503" s="566"/>
    </row>
    <row r="504" spans="2:41" x14ac:dyDescent="0.15">
      <c r="B504" s="567">
        <v>10</v>
      </c>
      <c r="C504" s="566">
        <v>0.54908675799086759</v>
      </c>
      <c r="D504" s="566"/>
      <c r="E504" s="566"/>
      <c r="F504" s="566"/>
      <c r="G504" s="566"/>
      <c r="H504" s="566"/>
      <c r="I504" s="566"/>
      <c r="J504" s="566"/>
      <c r="K504" s="566"/>
      <c r="L504" s="566"/>
      <c r="M504" s="566"/>
      <c r="N504" s="566"/>
      <c r="O504" s="566"/>
      <c r="P504" s="566"/>
      <c r="Q504" s="566"/>
      <c r="R504" s="566"/>
      <c r="S504" s="566"/>
      <c r="T504" s="566"/>
      <c r="U504" s="566"/>
      <c r="V504" s="566"/>
      <c r="W504" s="566"/>
      <c r="X504" s="566"/>
      <c r="Y504" s="566"/>
      <c r="Z504" s="566"/>
      <c r="AA504" s="566"/>
      <c r="AB504" s="566"/>
      <c r="AC504" s="566"/>
      <c r="AD504" s="566"/>
      <c r="AE504" s="566"/>
      <c r="AF504" s="566"/>
      <c r="AG504" s="566"/>
      <c r="AH504" s="566"/>
      <c r="AI504" s="566"/>
      <c r="AJ504" s="566"/>
      <c r="AK504" s="566"/>
      <c r="AL504" s="566"/>
      <c r="AM504" s="566"/>
      <c r="AN504" s="566"/>
      <c r="AO504" s="566"/>
    </row>
    <row r="505" spans="2:41" x14ac:dyDescent="0.15">
      <c r="B505" s="567">
        <v>11</v>
      </c>
      <c r="C505" s="566">
        <v>0.57066210045662102</v>
      </c>
      <c r="D505" s="566"/>
      <c r="E505" s="566"/>
      <c r="F505" s="566"/>
      <c r="G505" s="566"/>
      <c r="H505" s="566"/>
      <c r="I505" s="566"/>
      <c r="J505" s="566"/>
      <c r="K505" s="566"/>
      <c r="L505" s="566"/>
      <c r="M505" s="566"/>
      <c r="N505" s="566"/>
      <c r="O505" s="566"/>
      <c r="P505" s="566"/>
      <c r="Q505" s="566"/>
      <c r="R505" s="566"/>
      <c r="S505" s="566"/>
      <c r="T505" s="566"/>
      <c r="U505" s="566"/>
      <c r="V505" s="566"/>
      <c r="W505" s="566"/>
      <c r="X505" s="566"/>
      <c r="Y505" s="566"/>
      <c r="Z505" s="566"/>
      <c r="AA505" s="566"/>
      <c r="AB505" s="566"/>
      <c r="AC505" s="566"/>
      <c r="AD505" s="566"/>
      <c r="AE505" s="566"/>
      <c r="AF505" s="566"/>
      <c r="AG505" s="566"/>
      <c r="AH505" s="566"/>
      <c r="AI505" s="566"/>
      <c r="AJ505" s="566"/>
      <c r="AK505" s="566"/>
      <c r="AL505" s="566"/>
      <c r="AM505" s="566"/>
      <c r="AN505" s="566"/>
      <c r="AO505" s="566"/>
    </row>
    <row r="506" spans="2:41" x14ac:dyDescent="0.15">
      <c r="B506" s="567">
        <v>12</v>
      </c>
      <c r="C506" s="566">
        <v>0.61963470319634706</v>
      </c>
      <c r="D506" s="566"/>
      <c r="E506" s="566"/>
      <c r="F506" s="566"/>
      <c r="G506" s="566"/>
      <c r="H506" s="566"/>
      <c r="I506" s="566"/>
      <c r="J506" s="566"/>
      <c r="K506" s="566"/>
      <c r="L506" s="566"/>
      <c r="M506" s="566"/>
      <c r="N506" s="566"/>
      <c r="O506" s="566"/>
      <c r="P506" s="566"/>
      <c r="Q506" s="566"/>
      <c r="R506" s="566"/>
      <c r="S506" s="566"/>
      <c r="T506" s="566"/>
      <c r="U506" s="566"/>
      <c r="V506" s="566"/>
      <c r="W506" s="566"/>
      <c r="X506" s="566"/>
      <c r="Y506" s="566"/>
      <c r="Z506" s="566"/>
      <c r="AA506" s="566"/>
      <c r="AB506" s="566"/>
      <c r="AC506" s="566"/>
      <c r="AD506" s="566"/>
      <c r="AE506" s="566"/>
      <c r="AF506" s="566"/>
      <c r="AG506" s="566"/>
      <c r="AH506" s="566"/>
      <c r="AI506" s="566"/>
      <c r="AJ506" s="566"/>
      <c r="AK506" s="566"/>
      <c r="AL506" s="566"/>
      <c r="AM506" s="566"/>
      <c r="AN506" s="566"/>
      <c r="AO506" s="566"/>
    </row>
    <row r="507" spans="2:41" x14ac:dyDescent="0.15">
      <c r="B507" s="567">
        <v>13</v>
      </c>
      <c r="C507" s="566">
        <v>0.67043378995433789</v>
      </c>
      <c r="D507" s="566"/>
      <c r="E507" s="566"/>
      <c r="F507" s="566"/>
      <c r="G507" s="566"/>
      <c r="H507" s="566"/>
      <c r="I507" s="566"/>
      <c r="J507" s="566"/>
      <c r="K507" s="566"/>
      <c r="L507" s="566"/>
      <c r="M507" s="566"/>
      <c r="N507" s="566"/>
      <c r="O507" s="566"/>
      <c r="P507" s="566"/>
      <c r="Q507" s="566"/>
      <c r="R507" s="566"/>
      <c r="S507" s="566"/>
      <c r="T507" s="566"/>
      <c r="U507" s="566"/>
      <c r="V507" s="566"/>
      <c r="W507" s="566"/>
      <c r="X507" s="566"/>
      <c r="Y507" s="566"/>
      <c r="Z507" s="566"/>
      <c r="AA507" s="566"/>
      <c r="AB507" s="566"/>
      <c r="AC507" s="566"/>
      <c r="AD507" s="566"/>
      <c r="AE507" s="566"/>
      <c r="AF507" s="566"/>
      <c r="AG507" s="566"/>
      <c r="AH507" s="566"/>
      <c r="AI507" s="566"/>
      <c r="AJ507" s="566"/>
      <c r="AK507" s="566"/>
      <c r="AL507" s="566"/>
      <c r="AM507" s="566"/>
      <c r="AN507" s="566"/>
      <c r="AO507" s="566"/>
    </row>
    <row r="508" spans="2:41" x14ac:dyDescent="0.15">
      <c r="B508" s="567">
        <v>14</v>
      </c>
      <c r="C508" s="566">
        <v>0.72328767123287674</v>
      </c>
      <c r="D508" s="566"/>
      <c r="E508" s="566"/>
      <c r="F508" s="566"/>
      <c r="G508" s="566"/>
      <c r="H508" s="566"/>
      <c r="I508" s="566"/>
      <c r="J508" s="566"/>
      <c r="K508" s="566"/>
      <c r="L508" s="566"/>
      <c r="M508" s="566"/>
      <c r="N508" s="566"/>
      <c r="O508" s="566"/>
      <c r="P508" s="566"/>
      <c r="Q508" s="566"/>
      <c r="R508" s="566"/>
      <c r="S508" s="566"/>
      <c r="T508" s="566"/>
      <c r="U508" s="566"/>
      <c r="V508" s="566"/>
      <c r="W508" s="566"/>
      <c r="X508" s="566"/>
      <c r="Y508" s="566"/>
      <c r="Z508" s="566"/>
      <c r="AA508" s="566"/>
      <c r="AB508" s="566"/>
      <c r="AC508" s="566"/>
      <c r="AD508" s="566"/>
      <c r="AE508" s="566"/>
      <c r="AF508" s="566"/>
      <c r="AG508" s="566"/>
      <c r="AH508" s="566"/>
      <c r="AI508" s="566"/>
      <c r="AJ508" s="566"/>
      <c r="AK508" s="566"/>
      <c r="AL508" s="566"/>
      <c r="AM508" s="566"/>
      <c r="AN508" s="566"/>
      <c r="AO508" s="566"/>
    </row>
    <row r="509" spans="2:41" x14ac:dyDescent="0.15">
      <c r="B509" s="567">
        <v>15</v>
      </c>
      <c r="C509" s="566">
        <v>0.77203196347031966</v>
      </c>
      <c r="D509" s="566"/>
      <c r="E509" s="566"/>
      <c r="F509" s="566"/>
      <c r="G509" s="566"/>
      <c r="H509" s="566"/>
      <c r="I509" s="566"/>
      <c r="J509" s="566"/>
      <c r="K509" s="566"/>
      <c r="L509" s="566"/>
      <c r="M509" s="566"/>
      <c r="N509" s="566"/>
      <c r="O509" s="566"/>
      <c r="P509" s="566"/>
      <c r="Q509" s="566"/>
      <c r="R509" s="566"/>
      <c r="S509" s="566"/>
      <c r="T509" s="566"/>
      <c r="U509" s="566"/>
      <c r="V509" s="566"/>
      <c r="W509" s="566"/>
      <c r="X509" s="566"/>
      <c r="Y509" s="566"/>
      <c r="Z509" s="566"/>
      <c r="AA509" s="566"/>
      <c r="AB509" s="566"/>
      <c r="AC509" s="566"/>
      <c r="AD509" s="566"/>
      <c r="AE509" s="566"/>
      <c r="AF509" s="566"/>
      <c r="AG509" s="566"/>
      <c r="AH509" s="566"/>
      <c r="AI509" s="566"/>
      <c r="AJ509" s="566"/>
      <c r="AK509" s="566"/>
      <c r="AL509" s="566"/>
      <c r="AM509" s="566"/>
      <c r="AN509" s="566"/>
      <c r="AO509" s="566"/>
    </row>
    <row r="510" spans="2:41" x14ac:dyDescent="0.15">
      <c r="B510" s="567">
        <v>16</v>
      </c>
      <c r="C510" s="566">
        <v>0.79349315068493154</v>
      </c>
      <c r="D510" s="566"/>
      <c r="E510" s="566"/>
      <c r="F510" s="566"/>
      <c r="G510" s="566"/>
      <c r="H510" s="566"/>
      <c r="I510" s="566"/>
      <c r="J510" s="566"/>
      <c r="K510" s="566"/>
      <c r="L510" s="566"/>
      <c r="M510" s="566"/>
      <c r="N510" s="566"/>
      <c r="O510" s="566"/>
      <c r="P510" s="566"/>
      <c r="Q510" s="566"/>
      <c r="R510" s="566"/>
      <c r="S510" s="566"/>
      <c r="T510" s="566"/>
      <c r="U510" s="566"/>
      <c r="V510" s="566"/>
      <c r="W510" s="566"/>
      <c r="X510" s="566"/>
      <c r="Y510" s="566"/>
      <c r="Z510" s="566"/>
      <c r="AA510" s="566"/>
      <c r="AB510" s="566"/>
      <c r="AC510" s="566"/>
      <c r="AD510" s="566"/>
      <c r="AE510" s="566"/>
      <c r="AF510" s="566"/>
      <c r="AG510" s="566"/>
      <c r="AH510" s="566"/>
      <c r="AI510" s="566"/>
      <c r="AJ510" s="566"/>
      <c r="AK510" s="566"/>
      <c r="AL510" s="566"/>
      <c r="AM510" s="566"/>
      <c r="AN510" s="566"/>
      <c r="AO510" s="566"/>
    </row>
    <row r="511" spans="2:41" x14ac:dyDescent="0.15">
      <c r="B511" s="567">
        <v>17</v>
      </c>
      <c r="C511" s="566">
        <v>0.83253424657534247</v>
      </c>
      <c r="D511" s="566"/>
      <c r="E511" s="566"/>
      <c r="F511" s="566"/>
      <c r="G511" s="566"/>
      <c r="H511" s="566"/>
      <c r="I511" s="566"/>
      <c r="J511" s="566"/>
      <c r="K511" s="566"/>
      <c r="L511" s="566"/>
      <c r="M511" s="566"/>
      <c r="N511" s="566"/>
      <c r="O511" s="566"/>
      <c r="P511" s="566"/>
      <c r="Q511" s="566"/>
      <c r="R511" s="566"/>
      <c r="S511" s="566"/>
      <c r="T511" s="566"/>
      <c r="U511" s="566"/>
      <c r="V511" s="566"/>
      <c r="W511" s="566"/>
      <c r="X511" s="566"/>
      <c r="Y511" s="566"/>
      <c r="Z511" s="566"/>
      <c r="AA511" s="566"/>
      <c r="AB511" s="566"/>
      <c r="AC511" s="566"/>
      <c r="AD511" s="566"/>
      <c r="AE511" s="566"/>
      <c r="AF511" s="566"/>
      <c r="AG511" s="566"/>
      <c r="AH511" s="566"/>
      <c r="AI511" s="566"/>
      <c r="AJ511" s="566"/>
      <c r="AK511" s="566"/>
      <c r="AL511" s="566"/>
      <c r="AM511" s="566"/>
      <c r="AN511" s="566"/>
      <c r="AO511" s="566"/>
    </row>
    <row r="512" spans="2:41" x14ac:dyDescent="0.15">
      <c r="B512" s="567">
        <v>18</v>
      </c>
      <c r="C512" s="566">
        <v>0.86906392694063928</v>
      </c>
      <c r="D512" s="566"/>
      <c r="E512" s="566"/>
      <c r="F512" s="566"/>
      <c r="G512" s="566"/>
      <c r="H512" s="566"/>
      <c r="I512" s="566"/>
      <c r="J512" s="566"/>
      <c r="K512" s="566"/>
      <c r="L512" s="566"/>
      <c r="M512" s="566"/>
      <c r="N512" s="566"/>
      <c r="O512" s="566"/>
      <c r="P512" s="566"/>
      <c r="Q512" s="566"/>
      <c r="R512" s="566"/>
      <c r="S512" s="566"/>
      <c r="T512" s="566"/>
      <c r="U512" s="566"/>
      <c r="V512" s="566"/>
      <c r="W512" s="566"/>
      <c r="X512" s="566"/>
      <c r="Y512" s="566"/>
      <c r="Z512" s="566"/>
      <c r="AA512" s="566"/>
      <c r="AB512" s="566"/>
      <c r="AC512" s="566"/>
      <c r="AD512" s="566"/>
      <c r="AE512" s="566"/>
      <c r="AF512" s="566"/>
      <c r="AG512" s="566"/>
      <c r="AH512" s="566"/>
      <c r="AI512" s="566"/>
      <c r="AJ512" s="566"/>
      <c r="AK512" s="566"/>
      <c r="AL512" s="566"/>
      <c r="AM512" s="566"/>
      <c r="AN512" s="566"/>
      <c r="AO512" s="566"/>
    </row>
    <row r="513" spans="2:41" x14ac:dyDescent="0.15">
      <c r="B513" s="567">
        <v>19</v>
      </c>
      <c r="C513" s="566">
        <v>0.9031963470319635</v>
      </c>
      <c r="D513" s="566"/>
      <c r="E513" s="566"/>
      <c r="F513" s="566"/>
      <c r="G513" s="566"/>
      <c r="H513" s="566"/>
      <c r="I513" s="566"/>
      <c r="J513" s="566"/>
      <c r="K513" s="566"/>
      <c r="L513" s="566"/>
      <c r="M513" s="566"/>
      <c r="N513" s="566"/>
      <c r="O513" s="566"/>
      <c r="P513" s="566"/>
      <c r="Q513" s="566"/>
      <c r="R513" s="566"/>
      <c r="S513" s="566"/>
      <c r="T513" s="566"/>
      <c r="U513" s="566"/>
      <c r="V513" s="566"/>
      <c r="W513" s="566"/>
      <c r="X513" s="566"/>
      <c r="Y513" s="566"/>
      <c r="Z513" s="566"/>
      <c r="AA513" s="566"/>
      <c r="AB513" s="566"/>
      <c r="AC513" s="566"/>
      <c r="AD513" s="566"/>
      <c r="AE513" s="566"/>
      <c r="AF513" s="566"/>
      <c r="AG513" s="566"/>
      <c r="AH513" s="566"/>
      <c r="AI513" s="566"/>
      <c r="AJ513" s="566"/>
      <c r="AK513" s="566"/>
      <c r="AL513" s="566"/>
      <c r="AM513" s="566"/>
      <c r="AN513" s="566"/>
      <c r="AO513" s="566"/>
    </row>
    <row r="514" spans="2:41" x14ac:dyDescent="0.15">
      <c r="B514" s="567">
        <v>20</v>
      </c>
      <c r="C514" s="566">
        <v>0.92842465753424652</v>
      </c>
      <c r="D514" s="566"/>
      <c r="E514" s="566"/>
      <c r="F514" s="566"/>
      <c r="G514" s="566"/>
      <c r="H514" s="566"/>
      <c r="I514" s="566"/>
      <c r="J514" s="566"/>
      <c r="K514" s="566"/>
      <c r="L514" s="566"/>
      <c r="M514" s="566"/>
      <c r="N514" s="566"/>
      <c r="O514" s="566"/>
      <c r="P514" s="566"/>
      <c r="Q514" s="566"/>
      <c r="R514" s="566"/>
      <c r="S514" s="566"/>
      <c r="T514" s="566"/>
      <c r="U514" s="566"/>
      <c r="V514" s="566"/>
      <c r="W514" s="566"/>
      <c r="X514" s="566"/>
      <c r="Y514" s="566"/>
      <c r="Z514" s="566"/>
      <c r="AA514" s="566"/>
      <c r="AB514" s="566"/>
      <c r="AC514" s="566"/>
      <c r="AD514" s="566"/>
      <c r="AE514" s="566"/>
      <c r="AF514" s="566"/>
      <c r="AG514" s="566"/>
      <c r="AH514" s="566"/>
      <c r="AI514" s="566"/>
      <c r="AJ514" s="566"/>
      <c r="AK514" s="566"/>
      <c r="AL514" s="566"/>
      <c r="AM514" s="566"/>
      <c r="AN514" s="566"/>
      <c r="AO514" s="566"/>
    </row>
    <row r="515" spans="2:41" x14ac:dyDescent="0.15">
      <c r="B515" s="567">
        <v>21</v>
      </c>
      <c r="C515" s="566">
        <v>0.9397260273972603</v>
      </c>
      <c r="D515" s="566"/>
      <c r="E515" s="566"/>
      <c r="F515" s="566"/>
      <c r="G515" s="566"/>
      <c r="H515" s="566"/>
      <c r="I515" s="566"/>
      <c r="J515" s="566"/>
      <c r="K515" s="566"/>
      <c r="L515" s="566"/>
      <c r="M515" s="566"/>
      <c r="N515" s="566"/>
      <c r="O515" s="566"/>
      <c r="P515" s="566"/>
      <c r="Q515" s="566"/>
      <c r="R515" s="566"/>
      <c r="S515" s="566"/>
      <c r="T515" s="566"/>
      <c r="U515" s="566"/>
      <c r="V515" s="566"/>
      <c r="W515" s="566"/>
      <c r="X515" s="566"/>
      <c r="Y515" s="566"/>
      <c r="Z515" s="566"/>
      <c r="AA515" s="566"/>
      <c r="AB515" s="566"/>
      <c r="AC515" s="566"/>
      <c r="AD515" s="566"/>
      <c r="AE515" s="566"/>
      <c r="AF515" s="566"/>
      <c r="AG515" s="566"/>
      <c r="AH515" s="566"/>
      <c r="AI515" s="566"/>
      <c r="AJ515" s="566"/>
      <c r="AK515" s="566"/>
      <c r="AL515" s="566"/>
      <c r="AM515" s="566"/>
      <c r="AN515" s="566"/>
      <c r="AO515" s="566"/>
    </row>
    <row r="516" spans="2:41" x14ac:dyDescent="0.15">
      <c r="B516" s="567">
        <v>22</v>
      </c>
      <c r="C516" s="566">
        <v>0.95684931506849313</v>
      </c>
      <c r="D516" s="566"/>
      <c r="E516" s="566"/>
      <c r="F516" s="566"/>
      <c r="G516" s="566"/>
      <c r="H516" s="566"/>
      <c r="I516" s="566"/>
      <c r="J516" s="566"/>
      <c r="K516" s="566"/>
      <c r="L516" s="566"/>
      <c r="M516" s="566"/>
      <c r="N516" s="566"/>
      <c r="O516" s="566"/>
      <c r="P516" s="566"/>
      <c r="Q516" s="566"/>
      <c r="R516" s="566"/>
      <c r="S516" s="566"/>
      <c r="T516" s="566"/>
      <c r="U516" s="566"/>
      <c r="V516" s="566"/>
      <c r="W516" s="566"/>
      <c r="X516" s="566"/>
      <c r="Y516" s="566"/>
      <c r="Z516" s="566"/>
      <c r="AA516" s="566"/>
      <c r="AB516" s="566"/>
      <c r="AC516" s="566"/>
      <c r="AD516" s="566"/>
      <c r="AE516" s="566"/>
      <c r="AF516" s="566"/>
      <c r="AG516" s="566"/>
      <c r="AH516" s="566"/>
      <c r="AI516" s="566"/>
      <c r="AJ516" s="566"/>
      <c r="AK516" s="566"/>
      <c r="AL516" s="566"/>
      <c r="AM516" s="566"/>
      <c r="AN516" s="566"/>
      <c r="AO516" s="566"/>
    </row>
    <row r="517" spans="2:41" x14ac:dyDescent="0.15">
      <c r="B517" s="567">
        <v>23</v>
      </c>
      <c r="C517" s="566">
        <v>0.96986301369863015</v>
      </c>
      <c r="D517" s="566"/>
      <c r="E517" s="566"/>
      <c r="F517" s="566"/>
      <c r="G517" s="566"/>
      <c r="H517" s="566"/>
      <c r="I517" s="566"/>
      <c r="J517" s="566"/>
      <c r="K517" s="566"/>
      <c r="L517" s="566"/>
      <c r="M517" s="566"/>
      <c r="N517" s="566"/>
      <c r="O517" s="566"/>
      <c r="P517" s="566"/>
      <c r="Q517" s="566"/>
      <c r="R517" s="566"/>
      <c r="S517" s="566"/>
      <c r="T517" s="566"/>
      <c r="U517" s="566"/>
      <c r="V517" s="566"/>
      <c r="W517" s="566"/>
      <c r="X517" s="566"/>
      <c r="Y517" s="566"/>
      <c r="Z517" s="566"/>
      <c r="AA517" s="566"/>
      <c r="AB517" s="566"/>
      <c r="AC517" s="566"/>
      <c r="AD517" s="566"/>
      <c r="AE517" s="566"/>
      <c r="AF517" s="566"/>
      <c r="AG517" s="566"/>
      <c r="AH517" s="566"/>
      <c r="AI517" s="566"/>
      <c r="AJ517" s="566"/>
      <c r="AK517" s="566"/>
      <c r="AL517" s="566"/>
      <c r="AM517" s="566"/>
      <c r="AN517" s="566"/>
      <c r="AO517" s="566"/>
    </row>
    <row r="518" spans="2:41" x14ac:dyDescent="0.15">
      <c r="B518" s="567">
        <v>24</v>
      </c>
      <c r="C518" s="566">
        <v>0.98036529680365292</v>
      </c>
      <c r="D518" s="566"/>
      <c r="E518" s="566"/>
      <c r="F518" s="566"/>
      <c r="G518" s="566"/>
      <c r="H518" s="566"/>
      <c r="I518" s="566"/>
      <c r="J518" s="566"/>
      <c r="K518" s="566"/>
      <c r="L518" s="566"/>
      <c r="M518" s="566"/>
      <c r="N518" s="566"/>
      <c r="O518" s="566"/>
      <c r="P518" s="566"/>
      <c r="Q518" s="566"/>
      <c r="R518" s="566"/>
      <c r="S518" s="566"/>
      <c r="T518" s="566"/>
      <c r="U518" s="566"/>
      <c r="V518" s="566"/>
      <c r="W518" s="566"/>
      <c r="X518" s="566"/>
      <c r="Y518" s="566"/>
      <c r="Z518" s="566"/>
      <c r="AA518" s="566"/>
      <c r="AB518" s="566"/>
      <c r="AC518" s="566"/>
      <c r="AD518" s="566"/>
      <c r="AE518" s="566"/>
      <c r="AF518" s="566"/>
      <c r="AG518" s="566"/>
      <c r="AH518" s="566"/>
      <c r="AI518" s="566"/>
      <c r="AJ518" s="566"/>
      <c r="AK518" s="566"/>
      <c r="AL518" s="566"/>
      <c r="AM518" s="566"/>
      <c r="AN518" s="566"/>
      <c r="AO518" s="566"/>
    </row>
    <row r="519" spans="2:41" x14ac:dyDescent="0.15">
      <c r="B519" s="567">
        <v>25</v>
      </c>
      <c r="C519" s="566">
        <v>0.98710045662100454</v>
      </c>
      <c r="D519" s="566"/>
      <c r="E519" s="566"/>
      <c r="F519" s="566"/>
      <c r="G519" s="566"/>
      <c r="H519" s="566"/>
      <c r="I519" s="566"/>
      <c r="J519" s="566"/>
      <c r="K519" s="566"/>
      <c r="L519" s="566"/>
      <c r="M519" s="566"/>
      <c r="N519" s="566"/>
      <c r="O519" s="566"/>
      <c r="P519" s="566"/>
      <c r="Q519" s="566"/>
      <c r="R519" s="566"/>
      <c r="S519" s="566"/>
      <c r="T519" s="566"/>
      <c r="U519" s="566"/>
      <c r="V519" s="566"/>
      <c r="W519" s="566"/>
      <c r="X519" s="566"/>
      <c r="Y519" s="566"/>
      <c r="Z519" s="566"/>
      <c r="AA519" s="566"/>
      <c r="AB519" s="566"/>
      <c r="AC519" s="566"/>
      <c r="AD519" s="566"/>
      <c r="AE519" s="566"/>
      <c r="AF519" s="566"/>
      <c r="AG519" s="566"/>
      <c r="AH519" s="566"/>
      <c r="AI519" s="566"/>
      <c r="AJ519" s="566"/>
      <c r="AK519" s="566"/>
      <c r="AL519" s="566"/>
      <c r="AM519" s="566"/>
      <c r="AN519" s="566"/>
      <c r="AO519" s="566"/>
    </row>
    <row r="520" spans="2:41" x14ac:dyDescent="0.15">
      <c r="B520" s="567">
        <v>26</v>
      </c>
      <c r="C520" s="566">
        <v>0.99075342465753424</v>
      </c>
      <c r="D520" s="566"/>
      <c r="E520" s="566"/>
      <c r="F520" s="566"/>
      <c r="G520" s="566"/>
      <c r="H520" s="566"/>
      <c r="I520" s="566"/>
      <c r="J520" s="566"/>
      <c r="K520" s="566"/>
      <c r="L520" s="566"/>
      <c r="M520" s="566"/>
      <c r="N520" s="566"/>
      <c r="O520" s="566"/>
      <c r="P520" s="566"/>
      <c r="Q520" s="566"/>
      <c r="R520" s="566"/>
      <c r="S520" s="566"/>
      <c r="T520" s="566"/>
      <c r="U520" s="566"/>
      <c r="V520" s="566"/>
      <c r="W520" s="566"/>
      <c r="X520" s="566"/>
      <c r="Y520" s="566"/>
      <c r="Z520" s="566"/>
      <c r="AA520" s="566"/>
      <c r="AB520" s="566"/>
      <c r="AC520" s="566"/>
      <c r="AD520" s="566"/>
      <c r="AE520" s="566"/>
      <c r="AF520" s="566"/>
      <c r="AG520" s="566"/>
      <c r="AH520" s="566"/>
      <c r="AI520" s="566"/>
      <c r="AJ520" s="566"/>
      <c r="AK520" s="566"/>
      <c r="AL520" s="566"/>
      <c r="AM520" s="566"/>
      <c r="AN520" s="566"/>
      <c r="AO520" s="566"/>
    </row>
    <row r="521" spans="2:41" x14ac:dyDescent="0.15">
      <c r="B521" s="567">
        <v>27</v>
      </c>
      <c r="C521" s="566">
        <v>0.99429223744292239</v>
      </c>
      <c r="D521" s="566"/>
      <c r="E521" s="566"/>
      <c r="F521" s="566"/>
      <c r="G521" s="566"/>
      <c r="H521" s="566"/>
      <c r="I521" s="566"/>
      <c r="J521" s="566"/>
      <c r="K521" s="566"/>
      <c r="L521" s="566"/>
      <c r="M521" s="566"/>
      <c r="N521" s="566"/>
      <c r="O521" s="566"/>
      <c r="P521" s="566"/>
      <c r="Q521" s="566"/>
      <c r="R521" s="566"/>
      <c r="S521" s="566"/>
      <c r="T521" s="566"/>
      <c r="U521" s="566"/>
      <c r="V521" s="566"/>
      <c r="W521" s="566"/>
      <c r="X521" s="566"/>
      <c r="Y521" s="566"/>
      <c r="Z521" s="566"/>
      <c r="AA521" s="566"/>
      <c r="AB521" s="566"/>
      <c r="AC521" s="566"/>
      <c r="AD521" s="566"/>
      <c r="AE521" s="566"/>
      <c r="AF521" s="566"/>
      <c r="AG521" s="566"/>
      <c r="AH521" s="566"/>
      <c r="AI521" s="566"/>
      <c r="AJ521" s="566"/>
      <c r="AK521" s="566"/>
      <c r="AL521" s="566"/>
      <c r="AM521" s="566"/>
      <c r="AN521" s="566"/>
      <c r="AO521" s="566"/>
    </row>
    <row r="522" spans="2:41" x14ac:dyDescent="0.15">
      <c r="B522" s="567">
        <v>28</v>
      </c>
      <c r="C522" s="566">
        <v>0.99657534246575341</v>
      </c>
      <c r="D522" s="566"/>
      <c r="E522" s="566"/>
      <c r="F522" s="566"/>
      <c r="G522" s="566"/>
      <c r="H522" s="566"/>
      <c r="I522" s="566"/>
      <c r="J522" s="566"/>
      <c r="K522" s="566"/>
      <c r="L522" s="566"/>
      <c r="M522" s="566"/>
      <c r="N522" s="566"/>
      <c r="O522" s="566"/>
      <c r="P522" s="566"/>
      <c r="Q522" s="566"/>
      <c r="R522" s="566"/>
      <c r="S522" s="566"/>
      <c r="T522" s="566"/>
      <c r="U522" s="566"/>
      <c r="V522" s="566"/>
      <c r="W522" s="566"/>
      <c r="X522" s="566"/>
      <c r="Y522" s="566"/>
      <c r="Z522" s="566"/>
      <c r="AA522" s="566"/>
      <c r="AB522" s="566"/>
      <c r="AC522" s="566"/>
      <c r="AD522" s="566"/>
      <c r="AE522" s="566"/>
      <c r="AF522" s="566"/>
      <c r="AG522" s="566"/>
      <c r="AH522" s="566"/>
      <c r="AI522" s="566"/>
      <c r="AJ522" s="566"/>
      <c r="AK522" s="566"/>
      <c r="AL522" s="566"/>
      <c r="AM522" s="566"/>
      <c r="AN522" s="566"/>
      <c r="AO522" s="566"/>
    </row>
    <row r="523" spans="2:41" x14ac:dyDescent="0.15">
      <c r="B523" s="567">
        <v>29</v>
      </c>
      <c r="C523" s="566">
        <v>0.99885844748858443</v>
      </c>
      <c r="D523" s="566"/>
      <c r="E523" s="566"/>
      <c r="F523" s="566"/>
      <c r="G523" s="566"/>
      <c r="H523" s="566"/>
      <c r="I523" s="566"/>
      <c r="J523" s="566"/>
      <c r="K523" s="566"/>
      <c r="L523" s="566"/>
      <c r="M523" s="566"/>
      <c r="N523" s="566"/>
      <c r="O523" s="566"/>
      <c r="P523" s="566"/>
      <c r="Q523" s="566"/>
      <c r="R523" s="566"/>
      <c r="S523" s="566"/>
      <c r="T523" s="566"/>
      <c r="U523" s="566"/>
      <c r="V523" s="566"/>
      <c r="W523" s="566"/>
      <c r="X523" s="566"/>
      <c r="Y523" s="566"/>
      <c r="Z523" s="566"/>
      <c r="AA523" s="566"/>
      <c r="AB523" s="566"/>
      <c r="AC523" s="566"/>
      <c r="AD523" s="566"/>
      <c r="AE523" s="566"/>
      <c r="AF523" s="566"/>
      <c r="AG523" s="566"/>
      <c r="AH523" s="566"/>
      <c r="AI523" s="566"/>
      <c r="AJ523" s="566"/>
      <c r="AK523" s="566"/>
      <c r="AL523" s="566"/>
      <c r="AM523" s="566"/>
      <c r="AN523" s="566"/>
      <c r="AO523" s="566"/>
    </row>
    <row r="524" spans="2:41" x14ac:dyDescent="0.15">
      <c r="B524" s="567">
        <v>30</v>
      </c>
      <c r="C524" s="566">
        <v>0.99988584474885844</v>
      </c>
      <c r="D524" s="566"/>
      <c r="E524" s="566"/>
      <c r="F524" s="566"/>
      <c r="G524" s="566"/>
      <c r="H524" s="566"/>
      <c r="I524" s="566"/>
      <c r="J524" s="566"/>
      <c r="K524" s="566"/>
      <c r="L524" s="566"/>
      <c r="M524" s="566"/>
      <c r="N524" s="566"/>
      <c r="O524" s="566"/>
      <c r="P524" s="566"/>
      <c r="Q524" s="566"/>
      <c r="R524" s="566"/>
      <c r="S524" s="566"/>
      <c r="T524" s="566"/>
      <c r="U524" s="566"/>
      <c r="V524" s="566"/>
      <c r="W524" s="566"/>
      <c r="X524" s="566"/>
      <c r="Y524" s="566"/>
      <c r="Z524" s="566"/>
      <c r="AA524" s="566"/>
      <c r="AB524" s="566"/>
      <c r="AC524" s="566"/>
      <c r="AD524" s="566"/>
      <c r="AE524" s="566"/>
      <c r="AF524" s="566"/>
      <c r="AG524" s="566"/>
      <c r="AH524" s="566"/>
      <c r="AI524" s="566"/>
      <c r="AJ524" s="566"/>
      <c r="AK524" s="566"/>
      <c r="AL524" s="566"/>
      <c r="AM524" s="566"/>
      <c r="AN524" s="566"/>
      <c r="AO524" s="566"/>
    </row>
    <row r="525" spans="2:41" x14ac:dyDescent="0.15">
      <c r="B525" s="567">
        <v>31</v>
      </c>
      <c r="C525" s="566">
        <v>1</v>
      </c>
      <c r="D525" s="566"/>
      <c r="E525" s="566"/>
      <c r="F525" s="566"/>
      <c r="G525" s="566"/>
      <c r="H525" s="566"/>
      <c r="I525" s="566"/>
      <c r="J525" s="566"/>
      <c r="K525" s="566"/>
      <c r="L525" s="566"/>
      <c r="M525" s="566"/>
      <c r="N525" s="566"/>
      <c r="O525" s="566"/>
      <c r="P525" s="566"/>
      <c r="Q525" s="566"/>
      <c r="R525" s="566"/>
      <c r="S525" s="566"/>
      <c r="T525" s="566"/>
      <c r="U525" s="566"/>
      <c r="V525" s="566"/>
      <c r="W525" s="566"/>
      <c r="X525" s="566"/>
      <c r="Y525" s="566"/>
      <c r="Z525" s="566"/>
      <c r="AA525" s="566"/>
      <c r="AB525" s="566"/>
      <c r="AC525" s="566"/>
      <c r="AD525" s="566"/>
      <c r="AE525" s="566"/>
      <c r="AF525" s="566"/>
      <c r="AG525" s="566"/>
      <c r="AH525" s="566"/>
      <c r="AI525" s="566"/>
      <c r="AJ525" s="566"/>
      <c r="AK525" s="566"/>
      <c r="AL525" s="566"/>
      <c r="AM525" s="566"/>
      <c r="AN525" s="566"/>
      <c r="AO525" s="566"/>
    </row>
    <row r="526" spans="2:41" x14ac:dyDescent="0.15">
      <c r="B526" s="567">
        <v>32</v>
      </c>
      <c r="C526" s="566">
        <v>1</v>
      </c>
      <c r="D526" s="566"/>
      <c r="E526" s="566"/>
      <c r="F526" s="566"/>
      <c r="G526" s="566"/>
      <c r="H526" s="566"/>
      <c r="I526" s="566"/>
      <c r="J526" s="566"/>
      <c r="K526" s="566"/>
      <c r="L526" s="566"/>
      <c r="M526" s="566"/>
      <c r="N526" s="566"/>
      <c r="O526" s="566"/>
      <c r="P526" s="566"/>
      <c r="Q526" s="566"/>
      <c r="R526" s="566"/>
      <c r="S526" s="566"/>
      <c r="T526" s="566"/>
      <c r="U526" s="566"/>
      <c r="V526" s="566"/>
      <c r="W526" s="566"/>
      <c r="X526" s="566"/>
      <c r="Y526" s="566"/>
      <c r="Z526" s="566"/>
      <c r="AA526" s="566"/>
      <c r="AB526" s="566"/>
      <c r="AC526" s="566"/>
      <c r="AD526" s="566"/>
      <c r="AE526" s="566"/>
      <c r="AF526" s="566"/>
      <c r="AG526" s="566"/>
      <c r="AH526" s="566"/>
      <c r="AI526" s="566"/>
      <c r="AJ526" s="566"/>
      <c r="AK526" s="566"/>
      <c r="AL526" s="566"/>
      <c r="AM526" s="566"/>
      <c r="AN526" s="566"/>
      <c r="AO526" s="566"/>
    </row>
    <row r="527" spans="2:41" x14ac:dyDescent="0.15">
      <c r="B527" s="567">
        <v>33</v>
      </c>
      <c r="C527" s="566">
        <v>1</v>
      </c>
      <c r="D527" s="566"/>
      <c r="E527" s="566"/>
      <c r="F527" s="566"/>
      <c r="G527" s="566"/>
      <c r="H527" s="566"/>
      <c r="I527" s="566"/>
      <c r="J527" s="566"/>
      <c r="K527" s="566"/>
      <c r="L527" s="566"/>
      <c r="M527" s="566"/>
      <c r="N527" s="566"/>
      <c r="O527" s="566"/>
      <c r="P527" s="566"/>
      <c r="Q527" s="566"/>
      <c r="R527" s="566"/>
      <c r="S527" s="566"/>
      <c r="T527" s="566"/>
      <c r="U527" s="566"/>
      <c r="V527" s="566"/>
      <c r="W527" s="566"/>
      <c r="X527" s="566"/>
      <c r="Y527" s="566"/>
      <c r="Z527" s="566"/>
      <c r="AA527" s="566"/>
      <c r="AB527" s="566"/>
      <c r="AC527" s="566"/>
      <c r="AD527" s="566"/>
      <c r="AE527" s="566"/>
      <c r="AF527" s="566"/>
      <c r="AG527" s="566"/>
      <c r="AH527" s="566"/>
      <c r="AI527" s="566"/>
      <c r="AJ527" s="566"/>
      <c r="AK527" s="566"/>
      <c r="AL527" s="566"/>
      <c r="AM527" s="566"/>
      <c r="AN527" s="566"/>
      <c r="AO527" s="566"/>
    </row>
    <row r="528" spans="2:41" x14ac:dyDescent="0.15">
      <c r="B528" s="567">
        <v>34</v>
      </c>
      <c r="C528" s="566">
        <v>1</v>
      </c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6"/>
      <c r="X528" s="566"/>
      <c r="Y528" s="566"/>
      <c r="Z528" s="566"/>
      <c r="AA528" s="566"/>
      <c r="AB528" s="566"/>
      <c r="AC528" s="566"/>
      <c r="AD528" s="566"/>
      <c r="AE528" s="566"/>
      <c r="AF528" s="566"/>
      <c r="AG528" s="566"/>
      <c r="AH528" s="566"/>
      <c r="AI528" s="566"/>
      <c r="AJ528" s="566"/>
      <c r="AK528" s="566"/>
      <c r="AL528" s="566"/>
      <c r="AM528" s="566"/>
      <c r="AN528" s="566"/>
      <c r="AO528" s="566"/>
    </row>
    <row r="529" spans="2:41" x14ac:dyDescent="0.15">
      <c r="B529" s="567">
        <v>35</v>
      </c>
      <c r="C529" s="566">
        <v>1</v>
      </c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6"/>
      <c r="X529" s="566"/>
      <c r="Y529" s="566"/>
      <c r="Z529" s="566"/>
      <c r="AA529" s="566"/>
      <c r="AB529" s="566"/>
      <c r="AC529" s="566"/>
      <c r="AD529" s="566"/>
      <c r="AE529" s="566"/>
      <c r="AF529" s="566"/>
      <c r="AG529" s="566"/>
      <c r="AH529" s="566"/>
      <c r="AI529" s="566"/>
      <c r="AJ529" s="566"/>
      <c r="AK529" s="566"/>
      <c r="AL529" s="566"/>
      <c r="AM529" s="566"/>
      <c r="AN529" s="566"/>
      <c r="AO529" s="566"/>
    </row>
    <row r="530" spans="2:41" x14ac:dyDescent="0.15">
      <c r="B530" s="567">
        <v>36</v>
      </c>
      <c r="C530" s="566">
        <v>1</v>
      </c>
      <c r="D530" s="566"/>
      <c r="E530" s="566"/>
      <c r="F530" s="566"/>
      <c r="G530" s="566"/>
      <c r="H530" s="566"/>
      <c r="I530" s="566"/>
      <c r="J530" s="566"/>
      <c r="K530" s="566"/>
      <c r="L530" s="566"/>
      <c r="M530" s="566"/>
      <c r="N530" s="566"/>
      <c r="O530" s="566"/>
      <c r="P530" s="566"/>
      <c r="Q530" s="566"/>
      <c r="R530" s="566"/>
      <c r="S530" s="566"/>
      <c r="T530" s="566"/>
      <c r="U530" s="566"/>
      <c r="V530" s="566"/>
      <c r="W530" s="566"/>
      <c r="X530" s="566"/>
      <c r="Y530" s="566"/>
      <c r="Z530" s="566"/>
      <c r="AA530" s="566"/>
      <c r="AB530" s="566"/>
      <c r="AC530" s="566"/>
      <c r="AD530" s="566"/>
      <c r="AE530" s="566"/>
      <c r="AF530" s="566"/>
      <c r="AG530" s="566"/>
      <c r="AH530" s="566"/>
      <c r="AI530" s="566"/>
      <c r="AJ530" s="566"/>
      <c r="AK530" s="566"/>
      <c r="AL530" s="566"/>
      <c r="AM530" s="566"/>
      <c r="AN530" s="566"/>
      <c r="AO530" s="566"/>
    </row>
    <row r="531" spans="2:41" x14ac:dyDescent="0.15">
      <c r="B531" s="567">
        <v>37</v>
      </c>
      <c r="C531" s="566">
        <v>1</v>
      </c>
      <c r="D531" s="566"/>
      <c r="E531" s="566"/>
      <c r="F531" s="566"/>
      <c r="G531" s="566"/>
      <c r="H531" s="566"/>
      <c r="I531" s="566"/>
      <c r="J531" s="566"/>
      <c r="K531" s="566"/>
      <c r="L531" s="566"/>
      <c r="M531" s="566"/>
      <c r="N531" s="566"/>
      <c r="O531" s="566"/>
      <c r="P531" s="566"/>
      <c r="Q531" s="566"/>
      <c r="R531" s="566"/>
      <c r="S531" s="566"/>
      <c r="T531" s="566"/>
      <c r="U531" s="566"/>
      <c r="V531" s="566"/>
      <c r="W531" s="566"/>
      <c r="X531" s="566"/>
      <c r="Y531" s="566"/>
      <c r="Z531" s="566"/>
      <c r="AA531" s="566"/>
      <c r="AB531" s="566"/>
      <c r="AC531" s="566"/>
      <c r="AD531" s="566"/>
      <c r="AE531" s="566"/>
      <c r="AF531" s="566"/>
      <c r="AG531" s="566"/>
      <c r="AH531" s="566"/>
      <c r="AI531" s="566"/>
      <c r="AJ531" s="566"/>
      <c r="AK531" s="566"/>
      <c r="AL531" s="566"/>
      <c r="AM531" s="566"/>
      <c r="AN531" s="566"/>
      <c r="AO531" s="566"/>
    </row>
    <row r="532" spans="2:41" x14ac:dyDescent="0.15">
      <c r="B532" s="567">
        <v>38</v>
      </c>
      <c r="C532" s="566">
        <v>1</v>
      </c>
      <c r="D532" s="566"/>
      <c r="E532" s="566"/>
      <c r="F532" s="566"/>
      <c r="G532" s="566"/>
      <c r="H532" s="566"/>
      <c r="I532" s="566"/>
      <c r="J532" s="566"/>
      <c r="K532" s="566"/>
      <c r="L532" s="566"/>
      <c r="M532" s="566"/>
      <c r="N532" s="566"/>
      <c r="O532" s="566"/>
      <c r="P532" s="566"/>
      <c r="Q532" s="566"/>
      <c r="R532" s="566"/>
      <c r="S532" s="566"/>
      <c r="T532" s="566"/>
      <c r="U532" s="566"/>
      <c r="V532" s="566"/>
      <c r="W532" s="566"/>
      <c r="X532" s="566"/>
      <c r="Y532" s="566"/>
      <c r="Z532" s="566"/>
      <c r="AA532" s="566"/>
      <c r="AB532" s="566"/>
      <c r="AC532" s="566"/>
      <c r="AD532" s="566"/>
      <c r="AE532" s="566"/>
      <c r="AF532" s="566"/>
      <c r="AG532" s="566"/>
      <c r="AH532" s="566"/>
      <c r="AI532" s="566"/>
      <c r="AJ532" s="566"/>
      <c r="AK532" s="566"/>
      <c r="AL532" s="566"/>
      <c r="AM532" s="566"/>
      <c r="AN532" s="566"/>
      <c r="AO532" s="566"/>
    </row>
    <row r="533" spans="2:41" x14ac:dyDescent="0.15">
      <c r="B533" s="567">
        <v>39</v>
      </c>
      <c r="C533" s="566">
        <v>1</v>
      </c>
      <c r="D533" s="566"/>
      <c r="E533" s="566"/>
      <c r="F533" s="566"/>
      <c r="G533" s="566"/>
      <c r="H533" s="566"/>
      <c r="I533" s="566"/>
      <c r="J533" s="566"/>
      <c r="K533" s="566"/>
      <c r="L533" s="566"/>
      <c r="M533" s="566"/>
      <c r="N533" s="566"/>
      <c r="O533" s="566"/>
      <c r="P533" s="566"/>
      <c r="Q533" s="566"/>
      <c r="R533" s="566"/>
      <c r="S533" s="566"/>
      <c r="T533" s="566"/>
      <c r="U533" s="566"/>
      <c r="V533" s="566"/>
      <c r="W533" s="566"/>
      <c r="X533" s="566"/>
      <c r="Y533" s="566"/>
      <c r="Z533" s="566"/>
      <c r="AA533" s="566"/>
      <c r="AB533" s="566"/>
      <c r="AC533" s="566"/>
      <c r="AD533" s="566"/>
      <c r="AE533" s="566"/>
      <c r="AF533" s="566"/>
      <c r="AG533" s="566"/>
      <c r="AH533" s="566"/>
      <c r="AI533" s="566"/>
      <c r="AJ533" s="566"/>
      <c r="AK533" s="566"/>
      <c r="AL533" s="566"/>
      <c r="AM533" s="566"/>
      <c r="AN533" s="566"/>
      <c r="AO533" s="566"/>
    </row>
    <row r="534" spans="2:41" x14ac:dyDescent="0.15">
      <c r="B534" s="568">
        <v>40</v>
      </c>
      <c r="C534" s="566">
        <v>1</v>
      </c>
      <c r="D534" s="566"/>
      <c r="E534" s="566"/>
      <c r="F534" s="566"/>
      <c r="G534" s="566"/>
      <c r="H534" s="566"/>
      <c r="I534" s="566"/>
      <c r="J534" s="566"/>
      <c r="K534" s="566"/>
      <c r="L534" s="566"/>
      <c r="M534" s="566"/>
      <c r="N534" s="566"/>
      <c r="O534" s="566"/>
      <c r="P534" s="566"/>
      <c r="Q534" s="566"/>
      <c r="R534" s="566"/>
      <c r="S534" s="566"/>
      <c r="T534" s="566"/>
      <c r="U534" s="566"/>
      <c r="V534" s="566"/>
      <c r="W534" s="566"/>
      <c r="X534" s="566"/>
      <c r="Y534" s="566"/>
      <c r="Z534" s="566"/>
      <c r="AA534" s="566"/>
      <c r="AB534" s="566"/>
      <c r="AC534" s="566"/>
      <c r="AD534" s="566"/>
      <c r="AE534" s="566"/>
      <c r="AF534" s="566"/>
      <c r="AG534" s="566"/>
      <c r="AH534" s="566"/>
      <c r="AI534" s="566"/>
      <c r="AJ534" s="566"/>
      <c r="AK534" s="566"/>
      <c r="AL534" s="566"/>
      <c r="AM534" s="566"/>
      <c r="AN534" s="566"/>
      <c r="AO534" s="566"/>
    </row>
    <row r="543" spans="2:41" s="563" customFormat="1" ht="14" x14ac:dyDescent="0.15">
      <c r="B543" s="560" t="str" cm="1">
        <f t="array" ref="B543:AO543">TRANSPOSE('Syötä kaupungit KIRJASTOLINKIT!'!$H$1:$H$40)</f>
        <v>MAA 7</v>
      </c>
      <c r="C543" s="564" t="str">
        <v>Varsova</v>
      </c>
      <c r="D543" s="564">
        <v>0</v>
      </c>
      <c r="E543" s="564">
        <v>0</v>
      </c>
      <c r="F543" s="564">
        <v>0</v>
      </c>
      <c r="G543" s="564">
        <v>0</v>
      </c>
      <c r="H543" s="564">
        <v>0</v>
      </c>
      <c r="I543" s="564">
        <v>0</v>
      </c>
      <c r="J543" s="564">
        <v>0</v>
      </c>
      <c r="K543" s="564">
        <v>0</v>
      </c>
      <c r="L543" s="564">
        <v>0</v>
      </c>
      <c r="M543" s="564">
        <v>0</v>
      </c>
      <c r="N543" s="564">
        <v>0</v>
      </c>
      <c r="O543" s="564">
        <v>0</v>
      </c>
      <c r="P543" s="564">
        <v>0</v>
      </c>
      <c r="Q543" s="564">
        <v>0</v>
      </c>
      <c r="R543" s="564">
        <v>0</v>
      </c>
      <c r="S543" s="564">
        <v>0</v>
      </c>
      <c r="T543" s="564">
        <v>0</v>
      </c>
      <c r="U543" s="564">
        <v>0</v>
      </c>
      <c r="V543" s="564">
        <v>0</v>
      </c>
      <c r="W543" s="564">
        <v>0</v>
      </c>
      <c r="X543" s="564">
        <v>0</v>
      </c>
      <c r="Y543" s="564">
        <v>0</v>
      </c>
      <c r="Z543" s="564">
        <v>0</v>
      </c>
      <c r="AA543" s="564">
        <v>0</v>
      </c>
      <c r="AB543" s="564">
        <v>0</v>
      </c>
      <c r="AC543" s="564">
        <v>0</v>
      </c>
      <c r="AD543" s="564">
        <v>0</v>
      </c>
      <c r="AE543" s="564">
        <v>0</v>
      </c>
      <c r="AF543" s="564">
        <v>0</v>
      </c>
      <c r="AG543" s="564">
        <v>0</v>
      </c>
      <c r="AH543" s="564">
        <v>0</v>
      </c>
      <c r="AI543" s="564">
        <v>0</v>
      </c>
      <c r="AJ543" s="564">
        <v>0</v>
      </c>
      <c r="AK543" s="564">
        <v>0</v>
      </c>
      <c r="AL543" s="564">
        <v>0</v>
      </c>
      <c r="AM543" s="564">
        <v>0</v>
      </c>
      <c r="AN543" s="564">
        <v>0</v>
      </c>
      <c r="AO543" s="564">
        <v>0</v>
      </c>
    </row>
    <row r="544" spans="2:41" x14ac:dyDescent="0.15">
      <c r="B544" s="565">
        <v>-40</v>
      </c>
      <c r="C544" s="566">
        <v>0</v>
      </c>
      <c r="D544" s="566"/>
      <c r="E544" s="566"/>
      <c r="F544" s="566"/>
      <c r="G544" s="566"/>
      <c r="H544" s="566"/>
      <c r="I544" s="566"/>
      <c r="J544" s="566"/>
      <c r="K544" s="566"/>
      <c r="L544" s="566"/>
      <c r="M544" s="566"/>
      <c r="N544" s="566"/>
      <c r="O544" s="566"/>
      <c r="P544" s="566"/>
      <c r="Q544" s="566"/>
      <c r="R544" s="566"/>
      <c r="S544" s="566"/>
      <c r="T544" s="566"/>
      <c r="U544" s="566"/>
      <c r="V544" s="566"/>
      <c r="W544" s="566"/>
      <c r="X544" s="566"/>
      <c r="Y544" s="566"/>
      <c r="Z544" s="566"/>
      <c r="AA544" s="566"/>
      <c r="AB544" s="566"/>
      <c r="AC544" s="566"/>
      <c r="AD544" s="566"/>
      <c r="AE544" s="566"/>
      <c r="AF544" s="566"/>
      <c r="AG544" s="566"/>
      <c r="AH544" s="566"/>
      <c r="AI544" s="566"/>
      <c r="AJ544" s="566"/>
      <c r="AK544" s="566"/>
      <c r="AL544" s="566"/>
      <c r="AM544" s="566"/>
      <c r="AN544" s="566"/>
      <c r="AO544" s="566"/>
    </row>
    <row r="545" spans="2:41" x14ac:dyDescent="0.15">
      <c r="B545" s="567">
        <v>-39</v>
      </c>
      <c r="C545" s="566">
        <v>0</v>
      </c>
      <c r="D545" s="566"/>
      <c r="E545" s="566"/>
      <c r="F545" s="566"/>
      <c r="G545" s="566"/>
      <c r="H545" s="566"/>
      <c r="I545" s="566"/>
      <c r="J545" s="566"/>
      <c r="K545" s="566"/>
      <c r="L545" s="566"/>
      <c r="M545" s="566"/>
      <c r="N545" s="566"/>
      <c r="O545" s="566"/>
      <c r="P545" s="566"/>
      <c r="Q545" s="566"/>
      <c r="R545" s="566"/>
      <c r="S545" s="566"/>
      <c r="T545" s="566"/>
      <c r="U545" s="566"/>
      <c r="V545" s="566"/>
      <c r="W545" s="566"/>
      <c r="X545" s="566"/>
      <c r="Y545" s="566"/>
      <c r="Z545" s="566"/>
      <c r="AA545" s="566"/>
      <c r="AB545" s="566"/>
      <c r="AC545" s="566"/>
      <c r="AD545" s="566"/>
      <c r="AE545" s="566"/>
      <c r="AF545" s="566"/>
      <c r="AG545" s="566"/>
      <c r="AH545" s="566"/>
      <c r="AI545" s="566"/>
      <c r="AJ545" s="566"/>
      <c r="AK545" s="566"/>
      <c r="AL545" s="566"/>
      <c r="AM545" s="566"/>
      <c r="AN545" s="566"/>
      <c r="AO545" s="566"/>
    </row>
    <row r="546" spans="2:41" x14ac:dyDescent="0.15">
      <c r="B546" s="567">
        <v>-38</v>
      </c>
      <c r="C546" s="566">
        <v>0</v>
      </c>
      <c r="D546" s="566"/>
      <c r="E546" s="566"/>
      <c r="F546" s="566"/>
      <c r="G546" s="566"/>
      <c r="H546" s="566"/>
      <c r="I546" s="566"/>
      <c r="J546" s="566"/>
      <c r="K546" s="566"/>
      <c r="L546" s="566"/>
      <c r="M546" s="566"/>
      <c r="N546" s="566"/>
      <c r="O546" s="566"/>
      <c r="P546" s="566"/>
      <c r="Q546" s="566"/>
      <c r="R546" s="566"/>
      <c r="S546" s="566"/>
      <c r="T546" s="566"/>
      <c r="U546" s="566"/>
      <c r="V546" s="566"/>
      <c r="W546" s="566"/>
      <c r="X546" s="566"/>
      <c r="Y546" s="566"/>
      <c r="Z546" s="566"/>
      <c r="AA546" s="566"/>
      <c r="AB546" s="566"/>
      <c r="AC546" s="566"/>
      <c r="AD546" s="566"/>
      <c r="AE546" s="566"/>
      <c r="AF546" s="566"/>
      <c r="AG546" s="566"/>
      <c r="AH546" s="566"/>
      <c r="AI546" s="566"/>
      <c r="AJ546" s="566"/>
      <c r="AK546" s="566"/>
      <c r="AL546" s="566"/>
      <c r="AM546" s="566"/>
      <c r="AN546" s="566"/>
      <c r="AO546" s="566"/>
    </row>
    <row r="547" spans="2:41" x14ac:dyDescent="0.15">
      <c r="B547" s="567">
        <v>-37</v>
      </c>
      <c r="C547" s="566">
        <v>0</v>
      </c>
      <c r="D547" s="566"/>
      <c r="E547" s="566"/>
      <c r="F547" s="566"/>
      <c r="G547" s="566"/>
      <c r="H547" s="566"/>
      <c r="I547" s="566"/>
      <c r="J547" s="566"/>
      <c r="K547" s="566"/>
      <c r="L547" s="566"/>
      <c r="M547" s="566"/>
      <c r="N547" s="566"/>
      <c r="O547" s="566"/>
      <c r="P547" s="566"/>
      <c r="Q547" s="566"/>
      <c r="R547" s="566"/>
      <c r="S547" s="566"/>
      <c r="T547" s="566"/>
      <c r="U547" s="566"/>
      <c r="V547" s="566"/>
      <c r="W547" s="566"/>
      <c r="X547" s="566"/>
      <c r="Y547" s="566"/>
      <c r="Z547" s="566"/>
      <c r="AA547" s="566"/>
      <c r="AB547" s="566"/>
      <c r="AC547" s="566"/>
      <c r="AD547" s="566"/>
      <c r="AE547" s="566"/>
      <c r="AF547" s="566"/>
      <c r="AG547" s="566"/>
      <c r="AH547" s="566"/>
      <c r="AI547" s="566"/>
      <c r="AJ547" s="566"/>
      <c r="AK547" s="566"/>
      <c r="AL547" s="566"/>
      <c r="AM547" s="566"/>
      <c r="AN547" s="566"/>
      <c r="AO547" s="566"/>
    </row>
    <row r="548" spans="2:41" x14ac:dyDescent="0.15">
      <c r="B548" s="567">
        <v>-36</v>
      </c>
      <c r="C548" s="566">
        <v>0</v>
      </c>
      <c r="D548" s="566"/>
      <c r="E548" s="566"/>
      <c r="F548" s="566"/>
      <c r="G548" s="566"/>
      <c r="H548" s="566"/>
      <c r="I548" s="566"/>
      <c r="J548" s="566"/>
      <c r="K548" s="566"/>
      <c r="L548" s="566"/>
      <c r="M548" s="566"/>
      <c r="N548" s="566"/>
      <c r="O548" s="566"/>
      <c r="P548" s="566"/>
      <c r="Q548" s="566"/>
      <c r="R548" s="566"/>
      <c r="S548" s="566"/>
      <c r="T548" s="566"/>
      <c r="U548" s="566"/>
      <c r="V548" s="566"/>
      <c r="W548" s="566"/>
      <c r="X548" s="566"/>
      <c r="Y548" s="566"/>
      <c r="Z548" s="566"/>
      <c r="AA548" s="566"/>
      <c r="AB548" s="566"/>
      <c r="AC548" s="566"/>
      <c r="AD548" s="566"/>
      <c r="AE548" s="566"/>
      <c r="AF548" s="566"/>
      <c r="AG548" s="566"/>
      <c r="AH548" s="566"/>
      <c r="AI548" s="566"/>
      <c r="AJ548" s="566"/>
      <c r="AK548" s="566"/>
      <c r="AL548" s="566"/>
      <c r="AM548" s="566"/>
      <c r="AN548" s="566"/>
      <c r="AO548" s="566"/>
    </row>
    <row r="549" spans="2:41" x14ac:dyDescent="0.15">
      <c r="B549" s="567">
        <v>-35</v>
      </c>
      <c r="C549" s="566">
        <v>0</v>
      </c>
      <c r="D549" s="566"/>
      <c r="E549" s="566"/>
      <c r="F549" s="566"/>
      <c r="G549" s="566"/>
      <c r="H549" s="566"/>
      <c r="I549" s="566"/>
      <c r="J549" s="566"/>
      <c r="K549" s="566"/>
      <c r="L549" s="566"/>
      <c r="M549" s="566"/>
      <c r="N549" s="566"/>
      <c r="O549" s="566"/>
      <c r="P549" s="566"/>
      <c r="Q549" s="566"/>
      <c r="R549" s="566"/>
      <c r="S549" s="566"/>
      <c r="T549" s="566"/>
      <c r="U549" s="566"/>
      <c r="V549" s="566"/>
      <c r="W549" s="566"/>
      <c r="X549" s="566"/>
      <c r="Y549" s="566"/>
      <c r="Z549" s="566"/>
      <c r="AA549" s="566"/>
      <c r="AB549" s="566"/>
      <c r="AC549" s="566"/>
      <c r="AD549" s="566"/>
      <c r="AE549" s="566"/>
      <c r="AF549" s="566"/>
      <c r="AG549" s="566"/>
      <c r="AH549" s="566"/>
      <c r="AI549" s="566"/>
      <c r="AJ549" s="566"/>
      <c r="AK549" s="566"/>
      <c r="AL549" s="566"/>
      <c r="AM549" s="566"/>
      <c r="AN549" s="566"/>
      <c r="AO549" s="566"/>
    </row>
    <row r="550" spans="2:41" x14ac:dyDescent="0.15">
      <c r="B550" s="567">
        <v>-34</v>
      </c>
      <c r="C550" s="566">
        <v>0</v>
      </c>
      <c r="D550" s="566"/>
      <c r="E550" s="566"/>
      <c r="F550" s="566"/>
      <c r="G550" s="566"/>
      <c r="H550" s="566"/>
      <c r="I550" s="566"/>
      <c r="J550" s="566"/>
      <c r="K550" s="566"/>
      <c r="L550" s="566"/>
      <c r="M550" s="566"/>
      <c r="N550" s="566"/>
      <c r="O550" s="566"/>
      <c r="P550" s="566"/>
      <c r="Q550" s="566"/>
      <c r="R550" s="566"/>
      <c r="S550" s="566"/>
      <c r="T550" s="566"/>
      <c r="U550" s="566"/>
      <c r="V550" s="566"/>
      <c r="W550" s="566"/>
      <c r="X550" s="566"/>
      <c r="Y550" s="566"/>
      <c r="Z550" s="566"/>
      <c r="AA550" s="566"/>
      <c r="AB550" s="566"/>
      <c r="AC550" s="566"/>
      <c r="AD550" s="566"/>
      <c r="AE550" s="566"/>
      <c r="AF550" s="566"/>
      <c r="AG550" s="566"/>
      <c r="AH550" s="566"/>
      <c r="AI550" s="566"/>
      <c r="AJ550" s="566"/>
      <c r="AK550" s="566"/>
      <c r="AL550" s="566"/>
      <c r="AM550" s="566"/>
      <c r="AN550" s="566"/>
      <c r="AO550" s="566"/>
    </row>
    <row r="551" spans="2:41" x14ac:dyDescent="0.15">
      <c r="B551" s="567">
        <v>-33</v>
      </c>
      <c r="C551" s="566">
        <v>0</v>
      </c>
      <c r="D551" s="566"/>
      <c r="E551" s="566"/>
      <c r="F551" s="566"/>
      <c r="G551" s="566"/>
      <c r="H551" s="566"/>
      <c r="I551" s="566"/>
      <c r="J551" s="566"/>
      <c r="K551" s="566"/>
      <c r="L551" s="566"/>
      <c r="M551" s="566"/>
      <c r="N551" s="566"/>
      <c r="O551" s="566"/>
      <c r="P551" s="566"/>
      <c r="Q551" s="566"/>
      <c r="R551" s="566"/>
      <c r="S551" s="566"/>
      <c r="T551" s="566"/>
      <c r="U551" s="566"/>
      <c r="V551" s="566"/>
      <c r="W551" s="566"/>
      <c r="X551" s="566"/>
      <c r="Y551" s="566"/>
      <c r="Z551" s="566"/>
      <c r="AA551" s="566"/>
      <c r="AB551" s="566"/>
      <c r="AC551" s="566"/>
      <c r="AD551" s="566"/>
      <c r="AE551" s="566"/>
      <c r="AF551" s="566"/>
      <c r="AG551" s="566"/>
      <c r="AH551" s="566"/>
      <c r="AI551" s="566"/>
      <c r="AJ551" s="566"/>
      <c r="AK551" s="566"/>
      <c r="AL551" s="566"/>
      <c r="AM551" s="566"/>
      <c r="AN551" s="566"/>
      <c r="AO551" s="566"/>
    </row>
    <row r="552" spans="2:41" x14ac:dyDescent="0.15">
      <c r="B552" s="567">
        <v>-32</v>
      </c>
      <c r="C552" s="566">
        <v>0</v>
      </c>
      <c r="D552" s="566"/>
      <c r="E552" s="566"/>
      <c r="F552" s="566"/>
      <c r="G552" s="566"/>
      <c r="H552" s="566"/>
      <c r="I552" s="566"/>
      <c r="J552" s="566"/>
      <c r="K552" s="566"/>
      <c r="L552" s="566"/>
      <c r="M552" s="566"/>
      <c r="N552" s="566"/>
      <c r="O552" s="566"/>
      <c r="P552" s="566"/>
      <c r="Q552" s="566"/>
      <c r="R552" s="566"/>
      <c r="S552" s="566"/>
      <c r="T552" s="566"/>
      <c r="U552" s="566"/>
      <c r="V552" s="566"/>
      <c r="W552" s="566"/>
      <c r="X552" s="566"/>
      <c r="Y552" s="566"/>
      <c r="Z552" s="566"/>
      <c r="AA552" s="566"/>
      <c r="AB552" s="566"/>
      <c r="AC552" s="566"/>
      <c r="AD552" s="566"/>
      <c r="AE552" s="566"/>
      <c r="AF552" s="566"/>
      <c r="AG552" s="566"/>
      <c r="AH552" s="566"/>
      <c r="AI552" s="566"/>
      <c r="AJ552" s="566"/>
      <c r="AK552" s="566"/>
      <c r="AL552" s="566"/>
      <c r="AM552" s="566"/>
      <c r="AN552" s="566"/>
      <c r="AO552" s="566"/>
    </row>
    <row r="553" spans="2:41" x14ac:dyDescent="0.15">
      <c r="B553" s="567">
        <v>-31</v>
      </c>
      <c r="C553" s="566">
        <v>0</v>
      </c>
      <c r="D553" s="566"/>
      <c r="E553" s="566"/>
      <c r="F553" s="566"/>
      <c r="G553" s="566"/>
      <c r="H553" s="566"/>
      <c r="I553" s="566"/>
      <c r="J553" s="566"/>
      <c r="K553" s="566"/>
      <c r="L553" s="566"/>
      <c r="M553" s="566"/>
      <c r="N553" s="566"/>
      <c r="O553" s="566"/>
      <c r="P553" s="566"/>
      <c r="Q553" s="566"/>
      <c r="R553" s="566"/>
      <c r="S553" s="566"/>
      <c r="T553" s="566"/>
      <c r="U553" s="566"/>
      <c r="V553" s="566"/>
      <c r="W553" s="566"/>
      <c r="X553" s="566"/>
      <c r="Y553" s="566"/>
      <c r="Z553" s="566"/>
      <c r="AA553" s="566"/>
      <c r="AB553" s="566"/>
      <c r="AC553" s="566"/>
      <c r="AD553" s="566"/>
      <c r="AE553" s="566"/>
      <c r="AF553" s="566"/>
      <c r="AG553" s="566"/>
      <c r="AH553" s="566"/>
      <c r="AI553" s="566"/>
      <c r="AJ553" s="566"/>
      <c r="AK553" s="566"/>
      <c r="AL553" s="566"/>
      <c r="AM553" s="566"/>
      <c r="AN553" s="566"/>
      <c r="AO553" s="566"/>
    </row>
    <row r="554" spans="2:41" x14ac:dyDescent="0.15">
      <c r="B554" s="567">
        <v>-30</v>
      </c>
      <c r="C554" s="566">
        <v>0</v>
      </c>
      <c r="D554" s="566"/>
      <c r="E554" s="566"/>
      <c r="F554" s="566"/>
      <c r="G554" s="566"/>
      <c r="H554" s="566"/>
      <c r="I554" s="566"/>
      <c r="J554" s="566"/>
      <c r="K554" s="566"/>
      <c r="L554" s="566"/>
      <c r="M554" s="566"/>
      <c r="N554" s="566"/>
      <c r="O554" s="566"/>
      <c r="P554" s="566"/>
      <c r="Q554" s="566"/>
      <c r="R554" s="566"/>
      <c r="S554" s="566"/>
      <c r="T554" s="566"/>
      <c r="U554" s="566"/>
      <c r="V554" s="566"/>
      <c r="W554" s="566"/>
      <c r="X554" s="566"/>
      <c r="Y554" s="566"/>
      <c r="Z554" s="566"/>
      <c r="AA554" s="566"/>
      <c r="AB554" s="566"/>
      <c r="AC554" s="566"/>
      <c r="AD554" s="566"/>
      <c r="AE554" s="566"/>
      <c r="AF554" s="566"/>
      <c r="AG554" s="566"/>
      <c r="AH554" s="566"/>
      <c r="AI554" s="566"/>
      <c r="AJ554" s="566"/>
      <c r="AK554" s="566"/>
      <c r="AL554" s="566"/>
      <c r="AM554" s="566"/>
      <c r="AN554" s="566"/>
      <c r="AO554" s="566"/>
    </row>
    <row r="555" spans="2:41" x14ac:dyDescent="0.15">
      <c r="B555" s="567">
        <v>-29</v>
      </c>
      <c r="C555" s="566">
        <v>0</v>
      </c>
      <c r="D555" s="566"/>
      <c r="E555" s="566"/>
      <c r="F555" s="566"/>
      <c r="G555" s="566"/>
      <c r="H555" s="566"/>
      <c r="I555" s="566"/>
      <c r="J555" s="566"/>
      <c r="K555" s="566"/>
      <c r="L555" s="566"/>
      <c r="M555" s="566"/>
      <c r="N555" s="566"/>
      <c r="O555" s="566"/>
      <c r="P555" s="566"/>
      <c r="Q555" s="566"/>
      <c r="R555" s="566"/>
      <c r="S555" s="566"/>
      <c r="T555" s="566"/>
      <c r="U555" s="566"/>
      <c r="V555" s="566"/>
      <c r="W555" s="566"/>
      <c r="X555" s="566"/>
      <c r="Y555" s="566"/>
      <c r="Z555" s="566"/>
      <c r="AA555" s="566"/>
      <c r="AB555" s="566"/>
      <c r="AC555" s="566"/>
      <c r="AD555" s="566"/>
      <c r="AE555" s="566"/>
      <c r="AF555" s="566"/>
      <c r="AG555" s="566"/>
      <c r="AH555" s="566"/>
      <c r="AI555" s="566"/>
      <c r="AJ555" s="566"/>
      <c r="AK555" s="566"/>
      <c r="AL555" s="566"/>
      <c r="AM555" s="566"/>
      <c r="AN555" s="566"/>
      <c r="AO555" s="566"/>
    </row>
    <row r="556" spans="2:41" x14ac:dyDescent="0.15">
      <c r="B556" s="567">
        <v>-28</v>
      </c>
      <c r="C556" s="566">
        <v>0</v>
      </c>
      <c r="D556" s="566"/>
      <c r="E556" s="566"/>
      <c r="F556" s="566"/>
      <c r="G556" s="566"/>
      <c r="H556" s="566"/>
      <c r="I556" s="566"/>
      <c r="J556" s="566"/>
      <c r="K556" s="566"/>
      <c r="L556" s="566"/>
      <c r="M556" s="566"/>
      <c r="N556" s="566"/>
      <c r="O556" s="566"/>
      <c r="P556" s="566"/>
      <c r="Q556" s="566"/>
      <c r="R556" s="566"/>
      <c r="S556" s="566"/>
      <c r="T556" s="566"/>
      <c r="U556" s="566"/>
      <c r="V556" s="566"/>
      <c r="W556" s="566"/>
      <c r="X556" s="566"/>
      <c r="Y556" s="566"/>
      <c r="Z556" s="566"/>
      <c r="AA556" s="566"/>
      <c r="AB556" s="566"/>
      <c r="AC556" s="566"/>
      <c r="AD556" s="566"/>
      <c r="AE556" s="566"/>
      <c r="AF556" s="566"/>
      <c r="AG556" s="566"/>
      <c r="AH556" s="566"/>
      <c r="AI556" s="566"/>
      <c r="AJ556" s="566"/>
      <c r="AK556" s="566"/>
      <c r="AL556" s="566"/>
      <c r="AM556" s="566"/>
      <c r="AN556" s="566"/>
      <c r="AO556" s="566"/>
    </row>
    <row r="557" spans="2:41" x14ac:dyDescent="0.15">
      <c r="B557" s="567">
        <v>-27</v>
      </c>
      <c r="C557" s="566">
        <v>0</v>
      </c>
      <c r="D557" s="566"/>
      <c r="E557" s="566"/>
      <c r="F557" s="566"/>
      <c r="G557" s="566"/>
      <c r="H557" s="566"/>
      <c r="I557" s="566"/>
      <c r="J557" s="566"/>
      <c r="K557" s="566"/>
      <c r="L557" s="566"/>
      <c r="M557" s="566"/>
      <c r="N557" s="566"/>
      <c r="O557" s="566"/>
      <c r="P557" s="566"/>
      <c r="Q557" s="566"/>
      <c r="R557" s="566"/>
      <c r="S557" s="566"/>
      <c r="T557" s="566"/>
      <c r="U557" s="566"/>
      <c r="V557" s="566"/>
      <c r="W557" s="566"/>
      <c r="X557" s="566"/>
      <c r="Y557" s="566"/>
      <c r="Z557" s="566"/>
      <c r="AA557" s="566"/>
      <c r="AB557" s="566"/>
      <c r="AC557" s="566"/>
      <c r="AD557" s="566"/>
      <c r="AE557" s="566"/>
      <c r="AF557" s="566"/>
      <c r="AG557" s="566"/>
      <c r="AH557" s="566"/>
      <c r="AI557" s="566"/>
      <c r="AJ557" s="566"/>
      <c r="AK557" s="566"/>
      <c r="AL557" s="566"/>
      <c r="AM557" s="566"/>
      <c r="AN557" s="566"/>
      <c r="AO557" s="566"/>
    </row>
    <row r="558" spans="2:41" x14ac:dyDescent="0.15">
      <c r="B558" s="567">
        <v>-26</v>
      </c>
      <c r="C558" s="566">
        <v>0</v>
      </c>
      <c r="D558" s="566"/>
      <c r="E558" s="566"/>
      <c r="F558" s="566"/>
      <c r="G558" s="566"/>
      <c r="H558" s="566"/>
      <c r="I558" s="566"/>
      <c r="J558" s="566"/>
      <c r="K558" s="566"/>
      <c r="L558" s="566"/>
      <c r="M558" s="566"/>
      <c r="N558" s="566"/>
      <c r="O558" s="566"/>
      <c r="P558" s="566"/>
      <c r="Q558" s="566"/>
      <c r="R558" s="566"/>
      <c r="S558" s="566"/>
      <c r="T558" s="566"/>
      <c r="U558" s="566"/>
      <c r="V558" s="566"/>
      <c r="W558" s="566"/>
      <c r="X558" s="566"/>
      <c r="Y558" s="566"/>
      <c r="Z558" s="566"/>
      <c r="AA558" s="566"/>
      <c r="AB558" s="566"/>
      <c r="AC558" s="566"/>
      <c r="AD558" s="566"/>
      <c r="AE558" s="566"/>
      <c r="AF558" s="566"/>
      <c r="AG558" s="566"/>
      <c r="AH558" s="566"/>
      <c r="AI558" s="566"/>
      <c r="AJ558" s="566"/>
      <c r="AK558" s="566"/>
      <c r="AL558" s="566"/>
      <c r="AM558" s="566"/>
      <c r="AN558" s="566"/>
      <c r="AO558" s="566"/>
    </row>
    <row r="559" spans="2:41" x14ac:dyDescent="0.15">
      <c r="B559" s="567">
        <v>-25</v>
      </c>
      <c r="C559" s="566">
        <v>0</v>
      </c>
      <c r="D559" s="566"/>
      <c r="E559" s="566"/>
      <c r="F559" s="566"/>
      <c r="G559" s="566"/>
      <c r="H559" s="566"/>
      <c r="I559" s="566"/>
      <c r="J559" s="566"/>
      <c r="K559" s="566"/>
      <c r="L559" s="566"/>
      <c r="M559" s="566"/>
      <c r="N559" s="566"/>
      <c r="O559" s="566"/>
      <c r="P559" s="566"/>
      <c r="Q559" s="566"/>
      <c r="R559" s="566"/>
      <c r="S559" s="566"/>
      <c r="T559" s="566"/>
      <c r="U559" s="566"/>
      <c r="V559" s="566"/>
      <c r="W559" s="566"/>
      <c r="X559" s="566"/>
      <c r="Y559" s="566"/>
      <c r="Z559" s="566"/>
      <c r="AA559" s="566"/>
      <c r="AB559" s="566"/>
      <c r="AC559" s="566"/>
      <c r="AD559" s="566"/>
      <c r="AE559" s="566"/>
      <c r="AF559" s="566"/>
      <c r="AG559" s="566"/>
      <c r="AH559" s="566"/>
      <c r="AI559" s="566"/>
      <c r="AJ559" s="566"/>
      <c r="AK559" s="566"/>
      <c r="AL559" s="566"/>
      <c r="AM559" s="566"/>
      <c r="AN559" s="566"/>
      <c r="AO559" s="566"/>
    </row>
    <row r="560" spans="2:41" x14ac:dyDescent="0.15">
      <c r="B560" s="567">
        <v>-24</v>
      </c>
      <c r="C560" s="566">
        <v>0</v>
      </c>
      <c r="D560" s="566"/>
      <c r="E560" s="566"/>
      <c r="F560" s="566"/>
      <c r="G560" s="566"/>
      <c r="H560" s="566"/>
      <c r="I560" s="566"/>
      <c r="J560" s="566"/>
      <c r="K560" s="566"/>
      <c r="L560" s="566"/>
      <c r="M560" s="566"/>
      <c r="N560" s="566"/>
      <c r="O560" s="566"/>
      <c r="P560" s="566"/>
      <c r="Q560" s="566"/>
      <c r="R560" s="566"/>
      <c r="S560" s="566"/>
      <c r="T560" s="566"/>
      <c r="U560" s="566"/>
      <c r="V560" s="566"/>
      <c r="W560" s="566"/>
      <c r="X560" s="566"/>
      <c r="Y560" s="566"/>
      <c r="Z560" s="566"/>
      <c r="AA560" s="566"/>
      <c r="AB560" s="566"/>
      <c r="AC560" s="566"/>
      <c r="AD560" s="566"/>
      <c r="AE560" s="566"/>
      <c r="AF560" s="566"/>
      <c r="AG560" s="566"/>
      <c r="AH560" s="566"/>
      <c r="AI560" s="566"/>
      <c r="AJ560" s="566"/>
      <c r="AK560" s="566"/>
      <c r="AL560" s="566"/>
      <c r="AM560" s="566"/>
      <c r="AN560" s="566"/>
      <c r="AO560" s="566"/>
    </row>
    <row r="561" spans="2:41" x14ac:dyDescent="0.15">
      <c r="B561" s="567">
        <v>-23</v>
      </c>
      <c r="C561" s="566">
        <v>0</v>
      </c>
      <c r="D561" s="566"/>
      <c r="E561" s="566"/>
      <c r="F561" s="566"/>
      <c r="G561" s="566"/>
      <c r="H561" s="566"/>
      <c r="I561" s="566"/>
      <c r="J561" s="566"/>
      <c r="K561" s="566"/>
      <c r="L561" s="566"/>
      <c r="M561" s="566"/>
      <c r="N561" s="566"/>
      <c r="O561" s="566"/>
      <c r="P561" s="566"/>
      <c r="Q561" s="566"/>
      <c r="R561" s="566"/>
      <c r="S561" s="566"/>
      <c r="T561" s="566"/>
      <c r="U561" s="566"/>
      <c r="V561" s="566"/>
      <c r="W561" s="566"/>
      <c r="X561" s="566"/>
      <c r="Y561" s="566"/>
      <c r="Z561" s="566"/>
      <c r="AA561" s="566"/>
      <c r="AB561" s="566"/>
      <c r="AC561" s="566"/>
      <c r="AD561" s="566"/>
      <c r="AE561" s="566"/>
      <c r="AF561" s="566"/>
      <c r="AG561" s="566"/>
      <c r="AH561" s="566"/>
      <c r="AI561" s="566"/>
      <c r="AJ561" s="566"/>
      <c r="AK561" s="566"/>
      <c r="AL561" s="566"/>
      <c r="AM561" s="566"/>
      <c r="AN561" s="566"/>
      <c r="AO561" s="566"/>
    </row>
    <row r="562" spans="2:41" x14ac:dyDescent="0.15">
      <c r="B562" s="567">
        <v>-22</v>
      </c>
      <c r="C562" s="566">
        <v>0</v>
      </c>
      <c r="D562" s="566"/>
      <c r="E562" s="566"/>
      <c r="F562" s="566"/>
      <c r="G562" s="566"/>
      <c r="H562" s="566"/>
      <c r="I562" s="566"/>
      <c r="J562" s="566"/>
      <c r="K562" s="566"/>
      <c r="L562" s="566"/>
      <c r="M562" s="566"/>
      <c r="N562" s="566"/>
      <c r="O562" s="566"/>
      <c r="P562" s="566"/>
      <c r="Q562" s="566"/>
      <c r="R562" s="566"/>
      <c r="S562" s="566"/>
      <c r="T562" s="566"/>
      <c r="U562" s="566"/>
      <c r="V562" s="566"/>
      <c r="W562" s="566"/>
      <c r="X562" s="566"/>
      <c r="Y562" s="566"/>
      <c r="Z562" s="566"/>
      <c r="AA562" s="566"/>
      <c r="AB562" s="566"/>
      <c r="AC562" s="566"/>
      <c r="AD562" s="566"/>
      <c r="AE562" s="566"/>
      <c r="AF562" s="566"/>
      <c r="AG562" s="566"/>
      <c r="AH562" s="566"/>
      <c r="AI562" s="566"/>
      <c r="AJ562" s="566"/>
      <c r="AK562" s="566"/>
      <c r="AL562" s="566"/>
      <c r="AM562" s="566"/>
      <c r="AN562" s="566"/>
      <c r="AO562" s="566"/>
    </row>
    <row r="563" spans="2:41" x14ac:dyDescent="0.15">
      <c r="B563" s="567">
        <v>-21</v>
      </c>
      <c r="C563" s="566">
        <v>0</v>
      </c>
      <c r="D563" s="566"/>
      <c r="E563" s="566"/>
      <c r="F563" s="566"/>
      <c r="G563" s="566"/>
      <c r="H563" s="566"/>
      <c r="I563" s="566"/>
      <c r="J563" s="566"/>
      <c r="K563" s="566"/>
      <c r="L563" s="566"/>
      <c r="M563" s="566"/>
      <c r="N563" s="566"/>
      <c r="O563" s="566"/>
      <c r="P563" s="566"/>
      <c r="Q563" s="566"/>
      <c r="R563" s="566"/>
      <c r="S563" s="566"/>
      <c r="T563" s="566"/>
      <c r="U563" s="566"/>
      <c r="V563" s="566"/>
      <c r="W563" s="566"/>
      <c r="X563" s="566"/>
      <c r="Y563" s="566"/>
      <c r="Z563" s="566"/>
      <c r="AA563" s="566"/>
      <c r="AB563" s="566"/>
      <c r="AC563" s="566"/>
      <c r="AD563" s="566"/>
      <c r="AE563" s="566"/>
      <c r="AF563" s="566"/>
      <c r="AG563" s="566"/>
      <c r="AH563" s="566"/>
      <c r="AI563" s="566"/>
      <c r="AJ563" s="566"/>
      <c r="AK563" s="566"/>
      <c r="AL563" s="566"/>
      <c r="AM563" s="566"/>
      <c r="AN563" s="566"/>
      <c r="AO563" s="566"/>
    </row>
    <row r="564" spans="2:41" x14ac:dyDescent="0.15">
      <c r="B564" s="567">
        <v>-20</v>
      </c>
      <c r="C564" s="566">
        <v>0</v>
      </c>
      <c r="D564" s="566"/>
      <c r="E564" s="566"/>
      <c r="F564" s="566"/>
      <c r="G564" s="566"/>
      <c r="H564" s="566"/>
      <c r="I564" s="566"/>
      <c r="J564" s="566"/>
      <c r="K564" s="566"/>
      <c r="L564" s="566"/>
      <c r="M564" s="566"/>
      <c r="N564" s="566"/>
      <c r="O564" s="566"/>
      <c r="P564" s="566"/>
      <c r="Q564" s="566"/>
      <c r="R564" s="566"/>
      <c r="S564" s="566"/>
      <c r="T564" s="566"/>
      <c r="U564" s="566"/>
      <c r="V564" s="566"/>
      <c r="W564" s="566"/>
      <c r="X564" s="566"/>
      <c r="Y564" s="566"/>
      <c r="Z564" s="566"/>
      <c r="AA564" s="566"/>
      <c r="AB564" s="566"/>
      <c r="AC564" s="566"/>
      <c r="AD564" s="566"/>
      <c r="AE564" s="566"/>
      <c r="AF564" s="566"/>
      <c r="AG564" s="566"/>
      <c r="AH564" s="566"/>
      <c r="AI564" s="566"/>
      <c r="AJ564" s="566"/>
      <c r="AK564" s="566"/>
      <c r="AL564" s="566"/>
      <c r="AM564" s="566"/>
      <c r="AN564" s="566"/>
      <c r="AO564" s="566"/>
    </row>
    <row r="565" spans="2:41" x14ac:dyDescent="0.15">
      <c r="B565" s="567">
        <v>-19</v>
      </c>
      <c r="C565" s="566">
        <v>0</v>
      </c>
      <c r="D565" s="566"/>
      <c r="E565" s="566"/>
      <c r="F565" s="566"/>
      <c r="G565" s="566"/>
      <c r="H565" s="566"/>
      <c r="I565" s="566"/>
      <c r="J565" s="566"/>
      <c r="K565" s="566"/>
      <c r="L565" s="566"/>
      <c r="M565" s="566"/>
      <c r="N565" s="566"/>
      <c r="O565" s="566"/>
      <c r="P565" s="566"/>
      <c r="Q565" s="566"/>
      <c r="R565" s="566"/>
      <c r="S565" s="566"/>
      <c r="T565" s="566"/>
      <c r="U565" s="566"/>
      <c r="V565" s="566"/>
      <c r="W565" s="566"/>
      <c r="X565" s="566"/>
      <c r="Y565" s="566"/>
      <c r="Z565" s="566"/>
      <c r="AA565" s="566"/>
      <c r="AB565" s="566"/>
      <c r="AC565" s="566"/>
      <c r="AD565" s="566"/>
      <c r="AE565" s="566"/>
      <c r="AF565" s="566"/>
      <c r="AG565" s="566"/>
      <c r="AH565" s="566"/>
      <c r="AI565" s="566"/>
      <c r="AJ565" s="566"/>
      <c r="AK565" s="566"/>
      <c r="AL565" s="566"/>
      <c r="AM565" s="566"/>
      <c r="AN565" s="566"/>
      <c r="AO565" s="566"/>
    </row>
    <row r="566" spans="2:41" x14ac:dyDescent="0.15">
      <c r="B566" s="567">
        <v>-18</v>
      </c>
      <c r="C566" s="566">
        <v>0</v>
      </c>
      <c r="D566" s="566"/>
      <c r="E566" s="566"/>
      <c r="F566" s="566"/>
      <c r="G566" s="566"/>
      <c r="H566" s="566"/>
      <c r="I566" s="566"/>
      <c r="J566" s="566"/>
      <c r="K566" s="566"/>
      <c r="L566" s="566"/>
      <c r="M566" s="566"/>
      <c r="N566" s="566"/>
      <c r="O566" s="566"/>
      <c r="P566" s="566"/>
      <c r="Q566" s="566"/>
      <c r="R566" s="566"/>
      <c r="S566" s="566"/>
      <c r="T566" s="566"/>
      <c r="U566" s="566"/>
      <c r="V566" s="566"/>
      <c r="W566" s="566"/>
      <c r="X566" s="566"/>
      <c r="Y566" s="566"/>
      <c r="Z566" s="566"/>
      <c r="AA566" s="566"/>
      <c r="AB566" s="566"/>
      <c r="AC566" s="566"/>
      <c r="AD566" s="566"/>
      <c r="AE566" s="566"/>
      <c r="AF566" s="566"/>
      <c r="AG566" s="566"/>
      <c r="AH566" s="566"/>
      <c r="AI566" s="566"/>
      <c r="AJ566" s="566"/>
      <c r="AK566" s="566"/>
      <c r="AL566" s="566"/>
      <c r="AM566" s="566"/>
      <c r="AN566" s="566"/>
      <c r="AO566" s="566"/>
    </row>
    <row r="567" spans="2:41" x14ac:dyDescent="0.15">
      <c r="B567" s="567">
        <v>-17</v>
      </c>
      <c r="C567" s="566">
        <v>0</v>
      </c>
      <c r="D567" s="566"/>
      <c r="E567" s="566"/>
      <c r="F567" s="566"/>
      <c r="G567" s="566"/>
      <c r="H567" s="566"/>
      <c r="I567" s="566"/>
      <c r="J567" s="566"/>
      <c r="K567" s="566"/>
      <c r="L567" s="566"/>
      <c r="M567" s="566"/>
      <c r="N567" s="566"/>
      <c r="O567" s="566"/>
      <c r="P567" s="566"/>
      <c r="Q567" s="566"/>
      <c r="R567" s="566"/>
      <c r="S567" s="566"/>
      <c r="T567" s="566"/>
      <c r="U567" s="566"/>
      <c r="V567" s="566"/>
      <c r="W567" s="566"/>
      <c r="X567" s="566"/>
      <c r="Y567" s="566"/>
      <c r="Z567" s="566"/>
      <c r="AA567" s="566"/>
      <c r="AB567" s="566"/>
      <c r="AC567" s="566"/>
      <c r="AD567" s="566"/>
      <c r="AE567" s="566"/>
      <c r="AF567" s="566"/>
      <c r="AG567" s="566"/>
      <c r="AH567" s="566"/>
      <c r="AI567" s="566"/>
      <c r="AJ567" s="566"/>
      <c r="AK567" s="566"/>
      <c r="AL567" s="566"/>
      <c r="AM567" s="566"/>
      <c r="AN567" s="566"/>
      <c r="AO567" s="566"/>
    </row>
    <row r="568" spans="2:41" x14ac:dyDescent="0.15">
      <c r="B568" s="567">
        <v>-16</v>
      </c>
      <c r="C568" s="566">
        <v>0</v>
      </c>
      <c r="D568" s="566"/>
      <c r="E568" s="566"/>
      <c r="F568" s="566"/>
      <c r="G568" s="566"/>
      <c r="H568" s="566"/>
      <c r="I568" s="566"/>
      <c r="J568" s="566"/>
      <c r="K568" s="566"/>
      <c r="L568" s="566"/>
      <c r="M568" s="566"/>
      <c r="N568" s="566"/>
      <c r="O568" s="566"/>
      <c r="P568" s="566"/>
      <c r="Q568" s="566"/>
      <c r="R568" s="566"/>
      <c r="S568" s="566"/>
      <c r="T568" s="566"/>
      <c r="U568" s="566"/>
      <c r="V568" s="566"/>
      <c r="W568" s="566"/>
      <c r="X568" s="566"/>
      <c r="Y568" s="566"/>
      <c r="Z568" s="566"/>
      <c r="AA568" s="566"/>
      <c r="AB568" s="566"/>
      <c r="AC568" s="566"/>
      <c r="AD568" s="566"/>
      <c r="AE568" s="566"/>
      <c r="AF568" s="566"/>
      <c r="AG568" s="566"/>
      <c r="AH568" s="566"/>
      <c r="AI568" s="566"/>
      <c r="AJ568" s="566"/>
      <c r="AK568" s="566"/>
      <c r="AL568" s="566"/>
      <c r="AM568" s="566"/>
      <c r="AN568" s="566"/>
      <c r="AO568" s="566"/>
    </row>
    <row r="569" spans="2:41" x14ac:dyDescent="0.15">
      <c r="B569" s="567">
        <v>-15</v>
      </c>
      <c r="C569" s="566">
        <v>0</v>
      </c>
      <c r="D569" s="566"/>
      <c r="E569" s="566"/>
      <c r="F569" s="566"/>
      <c r="G569" s="566"/>
      <c r="H569" s="566"/>
      <c r="I569" s="566"/>
      <c r="J569" s="566"/>
      <c r="K569" s="566"/>
      <c r="L569" s="566"/>
      <c r="M569" s="566"/>
      <c r="N569" s="566"/>
      <c r="O569" s="566"/>
      <c r="P569" s="566"/>
      <c r="Q569" s="566"/>
      <c r="R569" s="566"/>
      <c r="S569" s="566"/>
      <c r="T569" s="566"/>
      <c r="U569" s="566"/>
      <c r="V569" s="566"/>
      <c r="W569" s="566"/>
      <c r="X569" s="566"/>
      <c r="Y569" s="566"/>
      <c r="Z569" s="566"/>
      <c r="AA569" s="566"/>
      <c r="AB569" s="566"/>
      <c r="AC569" s="566"/>
      <c r="AD569" s="566"/>
      <c r="AE569" s="566"/>
      <c r="AF569" s="566"/>
      <c r="AG569" s="566"/>
      <c r="AH569" s="566"/>
      <c r="AI569" s="566"/>
      <c r="AJ569" s="566"/>
      <c r="AK569" s="566"/>
      <c r="AL569" s="566"/>
      <c r="AM569" s="566"/>
      <c r="AN569" s="566"/>
      <c r="AO569" s="566"/>
    </row>
    <row r="570" spans="2:41" x14ac:dyDescent="0.15">
      <c r="B570" s="567">
        <v>-14</v>
      </c>
      <c r="C570" s="566">
        <v>0</v>
      </c>
      <c r="D570" s="566"/>
      <c r="E570" s="566"/>
      <c r="F570" s="566"/>
      <c r="G570" s="566"/>
      <c r="H570" s="566"/>
      <c r="I570" s="566"/>
      <c r="J570" s="566"/>
      <c r="K570" s="566"/>
      <c r="L570" s="566"/>
      <c r="M570" s="566"/>
      <c r="N570" s="566"/>
      <c r="O570" s="566"/>
      <c r="P570" s="566"/>
      <c r="Q570" s="566"/>
      <c r="R570" s="566"/>
      <c r="S570" s="566"/>
      <c r="T570" s="566"/>
      <c r="U570" s="566"/>
      <c r="V570" s="566"/>
      <c r="W570" s="566"/>
      <c r="X570" s="566"/>
      <c r="Y570" s="566"/>
      <c r="Z570" s="566"/>
      <c r="AA570" s="566"/>
      <c r="AB570" s="566"/>
      <c r="AC570" s="566"/>
      <c r="AD570" s="566"/>
      <c r="AE570" s="566"/>
      <c r="AF570" s="566"/>
      <c r="AG570" s="566"/>
      <c r="AH570" s="566"/>
      <c r="AI570" s="566"/>
      <c r="AJ570" s="566"/>
      <c r="AK570" s="566"/>
      <c r="AL570" s="566"/>
      <c r="AM570" s="566"/>
      <c r="AN570" s="566"/>
      <c r="AO570" s="566"/>
    </row>
    <row r="571" spans="2:41" x14ac:dyDescent="0.15">
      <c r="B571" s="567">
        <v>-13</v>
      </c>
      <c r="C571" s="566">
        <v>0</v>
      </c>
      <c r="D571" s="566"/>
      <c r="E571" s="566"/>
      <c r="F571" s="566"/>
      <c r="G571" s="566"/>
      <c r="H571" s="566"/>
      <c r="I571" s="566"/>
      <c r="J571" s="566"/>
      <c r="K571" s="566"/>
      <c r="L571" s="566"/>
      <c r="M571" s="566"/>
      <c r="N571" s="566"/>
      <c r="O571" s="566"/>
      <c r="P571" s="566"/>
      <c r="Q571" s="566"/>
      <c r="R571" s="566"/>
      <c r="S571" s="566"/>
      <c r="T571" s="566"/>
      <c r="U571" s="566"/>
      <c r="V571" s="566"/>
      <c r="W571" s="566"/>
      <c r="X571" s="566"/>
      <c r="Y571" s="566"/>
      <c r="Z571" s="566"/>
      <c r="AA571" s="566"/>
      <c r="AB571" s="566"/>
      <c r="AC571" s="566"/>
      <c r="AD571" s="566"/>
      <c r="AE571" s="566"/>
      <c r="AF571" s="566"/>
      <c r="AG571" s="566"/>
      <c r="AH571" s="566"/>
      <c r="AI571" s="566"/>
      <c r="AJ571" s="566"/>
      <c r="AK571" s="566"/>
      <c r="AL571" s="566"/>
      <c r="AM571" s="566"/>
      <c r="AN571" s="566"/>
      <c r="AO571" s="566"/>
    </row>
    <row r="572" spans="2:41" x14ac:dyDescent="0.15">
      <c r="B572" s="567">
        <v>-12</v>
      </c>
      <c r="C572" s="566">
        <v>0</v>
      </c>
      <c r="D572" s="566"/>
      <c r="E572" s="566"/>
      <c r="F572" s="566"/>
      <c r="G572" s="566"/>
      <c r="H572" s="566"/>
      <c r="I572" s="566"/>
      <c r="J572" s="566"/>
      <c r="K572" s="566"/>
      <c r="L572" s="566"/>
      <c r="M572" s="566"/>
      <c r="N572" s="566"/>
      <c r="O572" s="566"/>
      <c r="P572" s="566"/>
      <c r="Q572" s="566"/>
      <c r="R572" s="566"/>
      <c r="S572" s="566"/>
      <c r="T572" s="566"/>
      <c r="U572" s="566"/>
      <c r="V572" s="566"/>
      <c r="W572" s="566"/>
      <c r="X572" s="566"/>
      <c r="Y572" s="566"/>
      <c r="Z572" s="566"/>
      <c r="AA572" s="566"/>
      <c r="AB572" s="566"/>
      <c r="AC572" s="566"/>
      <c r="AD572" s="566"/>
      <c r="AE572" s="566"/>
      <c r="AF572" s="566"/>
      <c r="AG572" s="566"/>
      <c r="AH572" s="566"/>
      <c r="AI572" s="566"/>
      <c r="AJ572" s="566"/>
      <c r="AK572" s="566"/>
      <c r="AL572" s="566"/>
      <c r="AM572" s="566"/>
      <c r="AN572" s="566"/>
      <c r="AO572" s="566"/>
    </row>
    <row r="573" spans="2:41" x14ac:dyDescent="0.15">
      <c r="B573" s="567">
        <v>-11</v>
      </c>
      <c r="C573" s="566">
        <v>1.2557077625570776E-3</v>
      </c>
      <c r="D573" s="566"/>
      <c r="E573" s="566"/>
      <c r="F573" s="566"/>
      <c r="G573" s="566"/>
      <c r="H573" s="566"/>
      <c r="I573" s="566"/>
      <c r="J573" s="566"/>
      <c r="K573" s="566"/>
      <c r="L573" s="566"/>
      <c r="M573" s="566"/>
      <c r="N573" s="566"/>
      <c r="O573" s="566"/>
      <c r="P573" s="566"/>
      <c r="Q573" s="566"/>
      <c r="R573" s="566"/>
      <c r="S573" s="566"/>
      <c r="T573" s="566"/>
      <c r="U573" s="566"/>
      <c r="V573" s="566"/>
      <c r="W573" s="566"/>
      <c r="X573" s="566"/>
      <c r="Y573" s="566"/>
      <c r="Z573" s="566"/>
      <c r="AA573" s="566"/>
      <c r="AB573" s="566"/>
      <c r="AC573" s="566"/>
      <c r="AD573" s="566"/>
      <c r="AE573" s="566"/>
      <c r="AF573" s="566"/>
      <c r="AG573" s="566"/>
      <c r="AH573" s="566"/>
      <c r="AI573" s="566"/>
      <c r="AJ573" s="566"/>
      <c r="AK573" s="566"/>
      <c r="AL573" s="566"/>
      <c r="AM573" s="566"/>
      <c r="AN573" s="566"/>
      <c r="AO573" s="566"/>
    </row>
    <row r="574" spans="2:41" x14ac:dyDescent="0.15">
      <c r="B574" s="567">
        <v>-10</v>
      </c>
      <c r="C574" s="566">
        <v>3.6529680365296802E-3</v>
      </c>
      <c r="D574" s="566"/>
      <c r="E574" s="566"/>
      <c r="F574" s="566"/>
      <c r="G574" s="566"/>
      <c r="H574" s="566"/>
      <c r="I574" s="566"/>
      <c r="J574" s="566"/>
      <c r="K574" s="566"/>
      <c r="L574" s="566"/>
      <c r="M574" s="566"/>
      <c r="N574" s="566"/>
      <c r="O574" s="566"/>
      <c r="P574" s="566"/>
      <c r="Q574" s="566"/>
      <c r="R574" s="566"/>
      <c r="S574" s="566"/>
      <c r="T574" s="566"/>
      <c r="U574" s="566"/>
      <c r="V574" s="566"/>
      <c r="W574" s="566"/>
      <c r="X574" s="566"/>
      <c r="Y574" s="566"/>
      <c r="Z574" s="566"/>
      <c r="AA574" s="566"/>
      <c r="AB574" s="566"/>
      <c r="AC574" s="566"/>
      <c r="AD574" s="566"/>
      <c r="AE574" s="566"/>
      <c r="AF574" s="566"/>
      <c r="AG574" s="566"/>
      <c r="AH574" s="566"/>
      <c r="AI574" s="566"/>
      <c r="AJ574" s="566"/>
      <c r="AK574" s="566"/>
      <c r="AL574" s="566"/>
      <c r="AM574" s="566"/>
      <c r="AN574" s="566"/>
      <c r="AO574" s="566"/>
    </row>
    <row r="575" spans="2:41" x14ac:dyDescent="0.15">
      <c r="B575" s="567">
        <v>-9</v>
      </c>
      <c r="C575" s="566">
        <v>4.7945205479452057E-3</v>
      </c>
      <c r="D575" s="566"/>
      <c r="E575" s="566"/>
      <c r="F575" s="566"/>
      <c r="G575" s="566"/>
      <c r="H575" s="566"/>
      <c r="I575" s="566"/>
      <c r="J575" s="566"/>
      <c r="K575" s="566"/>
      <c r="L575" s="566"/>
      <c r="M575" s="566"/>
      <c r="N575" s="566"/>
      <c r="O575" s="566"/>
      <c r="P575" s="566"/>
      <c r="Q575" s="566"/>
      <c r="R575" s="566"/>
      <c r="S575" s="566"/>
      <c r="T575" s="566"/>
      <c r="U575" s="566"/>
      <c r="V575" s="566"/>
      <c r="W575" s="566"/>
      <c r="X575" s="566"/>
      <c r="Y575" s="566"/>
      <c r="Z575" s="566"/>
      <c r="AA575" s="566"/>
      <c r="AB575" s="566"/>
      <c r="AC575" s="566"/>
      <c r="AD575" s="566"/>
      <c r="AE575" s="566"/>
      <c r="AF575" s="566"/>
      <c r="AG575" s="566"/>
      <c r="AH575" s="566"/>
      <c r="AI575" s="566"/>
      <c r="AJ575" s="566"/>
      <c r="AK575" s="566"/>
      <c r="AL575" s="566"/>
      <c r="AM575" s="566"/>
      <c r="AN575" s="566"/>
      <c r="AO575" s="566"/>
    </row>
    <row r="576" spans="2:41" x14ac:dyDescent="0.15">
      <c r="B576" s="567">
        <v>-8</v>
      </c>
      <c r="C576" s="566">
        <v>9.0182648401826489E-3</v>
      </c>
      <c r="D576" s="566"/>
      <c r="E576" s="566"/>
      <c r="F576" s="566"/>
      <c r="G576" s="566"/>
      <c r="H576" s="566"/>
      <c r="I576" s="566"/>
      <c r="J576" s="566"/>
      <c r="K576" s="566"/>
      <c r="L576" s="566"/>
      <c r="M576" s="566"/>
      <c r="N576" s="566"/>
      <c r="O576" s="566"/>
      <c r="P576" s="566"/>
      <c r="Q576" s="566"/>
      <c r="R576" s="566"/>
      <c r="S576" s="566"/>
      <c r="T576" s="566"/>
      <c r="U576" s="566"/>
      <c r="V576" s="566"/>
      <c r="W576" s="566"/>
      <c r="X576" s="566"/>
      <c r="Y576" s="566"/>
      <c r="Z576" s="566"/>
      <c r="AA576" s="566"/>
      <c r="AB576" s="566"/>
      <c r="AC576" s="566"/>
      <c r="AD576" s="566"/>
      <c r="AE576" s="566"/>
      <c r="AF576" s="566"/>
      <c r="AG576" s="566"/>
      <c r="AH576" s="566"/>
      <c r="AI576" s="566"/>
      <c r="AJ576" s="566"/>
      <c r="AK576" s="566"/>
      <c r="AL576" s="566"/>
      <c r="AM576" s="566"/>
      <c r="AN576" s="566"/>
      <c r="AO576" s="566"/>
    </row>
    <row r="577" spans="2:41" x14ac:dyDescent="0.15">
      <c r="B577" s="567">
        <v>-7</v>
      </c>
      <c r="C577" s="566">
        <v>1.3356164383561644E-2</v>
      </c>
      <c r="D577" s="566"/>
      <c r="E577" s="566"/>
      <c r="F577" s="566"/>
      <c r="G577" s="566"/>
      <c r="H577" s="566"/>
      <c r="I577" s="566"/>
      <c r="J577" s="566"/>
      <c r="K577" s="566"/>
      <c r="L577" s="566"/>
      <c r="M577" s="566"/>
      <c r="N577" s="566"/>
      <c r="O577" s="566"/>
      <c r="P577" s="566"/>
      <c r="Q577" s="566"/>
      <c r="R577" s="566"/>
      <c r="S577" s="566"/>
      <c r="T577" s="566"/>
      <c r="U577" s="566"/>
      <c r="V577" s="566"/>
      <c r="W577" s="566"/>
      <c r="X577" s="566"/>
      <c r="Y577" s="566"/>
      <c r="Z577" s="566"/>
      <c r="AA577" s="566"/>
      <c r="AB577" s="566"/>
      <c r="AC577" s="566"/>
      <c r="AD577" s="566"/>
      <c r="AE577" s="566"/>
      <c r="AF577" s="566"/>
      <c r="AG577" s="566"/>
      <c r="AH577" s="566"/>
      <c r="AI577" s="566"/>
      <c r="AJ577" s="566"/>
      <c r="AK577" s="566"/>
      <c r="AL577" s="566"/>
      <c r="AM577" s="566"/>
      <c r="AN577" s="566"/>
      <c r="AO577" s="566"/>
    </row>
    <row r="578" spans="2:41" x14ac:dyDescent="0.15">
      <c r="B578" s="567">
        <v>-6</v>
      </c>
      <c r="C578" s="566">
        <v>2.2716894977168951E-2</v>
      </c>
      <c r="D578" s="566"/>
      <c r="E578" s="566"/>
      <c r="F578" s="566"/>
      <c r="G578" s="566"/>
      <c r="H578" s="566"/>
      <c r="I578" s="566"/>
      <c r="J578" s="566"/>
      <c r="K578" s="566"/>
      <c r="L578" s="566"/>
      <c r="M578" s="566"/>
      <c r="N578" s="566"/>
      <c r="O578" s="566"/>
      <c r="P578" s="566"/>
      <c r="Q578" s="566"/>
      <c r="R578" s="566"/>
      <c r="S578" s="566"/>
      <c r="T578" s="566"/>
      <c r="U578" s="566"/>
      <c r="V578" s="566"/>
      <c r="W578" s="566"/>
      <c r="X578" s="566"/>
      <c r="Y578" s="566"/>
      <c r="Z578" s="566"/>
      <c r="AA578" s="566"/>
      <c r="AB578" s="566"/>
      <c r="AC578" s="566"/>
      <c r="AD578" s="566"/>
      <c r="AE578" s="566"/>
      <c r="AF578" s="566"/>
      <c r="AG578" s="566"/>
      <c r="AH578" s="566"/>
      <c r="AI578" s="566"/>
      <c r="AJ578" s="566"/>
      <c r="AK578" s="566"/>
      <c r="AL578" s="566"/>
      <c r="AM578" s="566"/>
      <c r="AN578" s="566"/>
      <c r="AO578" s="566"/>
    </row>
    <row r="579" spans="2:41" x14ac:dyDescent="0.15">
      <c r="B579" s="567">
        <v>-5</v>
      </c>
      <c r="C579" s="566">
        <v>4.1894977168949771E-2</v>
      </c>
      <c r="D579" s="566"/>
      <c r="E579" s="566"/>
      <c r="F579" s="566"/>
      <c r="G579" s="566"/>
      <c r="H579" s="566"/>
      <c r="I579" s="566"/>
      <c r="J579" s="566"/>
      <c r="K579" s="566"/>
      <c r="L579" s="566"/>
      <c r="M579" s="566"/>
      <c r="N579" s="566"/>
      <c r="O579" s="566"/>
      <c r="P579" s="566"/>
      <c r="Q579" s="566"/>
      <c r="R579" s="566"/>
      <c r="S579" s="566"/>
      <c r="T579" s="566"/>
      <c r="U579" s="566"/>
      <c r="V579" s="566"/>
      <c r="W579" s="566"/>
      <c r="X579" s="566"/>
      <c r="Y579" s="566"/>
      <c r="Z579" s="566"/>
      <c r="AA579" s="566"/>
      <c r="AB579" s="566"/>
      <c r="AC579" s="566"/>
      <c r="AD579" s="566"/>
      <c r="AE579" s="566"/>
      <c r="AF579" s="566"/>
      <c r="AG579" s="566"/>
      <c r="AH579" s="566"/>
      <c r="AI579" s="566"/>
      <c r="AJ579" s="566"/>
      <c r="AK579" s="566"/>
      <c r="AL579" s="566"/>
      <c r="AM579" s="566"/>
      <c r="AN579" s="566"/>
      <c r="AO579" s="566"/>
    </row>
    <row r="580" spans="2:41" x14ac:dyDescent="0.15">
      <c r="B580" s="567">
        <v>-4</v>
      </c>
      <c r="C580" s="566">
        <v>4.942922374429224E-2</v>
      </c>
      <c r="D580" s="566"/>
      <c r="E580" s="566"/>
      <c r="F580" s="566"/>
      <c r="G580" s="566"/>
      <c r="H580" s="566"/>
      <c r="I580" s="566"/>
      <c r="J580" s="566"/>
      <c r="K580" s="566"/>
      <c r="L580" s="566"/>
      <c r="M580" s="566"/>
      <c r="N580" s="566"/>
      <c r="O580" s="566"/>
      <c r="P580" s="566"/>
      <c r="Q580" s="566"/>
      <c r="R580" s="566"/>
      <c r="S580" s="566"/>
      <c r="T580" s="566"/>
      <c r="U580" s="566"/>
      <c r="V580" s="566"/>
      <c r="W580" s="566"/>
      <c r="X580" s="566"/>
      <c r="Y580" s="566"/>
      <c r="Z580" s="566"/>
      <c r="AA580" s="566"/>
      <c r="AB580" s="566"/>
      <c r="AC580" s="566"/>
      <c r="AD580" s="566"/>
      <c r="AE580" s="566"/>
      <c r="AF580" s="566"/>
      <c r="AG580" s="566"/>
      <c r="AH580" s="566"/>
      <c r="AI580" s="566"/>
      <c r="AJ580" s="566"/>
      <c r="AK580" s="566"/>
      <c r="AL580" s="566"/>
      <c r="AM580" s="566"/>
      <c r="AN580" s="566"/>
      <c r="AO580" s="566"/>
    </row>
    <row r="581" spans="2:41" x14ac:dyDescent="0.15">
      <c r="B581" s="567">
        <v>-3</v>
      </c>
      <c r="C581" s="566">
        <v>7.8538812785388129E-2</v>
      </c>
      <c r="D581" s="566"/>
      <c r="E581" s="566"/>
      <c r="F581" s="566"/>
      <c r="G581" s="566"/>
      <c r="H581" s="566"/>
      <c r="I581" s="566"/>
      <c r="J581" s="566"/>
      <c r="K581" s="566"/>
      <c r="L581" s="566"/>
      <c r="M581" s="566"/>
      <c r="N581" s="566"/>
      <c r="O581" s="566"/>
      <c r="P581" s="566"/>
      <c r="Q581" s="566"/>
      <c r="R581" s="566"/>
      <c r="S581" s="566"/>
      <c r="T581" s="566"/>
      <c r="U581" s="566"/>
      <c r="V581" s="566"/>
      <c r="W581" s="566"/>
      <c r="X581" s="566"/>
      <c r="Y581" s="566"/>
      <c r="Z581" s="566"/>
      <c r="AA581" s="566"/>
      <c r="AB581" s="566"/>
      <c r="AC581" s="566"/>
      <c r="AD581" s="566"/>
      <c r="AE581" s="566"/>
      <c r="AF581" s="566"/>
      <c r="AG581" s="566"/>
      <c r="AH581" s="566"/>
      <c r="AI581" s="566"/>
      <c r="AJ581" s="566"/>
      <c r="AK581" s="566"/>
      <c r="AL581" s="566"/>
      <c r="AM581" s="566"/>
      <c r="AN581" s="566"/>
      <c r="AO581" s="566"/>
    </row>
    <row r="582" spans="2:41" x14ac:dyDescent="0.15">
      <c r="B582" s="567">
        <v>-2</v>
      </c>
      <c r="C582" s="566">
        <v>0.11723744292237442</v>
      </c>
      <c r="D582" s="566"/>
      <c r="E582" s="566"/>
      <c r="F582" s="566"/>
      <c r="G582" s="566"/>
      <c r="H582" s="566"/>
      <c r="I582" s="566"/>
      <c r="J582" s="566"/>
      <c r="K582" s="566"/>
      <c r="L582" s="566"/>
      <c r="M582" s="566"/>
      <c r="N582" s="566"/>
      <c r="O582" s="566"/>
      <c r="P582" s="566"/>
      <c r="Q582" s="566"/>
      <c r="R582" s="566"/>
      <c r="S582" s="566"/>
      <c r="T582" s="566"/>
      <c r="U582" s="566"/>
      <c r="V582" s="566"/>
      <c r="W582" s="566"/>
      <c r="X582" s="566"/>
      <c r="Y582" s="566"/>
      <c r="Z582" s="566"/>
      <c r="AA582" s="566"/>
      <c r="AB582" s="566"/>
      <c r="AC582" s="566"/>
      <c r="AD582" s="566"/>
      <c r="AE582" s="566"/>
      <c r="AF582" s="566"/>
      <c r="AG582" s="566"/>
      <c r="AH582" s="566"/>
      <c r="AI582" s="566"/>
      <c r="AJ582" s="566"/>
      <c r="AK582" s="566"/>
      <c r="AL582" s="566"/>
      <c r="AM582" s="566"/>
      <c r="AN582" s="566"/>
      <c r="AO582" s="566"/>
    </row>
    <row r="583" spans="2:41" x14ac:dyDescent="0.15">
      <c r="B583" s="567">
        <v>-1</v>
      </c>
      <c r="C583" s="566">
        <v>0.15570776255707763</v>
      </c>
      <c r="D583" s="566"/>
      <c r="E583" s="566"/>
      <c r="F583" s="566"/>
      <c r="G583" s="566"/>
      <c r="H583" s="566"/>
      <c r="I583" s="566"/>
      <c r="J583" s="566"/>
      <c r="K583" s="566"/>
      <c r="L583" s="566"/>
      <c r="M583" s="566"/>
      <c r="N583" s="566"/>
      <c r="O583" s="566"/>
      <c r="P583" s="566"/>
      <c r="Q583" s="566"/>
      <c r="R583" s="566"/>
      <c r="S583" s="566"/>
      <c r="T583" s="566"/>
      <c r="U583" s="566"/>
      <c r="V583" s="566"/>
      <c r="W583" s="566"/>
      <c r="X583" s="566"/>
      <c r="Y583" s="566"/>
      <c r="Z583" s="566"/>
      <c r="AA583" s="566"/>
      <c r="AB583" s="566"/>
      <c r="AC583" s="566"/>
      <c r="AD583" s="566"/>
      <c r="AE583" s="566"/>
      <c r="AF583" s="566"/>
      <c r="AG583" s="566"/>
      <c r="AH583" s="566"/>
      <c r="AI583" s="566"/>
      <c r="AJ583" s="566"/>
      <c r="AK583" s="566"/>
      <c r="AL583" s="566"/>
      <c r="AM583" s="566"/>
      <c r="AN583" s="566"/>
      <c r="AO583" s="566"/>
    </row>
    <row r="584" spans="2:41" x14ac:dyDescent="0.15">
      <c r="B584" s="567">
        <v>0</v>
      </c>
      <c r="C584" s="566">
        <v>0.20273972602739726</v>
      </c>
      <c r="D584" s="566"/>
      <c r="E584" s="566"/>
      <c r="F584" s="566"/>
      <c r="G584" s="566"/>
      <c r="H584" s="566"/>
      <c r="I584" s="566"/>
      <c r="J584" s="566"/>
      <c r="K584" s="566"/>
      <c r="L584" s="566"/>
      <c r="M584" s="566"/>
      <c r="N584" s="566"/>
      <c r="O584" s="566"/>
      <c r="P584" s="566"/>
      <c r="Q584" s="566"/>
      <c r="R584" s="566"/>
      <c r="S584" s="566"/>
      <c r="T584" s="566"/>
      <c r="U584" s="566"/>
      <c r="V584" s="566"/>
      <c r="W584" s="566"/>
      <c r="X584" s="566"/>
      <c r="Y584" s="566"/>
      <c r="Z584" s="566"/>
      <c r="AA584" s="566"/>
      <c r="AB584" s="566"/>
      <c r="AC584" s="566"/>
      <c r="AD584" s="566"/>
      <c r="AE584" s="566"/>
      <c r="AF584" s="566"/>
      <c r="AG584" s="566"/>
      <c r="AH584" s="566"/>
      <c r="AI584" s="566"/>
      <c r="AJ584" s="566"/>
      <c r="AK584" s="566"/>
      <c r="AL584" s="566"/>
      <c r="AM584" s="566"/>
      <c r="AN584" s="566"/>
      <c r="AO584" s="566"/>
    </row>
    <row r="585" spans="2:41" x14ac:dyDescent="0.15">
      <c r="B585" s="567">
        <v>1</v>
      </c>
      <c r="C585" s="566">
        <v>0.23378995433789954</v>
      </c>
      <c r="D585" s="566"/>
      <c r="E585" s="566"/>
      <c r="F585" s="566"/>
      <c r="G585" s="566"/>
      <c r="H585" s="566"/>
      <c r="I585" s="566"/>
      <c r="J585" s="566"/>
      <c r="K585" s="566"/>
      <c r="L585" s="566"/>
      <c r="M585" s="566"/>
      <c r="N585" s="566"/>
      <c r="O585" s="566"/>
      <c r="P585" s="566"/>
      <c r="Q585" s="566"/>
      <c r="R585" s="566"/>
      <c r="S585" s="566"/>
      <c r="T585" s="566"/>
      <c r="U585" s="566"/>
      <c r="V585" s="566"/>
      <c r="W585" s="566"/>
      <c r="X585" s="566"/>
      <c r="Y585" s="566"/>
      <c r="Z585" s="566"/>
      <c r="AA585" s="566"/>
      <c r="AB585" s="566"/>
      <c r="AC585" s="566"/>
      <c r="AD585" s="566"/>
      <c r="AE585" s="566"/>
      <c r="AF585" s="566"/>
      <c r="AG585" s="566"/>
      <c r="AH585" s="566"/>
      <c r="AI585" s="566"/>
      <c r="AJ585" s="566"/>
      <c r="AK585" s="566"/>
      <c r="AL585" s="566"/>
      <c r="AM585" s="566"/>
      <c r="AN585" s="566"/>
      <c r="AO585" s="566"/>
    </row>
    <row r="586" spans="2:41" x14ac:dyDescent="0.15">
      <c r="B586" s="567">
        <v>2</v>
      </c>
      <c r="C586" s="566">
        <v>0.29497716894977166</v>
      </c>
      <c r="D586" s="566"/>
      <c r="E586" s="566"/>
      <c r="F586" s="566"/>
      <c r="G586" s="566"/>
      <c r="H586" s="566"/>
      <c r="I586" s="566"/>
      <c r="J586" s="566"/>
      <c r="K586" s="566"/>
      <c r="L586" s="566"/>
      <c r="M586" s="566"/>
      <c r="N586" s="566"/>
      <c r="O586" s="566"/>
      <c r="P586" s="566"/>
      <c r="Q586" s="566"/>
      <c r="R586" s="566"/>
      <c r="S586" s="566"/>
      <c r="T586" s="566"/>
      <c r="U586" s="566"/>
      <c r="V586" s="566"/>
      <c r="W586" s="566"/>
      <c r="X586" s="566"/>
      <c r="Y586" s="566"/>
      <c r="Z586" s="566"/>
      <c r="AA586" s="566"/>
      <c r="AB586" s="566"/>
      <c r="AC586" s="566"/>
      <c r="AD586" s="566"/>
      <c r="AE586" s="566"/>
      <c r="AF586" s="566"/>
      <c r="AG586" s="566"/>
      <c r="AH586" s="566"/>
      <c r="AI586" s="566"/>
      <c r="AJ586" s="566"/>
      <c r="AK586" s="566"/>
      <c r="AL586" s="566"/>
      <c r="AM586" s="566"/>
      <c r="AN586" s="566"/>
      <c r="AO586" s="566"/>
    </row>
    <row r="587" spans="2:41" x14ac:dyDescent="0.15">
      <c r="B587" s="567">
        <v>3</v>
      </c>
      <c r="C587" s="566">
        <v>0.35856164383561645</v>
      </c>
      <c r="D587" s="566"/>
      <c r="E587" s="566"/>
      <c r="F587" s="566"/>
      <c r="G587" s="566"/>
      <c r="H587" s="566"/>
      <c r="I587" s="566"/>
      <c r="J587" s="566"/>
      <c r="K587" s="566"/>
      <c r="L587" s="566"/>
      <c r="M587" s="566"/>
      <c r="N587" s="566"/>
      <c r="O587" s="566"/>
      <c r="P587" s="566"/>
      <c r="Q587" s="566"/>
      <c r="R587" s="566"/>
      <c r="S587" s="566"/>
      <c r="T587" s="566"/>
      <c r="U587" s="566"/>
      <c r="V587" s="566"/>
      <c r="W587" s="566"/>
      <c r="X587" s="566"/>
      <c r="Y587" s="566"/>
      <c r="Z587" s="566"/>
      <c r="AA587" s="566"/>
      <c r="AB587" s="566"/>
      <c r="AC587" s="566"/>
      <c r="AD587" s="566"/>
      <c r="AE587" s="566"/>
      <c r="AF587" s="566"/>
      <c r="AG587" s="566"/>
      <c r="AH587" s="566"/>
      <c r="AI587" s="566"/>
      <c r="AJ587" s="566"/>
      <c r="AK587" s="566"/>
      <c r="AL587" s="566"/>
      <c r="AM587" s="566"/>
      <c r="AN587" s="566"/>
      <c r="AO587" s="566"/>
    </row>
    <row r="588" spans="2:41" x14ac:dyDescent="0.15">
      <c r="B588" s="567">
        <v>4</v>
      </c>
      <c r="C588" s="566">
        <v>0.41586757990867579</v>
      </c>
      <c r="D588" s="566"/>
      <c r="E588" s="566"/>
      <c r="F588" s="566"/>
      <c r="G588" s="566"/>
      <c r="H588" s="566"/>
      <c r="I588" s="566"/>
      <c r="J588" s="566"/>
      <c r="K588" s="566"/>
      <c r="L588" s="566"/>
      <c r="M588" s="566"/>
      <c r="N588" s="566"/>
      <c r="O588" s="566"/>
      <c r="P588" s="566"/>
      <c r="Q588" s="566"/>
      <c r="R588" s="566"/>
      <c r="S588" s="566"/>
      <c r="T588" s="566"/>
      <c r="U588" s="566"/>
      <c r="V588" s="566"/>
      <c r="W588" s="566"/>
      <c r="X588" s="566"/>
      <c r="Y588" s="566"/>
      <c r="Z588" s="566"/>
      <c r="AA588" s="566"/>
      <c r="AB588" s="566"/>
      <c r="AC588" s="566"/>
      <c r="AD588" s="566"/>
      <c r="AE588" s="566"/>
      <c r="AF588" s="566"/>
      <c r="AG588" s="566"/>
      <c r="AH588" s="566"/>
      <c r="AI588" s="566"/>
      <c r="AJ588" s="566"/>
      <c r="AK588" s="566"/>
      <c r="AL588" s="566"/>
      <c r="AM588" s="566"/>
      <c r="AN588" s="566"/>
      <c r="AO588" s="566"/>
    </row>
    <row r="589" spans="2:41" x14ac:dyDescent="0.15">
      <c r="B589" s="567">
        <v>5</v>
      </c>
      <c r="C589" s="566">
        <v>0.48139269406392693</v>
      </c>
      <c r="D589" s="566"/>
      <c r="E589" s="566"/>
      <c r="F589" s="566"/>
      <c r="G589" s="566"/>
      <c r="H589" s="566"/>
      <c r="I589" s="566"/>
      <c r="J589" s="566"/>
      <c r="K589" s="566"/>
      <c r="L589" s="566"/>
      <c r="M589" s="566"/>
      <c r="N589" s="566"/>
      <c r="O589" s="566"/>
      <c r="P589" s="566"/>
      <c r="Q589" s="566"/>
      <c r="R589" s="566"/>
      <c r="S589" s="566"/>
      <c r="T589" s="566"/>
      <c r="U589" s="566"/>
      <c r="V589" s="566"/>
      <c r="W589" s="566"/>
      <c r="X589" s="566"/>
      <c r="Y589" s="566"/>
      <c r="Z589" s="566"/>
      <c r="AA589" s="566"/>
      <c r="AB589" s="566"/>
      <c r="AC589" s="566"/>
      <c r="AD589" s="566"/>
      <c r="AE589" s="566"/>
      <c r="AF589" s="566"/>
      <c r="AG589" s="566"/>
      <c r="AH589" s="566"/>
      <c r="AI589" s="566"/>
      <c r="AJ589" s="566"/>
      <c r="AK589" s="566"/>
      <c r="AL589" s="566"/>
      <c r="AM589" s="566"/>
      <c r="AN589" s="566"/>
      <c r="AO589" s="566"/>
    </row>
    <row r="590" spans="2:41" x14ac:dyDescent="0.15">
      <c r="B590" s="567">
        <v>6</v>
      </c>
      <c r="C590" s="566">
        <v>0.51940639269406397</v>
      </c>
      <c r="D590" s="566"/>
      <c r="E590" s="566"/>
      <c r="F590" s="566"/>
      <c r="G590" s="566"/>
      <c r="H590" s="566"/>
      <c r="I590" s="566"/>
      <c r="J590" s="566"/>
      <c r="K590" s="566"/>
      <c r="L590" s="566"/>
      <c r="M590" s="566"/>
      <c r="N590" s="566"/>
      <c r="O590" s="566"/>
      <c r="P590" s="566"/>
      <c r="Q590" s="566"/>
      <c r="R590" s="566"/>
      <c r="S590" s="566"/>
      <c r="T590" s="566"/>
      <c r="U590" s="566"/>
      <c r="V590" s="566"/>
      <c r="W590" s="566"/>
      <c r="X590" s="566"/>
      <c r="Y590" s="566"/>
      <c r="Z590" s="566"/>
      <c r="AA590" s="566"/>
      <c r="AB590" s="566"/>
      <c r="AC590" s="566"/>
      <c r="AD590" s="566"/>
      <c r="AE590" s="566"/>
      <c r="AF590" s="566"/>
      <c r="AG590" s="566"/>
      <c r="AH590" s="566"/>
      <c r="AI590" s="566"/>
      <c r="AJ590" s="566"/>
      <c r="AK590" s="566"/>
      <c r="AL590" s="566"/>
      <c r="AM590" s="566"/>
      <c r="AN590" s="566"/>
      <c r="AO590" s="566"/>
    </row>
    <row r="591" spans="2:41" x14ac:dyDescent="0.15">
      <c r="B591" s="567">
        <v>7</v>
      </c>
      <c r="C591" s="566">
        <v>0.59178082191780823</v>
      </c>
      <c r="D591" s="566"/>
      <c r="E591" s="566"/>
      <c r="F591" s="566"/>
      <c r="G591" s="566"/>
      <c r="H591" s="566"/>
      <c r="I591" s="566"/>
      <c r="J591" s="566"/>
      <c r="K591" s="566"/>
      <c r="L591" s="566"/>
      <c r="M591" s="566"/>
      <c r="N591" s="566"/>
      <c r="O591" s="566"/>
      <c r="P591" s="566"/>
      <c r="Q591" s="566"/>
      <c r="R591" s="566"/>
      <c r="S591" s="566"/>
      <c r="T591" s="566"/>
      <c r="U591" s="566"/>
      <c r="V591" s="566"/>
      <c r="W591" s="566"/>
      <c r="X591" s="566"/>
      <c r="Y591" s="566"/>
      <c r="Z591" s="566"/>
      <c r="AA591" s="566"/>
      <c r="AB591" s="566"/>
      <c r="AC591" s="566"/>
      <c r="AD591" s="566"/>
      <c r="AE591" s="566"/>
      <c r="AF591" s="566"/>
      <c r="AG591" s="566"/>
      <c r="AH591" s="566"/>
      <c r="AI591" s="566"/>
      <c r="AJ591" s="566"/>
      <c r="AK591" s="566"/>
      <c r="AL591" s="566"/>
      <c r="AM591" s="566"/>
      <c r="AN591" s="566"/>
      <c r="AO591" s="566"/>
    </row>
    <row r="592" spans="2:41" x14ac:dyDescent="0.15">
      <c r="B592" s="567">
        <v>8</v>
      </c>
      <c r="C592" s="566">
        <v>0.66038812785388123</v>
      </c>
      <c r="D592" s="566"/>
      <c r="E592" s="566"/>
      <c r="F592" s="566"/>
      <c r="G592" s="566"/>
      <c r="H592" s="566"/>
      <c r="I592" s="566"/>
      <c r="J592" s="566"/>
      <c r="K592" s="566"/>
      <c r="L592" s="566"/>
      <c r="M592" s="566"/>
      <c r="N592" s="566"/>
      <c r="O592" s="566"/>
      <c r="P592" s="566"/>
      <c r="Q592" s="566"/>
      <c r="R592" s="566"/>
      <c r="S592" s="566"/>
      <c r="T592" s="566"/>
      <c r="U592" s="566"/>
      <c r="V592" s="566"/>
      <c r="W592" s="566"/>
      <c r="X592" s="566"/>
      <c r="Y592" s="566"/>
      <c r="Z592" s="566"/>
      <c r="AA592" s="566"/>
      <c r="AB592" s="566"/>
      <c r="AC592" s="566"/>
      <c r="AD592" s="566"/>
      <c r="AE592" s="566"/>
      <c r="AF592" s="566"/>
      <c r="AG592" s="566"/>
      <c r="AH592" s="566"/>
      <c r="AI592" s="566"/>
      <c r="AJ592" s="566"/>
      <c r="AK592" s="566"/>
      <c r="AL592" s="566"/>
      <c r="AM592" s="566"/>
      <c r="AN592" s="566"/>
      <c r="AO592" s="566"/>
    </row>
    <row r="593" spans="2:41" x14ac:dyDescent="0.15">
      <c r="B593" s="567">
        <v>9</v>
      </c>
      <c r="C593" s="566">
        <v>0.73002283105022836</v>
      </c>
      <c r="D593" s="566"/>
      <c r="E593" s="566"/>
      <c r="F593" s="566"/>
      <c r="G593" s="566"/>
      <c r="H593" s="566"/>
      <c r="I593" s="566"/>
      <c r="J593" s="566"/>
      <c r="K593" s="566"/>
      <c r="L593" s="566"/>
      <c r="M593" s="566"/>
      <c r="N593" s="566"/>
      <c r="O593" s="566"/>
      <c r="P593" s="566"/>
      <c r="Q593" s="566"/>
      <c r="R593" s="566"/>
      <c r="S593" s="566"/>
      <c r="T593" s="566"/>
      <c r="U593" s="566"/>
      <c r="V593" s="566"/>
      <c r="W593" s="566"/>
      <c r="X593" s="566"/>
      <c r="Y593" s="566"/>
      <c r="Z593" s="566"/>
      <c r="AA593" s="566"/>
      <c r="AB593" s="566"/>
      <c r="AC593" s="566"/>
      <c r="AD593" s="566"/>
      <c r="AE593" s="566"/>
      <c r="AF593" s="566"/>
      <c r="AG593" s="566"/>
      <c r="AH593" s="566"/>
      <c r="AI593" s="566"/>
      <c r="AJ593" s="566"/>
      <c r="AK593" s="566"/>
      <c r="AL593" s="566"/>
      <c r="AM593" s="566"/>
      <c r="AN593" s="566"/>
      <c r="AO593" s="566"/>
    </row>
    <row r="594" spans="2:41" x14ac:dyDescent="0.15">
      <c r="B594" s="567">
        <v>10</v>
      </c>
      <c r="C594" s="566">
        <v>0.79885844748858448</v>
      </c>
      <c r="D594" s="566"/>
      <c r="E594" s="566"/>
      <c r="F594" s="566"/>
      <c r="G594" s="566"/>
      <c r="H594" s="566"/>
      <c r="I594" s="566"/>
      <c r="J594" s="566"/>
      <c r="K594" s="566"/>
      <c r="L594" s="566"/>
      <c r="M594" s="566"/>
      <c r="N594" s="566"/>
      <c r="O594" s="566"/>
      <c r="P594" s="566"/>
      <c r="Q594" s="566"/>
      <c r="R594" s="566"/>
      <c r="S594" s="566"/>
      <c r="T594" s="566"/>
      <c r="U594" s="566"/>
      <c r="V594" s="566"/>
      <c r="W594" s="566"/>
      <c r="X594" s="566"/>
      <c r="Y594" s="566"/>
      <c r="Z594" s="566"/>
      <c r="AA594" s="566"/>
      <c r="AB594" s="566"/>
      <c r="AC594" s="566"/>
      <c r="AD594" s="566"/>
      <c r="AE594" s="566"/>
      <c r="AF594" s="566"/>
      <c r="AG594" s="566"/>
      <c r="AH594" s="566"/>
      <c r="AI594" s="566"/>
      <c r="AJ594" s="566"/>
      <c r="AK594" s="566"/>
      <c r="AL594" s="566"/>
      <c r="AM594" s="566"/>
      <c r="AN594" s="566"/>
      <c r="AO594" s="566"/>
    </row>
    <row r="595" spans="2:41" x14ac:dyDescent="0.15">
      <c r="B595" s="567">
        <v>11</v>
      </c>
      <c r="C595" s="566">
        <v>0.8348173515981735</v>
      </c>
      <c r="D595" s="566"/>
      <c r="E595" s="566"/>
      <c r="F595" s="566"/>
      <c r="G595" s="566"/>
      <c r="H595" s="566"/>
      <c r="I595" s="566"/>
      <c r="J595" s="566"/>
      <c r="K595" s="566"/>
      <c r="L595" s="566"/>
      <c r="M595" s="566"/>
      <c r="N595" s="566"/>
      <c r="O595" s="566"/>
      <c r="P595" s="566"/>
      <c r="Q595" s="566"/>
      <c r="R595" s="566"/>
      <c r="S595" s="566"/>
      <c r="T595" s="566"/>
      <c r="U595" s="566"/>
      <c r="V595" s="566"/>
      <c r="W595" s="566"/>
      <c r="X595" s="566"/>
      <c r="Y595" s="566"/>
      <c r="Z595" s="566"/>
      <c r="AA595" s="566"/>
      <c r="AB595" s="566"/>
      <c r="AC595" s="566"/>
      <c r="AD595" s="566"/>
      <c r="AE595" s="566"/>
      <c r="AF595" s="566"/>
      <c r="AG595" s="566"/>
      <c r="AH595" s="566"/>
      <c r="AI595" s="566"/>
      <c r="AJ595" s="566"/>
      <c r="AK595" s="566"/>
      <c r="AL595" s="566"/>
      <c r="AM595" s="566"/>
      <c r="AN595" s="566"/>
      <c r="AO595" s="566"/>
    </row>
    <row r="596" spans="2:41" x14ac:dyDescent="0.15">
      <c r="B596" s="567">
        <v>12</v>
      </c>
      <c r="C596" s="566">
        <v>0.89908675799086757</v>
      </c>
      <c r="D596" s="566"/>
      <c r="E596" s="566"/>
      <c r="F596" s="566"/>
      <c r="G596" s="566"/>
      <c r="H596" s="566"/>
      <c r="I596" s="566"/>
      <c r="J596" s="566"/>
      <c r="K596" s="566"/>
      <c r="L596" s="566"/>
      <c r="M596" s="566"/>
      <c r="N596" s="566"/>
      <c r="O596" s="566"/>
      <c r="P596" s="566"/>
      <c r="Q596" s="566"/>
      <c r="R596" s="566"/>
      <c r="S596" s="566"/>
      <c r="T596" s="566"/>
      <c r="U596" s="566"/>
      <c r="V596" s="566"/>
      <c r="W596" s="566"/>
      <c r="X596" s="566"/>
      <c r="Y596" s="566"/>
      <c r="Z596" s="566"/>
      <c r="AA596" s="566"/>
      <c r="AB596" s="566"/>
      <c r="AC596" s="566"/>
      <c r="AD596" s="566"/>
      <c r="AE596" s="566"/>
      <c r="AF596" s="566"/>
      <c r="AG596" s="566"/>
      <c r="AH596" s="566"/>
      <c r="AI596" s="566"/>
      <c r="AJ596" s="566"/>
      <c r="AK596" s="566"/>
      <c r="AL596" s="566"/>
      <c r="AM596" s="566"/>
      <c r="AN596" s="566"/>
      <c r="AO596" s="566"/>
    </row>
    <row r="597" spans="2:41" x14ac:dyDescent="0.15">
      <c r="B597" s="567">
        <v>13</v>
      </c>
      <c r="C597" s="566">
        <v>0.94417808219178079</v>
      </c>
      <c r="D597" s="566"/>
      <c r="E597" s="566"/>
      <c r="F597" s="566"/>
      <c r="G597" s="566"/>
      <c r="H597" s="566"/>
      <c r="I597" s="566"/>
      <c r="J597" s="566"/>
      <c r="K597" s="566"/>
      <c r="L597" s="566"/>
      <c r="M597" s="566"/>
      <c r="N597" s="566"/>
      <c r="O597" s="566"/>
      <c r="P597" s="566"/>
      <c r="Q597" s="566"/>
      <c r="R597" s="566"/>
      <c r="S597" s="566"/>
      <c r="T597" s="566"/>
      <c r="U597" s="566"/>
      <c r="V597" s="566"/>
      <c r="W597" s="566"/>
      <c r="X597" s="566"/>
      <c r="Y597" s="566"/>
      <c r="Z597" s="566"/>
      <c r="AA597" s="566"/>
      <c r="AB597" s="566"/>
      <c r="AC597" s="566"/>
      <c r="AD597" s="566"/>
      <c r="AE597" s="566"/>
      <c r="AF597" s="566"/>
      <c r="AG597" s="566"/>
      <c r="AH597" s="566"/>
      <c r="AI597" s="566"/>
      <c r="AJ597" s="566"/>
      <c r="AK597" s="566"/>
      <c r="AL597" s="566"/>
      <c r="AM597" s="566"/>
      <c r="AN597" s="566"/>
      <c r="AO597" s="566"/>
    </row>
    <row r="598" spans="2:41" x14ac:dyDescent="0.15">
      <c r="B598" s="567">
        <v>14</v>
      </c>
      <c r="C598" s="566">
        <v>0.97648401826484021</v>
      </c>
      <c r="D598" s="566"/>
      <c r="E598" s="566"/>
      <c r="F598" s="566"/>
      <c r="G598" s="566"/>
      <c r="H598" s="566"/>
      <c r="I598" s="566"/>
      <c r="J598" s="566"/>
      <c r="K598" s="566"/>
      <c r="L598" s="566"/>
      <c r="M598" s="566"/>
      <c r="N598" s="566"/>
      <c r="O598" s="566"/>
      <c r="P598" s="566"/>
      <c r="Q598" s="566"/>
      <c r="R598" s="566"/>
      <c r="S598" s="566"/>
      <c r="T598" s="566"/>
      <c r="U598" s="566"/>
      <c r="V598" s="566"/>
      <c r="W598" s="566"/>
      <c r="X598" s="566"/>
      <c r="Y598" s="566"/>
      <c r="Z598" s="566"/>
      <c r="AA598" s="566"/>
      <c r="AB598" s="566"/>
      <c r="AC598" s="566"/>
      <c r="AD598" s="566"/>
      <c r="AE598" s="566"/>
      <c r="AF598" s="566"/>
      <c r="AG598" s="566"/>
      <c r="AH598" s="566"/>
      <c r="AI598" s="566"/>
      <c r="AJ598" s="566"/>
      <c r="AK598" s="566"/>
      <c r="AL598" s="566"/>
      <c r="AM598" s="566"/>
      <c r="AN598" s="566"/>
      <c r="AO598" s="566"/>
    </row>
    <row r="599" spans="2:41" x14ac:dyDescent="0.15">
      <c r="B599" s="567">
        <v>15</v>
      </c>
      <c r="C599" s="566">
        <v>0.99235159817351604</v>
      </c>
      <c r="D599" s="566"/>
      <c r="E599" s="566"/>
      <c r="F599" s="566"/>
      <c r="G599" s="566"/>
      <c r="H599" s="566"/>
      <c r="I599" s="566"/>
      <c r="J599" s="566"/>
      <c r="K599" s="566"/>
      <c r="L599" s="566"/>
      <c r="M599" s="566"/>
      <c r="N599" s="566"/>
      <c r="O599" s="566"/>
      <c r="P599" s="566"/>
      <c r="Q599" s="566"/>
      <c r="R599" s="566"/>
      <c r="S599" s="566"/>
      <c r="T599" s="566"/>
      <c r="U599" s="566"/>
      <c r="V599" s="566"/>
      <c r="W599" s="566"/>
      <c r="X599" s="566"/>
      <c r="Y599" s="566"/>
      <c r="Z599" s="566"/>
      <c r="AA599" s="566"/>
      <c r="AB599" s="566"/>
      <c r="AC599" s="566"/>
      <c r="AD599" s="566"/>
      <c r="AE599" s="566"/>
      <c r="AF599" s="566"/>
      <c r="AG599" s="566"/>
      <c r="AH599" s="566"/>
      <c r="AI599" s="566"/>
      <c r="AJ599" s="566"/>
      <c r="AK599" s="566"/>
      <c r="AL599" s="566"/>
      <c r="AM599" s="566"/>
      <c r="AN599" s="566"/>
      <c r="AO599" s="566"/>
    </row>
    <row r="600" spans="2:41" x14ac:dyDescent="0.15">
      <c r="B600" s="567">
        <v>16</v>
      </c>
      <c r="C600" s="566">
        <v>0.99509132420091329</v>
      </c>
      <c r="D600" s="566"/>
      <c r="E600" s="566"/>
      <c r="F600" s="566"/>
      <c r="G600" s="566"/>
      <c r="H600" s="566"/>
      <c r="I600" s="566"/>
      <c r="J600" s="566"/>
      <c r="K600" s="566"/>
      <c r="L600" s="566"/>
      <c r="M600" s="566"/>
      <c r="N600" s="566"/>
      <c r="O600" s="566"/>
      <c r="P600" s="566"/>
      <c r="Q600" s="566"/>
      <c r="R600" s="566"/>
      <c r="S600" s="566"/>
      <c r="T600" s="566"/>
      <c r="U600" s="566"/>
      <c r="V600" s="566"/>
      <c r="W600" s="566"/>
      <c r="X600" s="566"/>
      <c r="Y600" s="566"/>
      <c r="Z600" s="566"/>
      <c r="AA600" s="566"/>
      <c r="AB600" s="566"/>
      <c r="AC600" s="566"/>
      <c r="AD600" s="566"/>
      <c r="AE600" s="566"/>
      <c r="AF600" s="566"/>
      <c r="AG600" s="566"/>
      <c r="AH600" s="566"/>
      <c r="AI600" s="566"/>
      <c r="AJ600" s="566"/>
      <c r="AK600" s="566"/>
      <c r="AL600" s="566"/>
      <c r="AM600" s="566"/>
      <c r="AN600" s="566"/>
      <c r="AO600" s="566"/>
    </row>
    <row r="601" spans="2:41" x14ac:dyDescent="0.15">
      <c r="B601" s="567">
        <v>17</v>
      </c>
      <c r="C601" s="566">
        <v>0.99840182648401832</v>
      </c>
      <c r="D601" s="566"/>
      <c r="E601" s="566"/>
      <c r="F601" s="566"/>
      <c r="G601" s="566"/>
      <c r="H601" s="566"/>
      <c r="I601" s="566"/>
      <c r="J601" s="566"/>
      <c r="K601" s="566"/>
      <c r="L601" s="566"/>
      <c r="M601" s="566"/>
      <c r="N601" s="566"/>
      <c r="O601" s="566"/>
      <c r="P601" s="566"/>
      <c r="Q601" s="566"/>
      <c r="R601" s="566"/>
      <c r="S601" s="566"/>
      <c r="T601" s="566"/>
      <c r="U601" s="566"/>
      <c r="V601" s="566"/>
      <c r="W601" s="566"/>
      <c r="X601" s="566"/>
      <c r="Y601" s="566"/>
      <c r="Z601" s="566"/>
      <c r="AA601" s="566"/>
      <c r="AB601" s="566"/>
      <c r="AC601" s="566"/>
      <c r="AD601" s="566"/>
      <c r="AE601" s="566"/>
      <c r="AF601" s="566"/>
      <c r="AG601" s="566"/>
      <c r="AH601" s="566"/>
      <c r="AI601" s="566"/>
      <c r="AJ601" s="566"/>
      <c r="AK601" s="566"/>
      <c r="AL601" s="566"/>
      <c r="AM601" s="566"/>
      <c r="AN601" s="566"/>
      <c r="AO601" s="566"/>
    </row>
    <row r="602" spans="2:41" x14ac:dyDescent="0.15">
      <c r="B602" s="567">
        <v>18</v>
      </c>
      <c r="C602" s="566">
        <v>1</v>
      </c>
      <c r="D602" s="566"/>
      <c r="E602" s="566"/>
      <c r="F602" s="566"/>
      <c r="G602" s="566"/>
      <c r="H602" s="566"/>
      <c r="I602" s="566"/>
      <c r="J602" s="566"/>
      <c r="K602" s="566"/>
      <c r="L602" s="566"/>
      <c r="M602" s="566"/>
      <c r="N602" s="566"/>
      <c r="O602" s="566"/>
      <c r="P602" s="566"/>
      <c r="Q602" s="566"/>
      <c r="R602" s="566"/>
      <c r="S602" s="566"/>
      <c r="T602" s="566"/>
      <c r="U602" s="566"/>
      <c r="V602" s="566"/>
      <c r="W602" s="566"/>
      <c r="X602" s="566"/>
      <c r="Y602" s="566"/>
      <c r="Z602" s="566"/>
      <c r="AA602" s="566"/>
      <c r="AB602" s="566"/>
      <c r="AC602" s="566"/>
      <c r="AD602" s="566"/>
      <c r="AE602" s="566"/>
      <c r="AF602" s="566"/>
      <c r="AG602" s="566"/>
      <c r="AH602" s="566"/>
      <c r="AI602" s="566"/>
      <c r="AJ602" s="566"/>
      <c r="AK602" s="566"/>
      <c r="AL602" s="566"/>
      <c r="AM602" s="566"/>
      <c r="AN602" s="566"/>
      <c r="AO602" s="566"/>
    </row>
    <row r="603" spans="2:41" x14ac:dyDescent="0.15">
      <c r="B603" s="567">
        <v>19</v>
      </c>
      <c r="C603" s="566">
        <v>1</v>
      </c>
      <c r="D603" s="566"/>
      <c r="E603" s="566"/>
      <c r="F603" s="566"/>
      <c r="G603" s="566"/>
      <c r="H603" s="566"/>
      <c r="I603" s="566"/>
      <c r="J603" s="566"/>
      <c r="K603" s="566"/>
      <c r="L603" s="566"/>
      <c r="M603" s="566"/>
      <c r="N603" s="566"/>
      <c r="O603" s="566"/>
      <c r="P603" s="566"/>
      <c r="Q603" s="566"/>
      <c r="R603" s="566"/>
      <c r="S603" s="566"/>
      <c r="T603" s="566"/>
      <c r="U603" s="566"/>
      <c r="V603" s="566"/>
      <c r="W603" s="566"/>
      <c r="X603" s="566"/>
      <c r="Y603" s="566"/>
      <c r="Z603" s="566"/>
      <c r="AA603" s="566"/>
      <c r="AB603" s="566"/>
      <c r="AC603" s="566"/>
      <c r="AD603" s="566"/>
      <c r="AE603" s="566"/>
      <c r="AF603" s="566"/>
      <c r="AG603" s="566"/>
      <c r="AH603" s="566"/>
      <c r="AI603" s="566"/>
      <c r="AJ603" s="566"/>
      <c r="AK603" s="566"/>
      <c r="AL603" s="566"/>
      <c r="AM603" s="566"/>
      <c r="AN603" s="566"/>
      <c r="AO603" s="566"/>
    </row>
    <row r="604" spans="2:41" x14ac:dyDescent="0.15">
      <c r="B604" s="567">
        <v>20</v>
      </c>
      <c r="C604" s="566">
        <v>1</v>
      </c>
      <c r="D604" s="566"/>
      <c r="E604" s="566"/>
      <c r="F604" s="566"/>
      <c r="G604" s="566"/>
      <c r="H604" s="566"/>
      <c r="I604" s="566"/>
      <c r="J604" s="566"/>
      <c r="K604" s="566"/>
      <c r="L604" s="566"/>
      <c r="M604" s="566"/>
      <c r="N604" s="566"/>
      <c r="O604" s="566"/>
      <c r="P604" s="566"/>
      <c r="Q604" s="566"/>
      <c r="R604" s="566"/>
      <c r="S604" s="566"/>
      <c r="T604" s="566"/>
      <c r="U604" s="566"/>
      <c r="V604" s="566"/>
      <c r="W604" s="566"/>
      <c r="X604" s="566"/>
      <c r="Y604" s="566"/>
      <c r="Z604" s="566"/>
      <c r="AA604" s="566"/>
      <c r="AB604" s="566"/>
      <c r="AC604" s="566"/>
      <c r="AD604" s="566"/>
      <c r="AE604" s="566"/>
      <c r="AF604" s="566"/>
      <c r="AG604" s="566"/>
      <c r="AH604" s="566"/>
      <c r="AI604" s="566"/>
      <c r="AJ604" s="566"/>
      <c r="AK604" s="566"/>
      <c r="AL604" s="566"/>
      <c r="AM604" s="566"/>
      <c r="AN604" s="566"/>
      <c r="AO604" s="566"/>
    </row>
    <row r="605" spans="2:41" x14ac:dyDescent="0.15">
      <c r="B605" s="567">
        <v>21</v>
      </c>
      <c r="C605" s="566">
        <v>1</v>
      </c>
      <c r="D605" s="566"/>
      <c r="E605" s="566"/>
      <c r="F605" s="566"/>
      <c r="G605" s="566"/>
      <c r="H605" s="566"/>
      <c r="I605" s="566"/>
      <c r="J605" s="566"/>
      <c r="K605" s="566"/>
      <c r="L605" s="566"/>
      <c r="M605" s="566"/>
      <c r="N605" s="566"/>
      <c r="O605" s="566"/>
      <c r="P605" s="566"/>
      <c r="Q605" s="566"/>
      <c r="R605" s="566"/>
      <c r="S605" s="566"/>
      <c r="T605" s="566"/>
      <c r="U605" s="566"/>
      <c r="V605" s="566"/>
      <c r="W605" s="566"/>
      <c r="X605" s="566"/>
      <c r="Y605" s="566"/>
      <c r="Z605" s="566"/>
      <c r="AA605" s="566"/>
      <c r="AB605" s="566"/>
      <c r="AC605" s="566"/>
      <c r="AD605" s="566"/>
      <c r="AE605" s="566"/>
      <c r="AF605" s="566"/>
      <c r="AG605" s="566"/>
      <c r="AH605" s="566"/>
      <c r="AI605" s="566"/>
      <c r="AJ605" s="566"/>
      <c r="AK605" s="566"/>
      <c r="AL605" s="566"/>
      <c r="AM605" s="566"/>
      <c r="AN605" s="566"/>
      <c r="AO605" s="566"/>
    </row>
    <row r="606" spans="2:41" x14ac:dyDescent="0.15">
      <c r="B606" s="567">
        <v>22</v>
      </c>
      <c r="C606" s="566">
        <v>1</v>
      </c>
      <c r="D606" s="566"/>
      <c r="E606" s="566"/>
      <c r="F606" s="566"/>
      <c r="G606" s="566"/>
      <c r="H606" s="566"/>
      <c r="I606" s="566"/>
      <c r="J606" s="566"/>
      <c r="K606" s="566"/>
      <c r="L606" s="566"/>
      <c r="M606" s="566"/>
      <c r="N606" s="566"/>
      <c r="O606" s="566"/>
      <c r="P606" s="566"/>
      <c r="Q606" s="566"/>
      <c r="R606" s="566"/>
      <c r="S606" s="566"/>
      <c r="T606" s="566"/>
      <c r="U606" s="566"/>
      <c r="V606" s="566"/>
      <c r="W606" s="566"/>
      <c r="X606" s="566"/>
      <c r="Y606" s="566"/>
      <c r="Z606" s="566"/>
      <c r="AA606" s="566"/>
      <c r="AB606" s="566"/>
      <c r="AC606" s="566"/>
      <c r="AD606" s="566"/>
      <c r="AE606" s="566"/>
      <c r="AF606" s="566"/>
      <c r="AG606" s="566"/>
      <c r="AH606" s="566"/>
      <c r="AI606" s="566"/>
      <c r="AJ606" s="566"/>
      <c r="AK606" s="566"/>
      <c r="AL606" s="566"/>
      <c r="AM606" s="566"/>
      <c r="AN606" s="566"/>
      <c r="AO606" s="566"/>
    </row>
    <row r="607" spans="2:41" x14ac:dyDescent="0.15">
      <c r="B607" s="567">
        <v>23</v>
      </c>
      <c r="C607" s="566">
        <v>1</v>
      </c>
      <c r="D607" s="566"/>
      <c r="E607" s="566"/>
      <c r="F607" s="566"/>
      <c r="G607" s="566"/>
      <c r="H607" s="566"/>
      <c r="I607" s="566"/>
      <c r="J607" s="566"/>
      <c r="K607" s="566"/>
      <c r="L607" s="566"/>
      <c r="M607" s="566"/>
      <c r="N607" s="566"/>
      <c r="O607" s="566"/>
      <c r="P607" s="566"/>
      <c r="Q607" s="566"/>
      <c r="R607" s="566"/>
      <c r="S607" s="566"/>
      <c r="T607" s="566"/>
      <c r="U607" s="566"/>
      <c r="V607" s="566"/>
      <c r="W607" s="566"/>
      <c r="X607" s="566"/>
      <c r="Y607" s="566"/>
      <c r="Z607" s="566"/>
      <c r="AA607" s="566"/>
      <c r="AB607" s="566"/>
      <c r="AC607" s="566"/>
      <c r="AD607" s="566"/>
      <c r="AE607" s="566"/>
      <c r="AF607" s="566"/>
      <c r="AG607" s="566"/>
      <c r="AH607" s="566"/>
      <c r="AI607" s="566"/>
      <c r="AJ607" s="566"/>
      <c r="AK607" s="566"/>
      <c r="AL607" s="566"/>
      <c r="AM607" s="566"/>
      <c r="AN607" s="566"/>
      <c r="AO607" s="566"/>
    </row>
    <row r="608" spans="2:41" x14ac:dyDescent="0.15">
      <c r="B608" s="567">
        <v>24</v>
      </c>
      <c r="C608" s="566">
        <v>1</v>
      </c>
      <c r="D608" s="566"/>
      <c r="E608" s="566"/>
      <c r="F608" s="566"/>
      <c r="G608" s="566"/>
      <c r="H608" s="566"/>
      <c r="I608" s="566"/>
      <c r="J608" s="566"/>
      <c r="K608" s="566"/>
      <c r="L608" s="566"/>
      <c r="M608" s="566"/>
      <c r="N608" s="566"/>
      <c r="O608" s="566"/>
      <c r="P608" s="566"/>
      <c r="Q608" s="566"/>
      <c r="R608" s="566"/>
      <c r="S608" s="566"/>
      <c r="T608" s="566"/>
      <c r="U608" s="566"/>
      <c r="V608" s="566"/>
      <c r="W608" s="566"/>
      <c r="X608" s="566"/>
      <c r="Y608" s="566"/>
      <c r="Z608" s="566"/>
      <c r="AA608" s="566"/>
      <c r="AB608" s="566"/>
      <c r="AC608" s="566"/>
      <c r="AD608" s="566"/>
      <c r="AE608" s="566"/>
      <c r="AF608" s="566"/>
      <c r="AG608" s="566"/>
      <c r="AH608" s="566"/>
      <c r="AI608" s="566"/>
      <c r="AJ608" s="566"/>
      <c r="AK608" s="566"/>
      <c r="AL608" s="566"/>
      <c r="AM608" s="566"/>
      <c r="AN608" s="566"/>
      <c r="AO608" s="566"/>
    </row>
    <row r="609" spans="2:41" x14ac:dyDescent="0.15">
      <c r="B609" s="567">
        <v>25</v>
      </c>
      <c r="C609" s="566">
        <v>1</v>
      </c>
      <c r="D609" s="566"/>
      <c r="E609" s="566"/>
      <c r="F609" s="566"/>
      <c r="G609" s="566"/>
      <c r="H609" s="566"/>
      <c r="I609" s="566"/>
      <c r="J609" s="566"/>
      <c r="K609" s="566"/>
      <c r="L609" s="566"/>
      <c r="M609" s="566"/>
      <c r="N609" s="566"/>
      <c r="O609" s="566"/>
      <c r="P609" s="566"/>
      <c r="Q609" s="566"/>
      <c r="R609" s="566"/>
      <c r="S609" s="566"/>
      <c r="T609" s="566"/>
      <c r="U609" s="566"/>
      <c r="V609" s="566"/>
      <c r="W609" s="566"/>
      <c r="X609" s="566"/>
      <c r="Y609" s="566"/>
      <c r="Z609" s="566"/>
      <c r="AA609" s="566"/>
      <c r="AB609" s="566"/>
      <c r="AC609" s="566"/>
      <c r="AD609" s="566"/>
      <c r="AE609" s="566"/>
      <c r="AF609" s="566"/>
      <c r="AG609" s="566"/>
      <c r="AH609" s="566"/>
      <c r="AI609" s="566"/>
      <c r="AJ609" s="566"/>
      <c r="AK609" s="566"/>
      <c r="AL609" s="566"/>
      <c r="AM609" s="566"/>
      <c r="AN609" s="566"/>
      <c r="AO609" s="566"/>
    </row>
    <row r="610" spans="2:41" x14ac:dyDescent="0.15">
      <c r="B610" s="567">
        <v>26</v>
      </c>
      <c r="C610" s="566">
        <v>1</v>
      </c>
      <c r="D610" s="566"/>
      <c r="E610" s="566"/>
      <c r="F610" s="566"/>
      <c r="G610" s="566"/>
      <c r="H610" s="566"/>
      <c r="I610" s="566"/>
      <c r="J610" s="566"/>
      <c r="K610" s="566"/>
      <c r="L610" s="566"/>
      <c r="M610" s="566"/>
      <c r="N610" s="566"/>
      <c r="O610" s="566"/>
      <c r="P610" s="566"/>
      <c r="Q610" s="566"/>
      <c r="R610" s="566"/>
      <c r="S610" s="566"/>
      <c r="T610" s="566"/>
      <c r="U610" s="566"/>
      <c r="V610" s="566"/>
      <c r="W610" s="566"/>
      <c r="X610" s="566"/>
      <c r="Y610" s="566"/>
      <c r="Z610" s="566"/>
      <c r="AA610" s="566"/>
      <c r="AB610" s="566"/>
      <c r="AC610" s="566"/>
      <c r="AD610" s="566"/>
      <c r="AE610" s="566"/>
      <c r="AF610" s="566"/>
      <c r="AG610" s="566"/>
      <c r="AH610" s="566"/>
      <c r="AI610" s="566"/>
      <c r="AJ610" s="566"/>
      <c r="AK610" s="566"/>
      <c r="AL610" s="566"/>
      <c r="AM610" s="566"/>
      <c r="AN610" s="566"/>
      <c r="AO610" s="566"/>
    </row>
    <row r="611" spans="2:41" x14ac:dyDescent="0.15">
      <c r="B611" s="567">
        <v>27</v>
      </c>
      <c r="C611" s="566">
        <v>1</v>
      </c>
      <c r="D611" s="566"/>
      <c r="E611" s="566"/>
      <c r="F611" s="566"/>
      <c r="G611" s="566"/>
      <c r="H611" s="566"/>
      <c r="I611" s="566"/>
      <c r="J611" s="566"/>
      <c r="K611" s="566"/>
      <c r="L611" s="566"/>
      <c r="M611" s="566"/>
      <c r="N611" s="566"/>
      <c r="O611" s="566"/>
      <c r="P611" s="566"/>
      <c r="Q611" s="566"/>
      <c r="R611" s="566"/>
      <c r="S611" s="566"/>
      <c r="T611" s="566"/>
      <c r="U611" s="566"/>
      <c r="V611" s="566"/>
      <c r="W611" s="566"/>
      <c r="X611" s="566"/>
      <c r="Y611" s="566"/>
      <c r="Z611" s="566"/>
      <c r="AA611" s="566"/>
      <c r="AB611" s="566"/>
      <c r="AC611" s="566"/>
      <c r="AD611" s="566"/>
      <c r="AE611" s="566"/>
      <c r="AF611" s="566"/>
      <c r="AG611" s="566"/>
      <c r="AH611" s="566"/>
      <c r="AI611" s="566"/>
      <c r="AJ611" s="566"/>
      <c r="AK611" s="566"/>
      <c r="AL611" s="566"/>
      <c r="AM611" s="566"/>
      <c r="AN611" s="566"/>
      <c r="AO611" s="566"/>
    </row>
    <row r="612" spans="2:41" x14ac:dyDescent="0.15">
      <c r="B612" s="567">
        <v>28</v>
      </c>
      <c r="C612" s="566">
        <v>1</v>
      </c>
      <c r="D612" s="566"/>
      <c r="E612" s="566"/>
      <c r="F612" s="566"/>
      <c r="G612" s="566"/>
      <c r="H612" s="566"/>
      <c r="I612" s="566"/>
      <c r="J612" s="566"/>
      <c r="K612" s="566"/>
      <c r="L612" s="566"/>
      <c r="M612" s="566"/>
      <c r="N612" s="566"/>
      <c r="O612" s="566"/>
      <c r="P612" s="566"/>
      <c r="Q612" s="566"/>
      <c r="R612" s="566"/>
      <c r="S612" s="566"/>
      <c r="T612" s="566"/>
      <c r="U612" s="566"/>
      <c r="V612" s="566"/>
      <c r="W612" s="566"/>
      <c r="X612" s="566"/>
      <c r="Y612" s="566"/>
      <c r="Z612" s="566"/>
      <c r="AA612" s="566"/>
      <c r="AB612" s="566"/>
      <c r="AC612" s="566"/>
      <c r="AD612" s="566"/>
      <c r="AE612" s="566"/>
      <c r="AF612" s="566"/>
      <c r="AG612" s="566"/>
      <c r="AH612" s="566"/>
      <c r="AI612" s="566"/>
      <c r="AJ612" s="566"/>
      <c r="AK612" s="566"/>
      <c r="AL612" s="566"/>
      <c r="AM612" s="566"/>
      <c r="AN612" s="566"/>
      <c r="AO612" s="566"/>
    </row>
    <row r="613" spans="2:41" x14ac:dyDescent="0.15">
      <c r="B613" s="567">
        <v>29</v>
      </c>
      <c r="C613" s="566">
        <v>1</v>
      </c>
      <c r="D613" s="566"/>
      <c r="E613" s="566"/>
      <c r="F613" s="566"/>
      <c r="G613" s="566"/>
      <c r="H613" s="566"/>
      <c r="I613" s="566"/>
      <c r="J613" s="566"/>
      <c r="K613" s="566"/>
      <c r="L613" s="566"/>
      <c r="M613" s="566"/>
      <c r="N613" s="566"/>
      <c r="O613" s="566"/>
      <c r="P613" s="566"/>
      <c r="Q613" s="566"/>
      <c r="R613" s="566"/>
      <c r="S613" s="566"/>
      <c r="T613" s="566"/>
      <c r="U613" s="566"/>
      <c r="V613" s="566"/>
      <c r="W613" s="566"/>
      <c r="X613" s="566"/>
      <c r="Y613" s="566"/>
      <c r="Z613" s="566"/>
      <c r="AA613" s="566"/>
      <c r="AB613" s="566"/>
      <c r="AC613" s="566"/>
      <c r="AD613" s="566"/>
      <c r="AE613" s="566"/>
      <c r="AF613" s="566"/>
      <c r="AG613" s="566"/>
      <c r="AH613" s="566"/>
      <c r="AI613" s="566"/>
      <c r="AJ613" s="566"/>
      <c r="AK613" s="566"/>
      <c r="AL613" s="566"/>
      <c r="AM613" s="566"/>
      <c r="AN613" s="566"/>
      <c r="AO613" s="566"/>
    </row>
    <row r="614" spans="2:41" x14ac:dyDescent="0.15">
      <c r="B614" s="567">
        <v>30</v>
      </c>
      <c r="C614" s="566">
        <v>1</v>
      </c>
      <c r="D614" s="566"/>
      <c r="E614" s="566"/>
      <c r="F614" s="566"/>
      <c r="G614" s="566"/>
      <c r="H614" s="566"/>
      <c r="I614" s="566"/>
      <c r="J614" s="566"/>
      <c r="K614" s="566"/>
      <c r="L614" s="566"/>
      <c r="M614" s="566"/>
      <c r="N614" s="566"/>
      <c r="O614" s="566"/>
      <c r="P614" s="566"/>
      <c r="Q614" s="566"/>
      <c r="R614" s="566"/>
      <c r="S614" s="566"/>
      <c r="T614" s="566"/>
      <c r="U614" s="566"/>
      <c r="V614" s="566"/>
      <c r="W614" s="566"/>
      <c r="X614" s="566"/>
      <c r="Y614" s="566"/>
      <c r="Z614" s="566"/>
      <c r="AA614" s="566"/>
      <c r="AB614" s="566"/>
      <c r="AC614" s="566"/>
      <c r="AD614" s="566"/>
      <c r="AE614" s="566"/>
      <c r="AF614" s="566"/>
      <c r="AG614" s="566"/>
      <c r="AH614" s="566"/>
      <c r="AI614" s="566"/>
      <c r="AJ614" s="566"/>
      <c r="AK614" s="566"/>
      <c r="AL614" s="566"/>
      <c r="AM614" s="566"/>
      <c r="AN614" s="566"/>
      <c r="AO614" s="566"/>
    </row>
    <row r="615" spans="2:41" x14ac:dyDescent="0.15">
      <c r="B615" s="567">
        <v>31</v>
      </c>
      <c r="C615" s="566">
        <v>1</v>
      </c>
      <c r="D615" s="566"/>
      <c r="E615" s="566"/>
      <c r="F615" s="566"/>
      <c r="G615" s="566"/>
      <c r="H615" s="566"/>
      <c r="I615" s="566"/>
      <c r="J615" s="566"/>
      <c r="K615" s="566"/>
      <c r="L615" s="566"/>
      <c r="M615" s="566"/>
      <c r="N615" s="566"/>
      <c r="O615" s="566"/>
      <c r="P615" s="566"/>
      <c r="Q615" s="566"/>
      <c r="R615" s="566"/>
      <c r="S615" s="566"/>
      <c r="T615" s="566"/>
      <c r="U615" s="566"/>
      <c r="V615" s="566"/>
      <c r="W615" s="566"/>
      <c r="X615" s="566"/>
      <c r="Y615" s="566"/>
      <c r="Z615" s="566"/>
      <c r="AA615" s="566"/>
      <c r="AB615" s="566"/>
      <c r="AC615" s="566"/>
      <c r="AD615" s="566"/>
      <c r="AE615" s="566"/>
      <c r="AF615" s="566"/>
      <c r="AG615" s="566"/>
      <c r="AH615" s="566"/>
      <c r="AI615" s="566"/>
      <c r="AJ615" s="566"/>
      <c r="AK615" s="566"/>
      <c r="AL615" s="566"/>
      <c r="AM615" s="566"/>
      <c r="AN615" s="566"/>
      <c r="AO615" s="566"/>
    </row>
    <row r="616" spans="2:41" x14ac:dyDescent="0.15">
      <c r="B616" s="567">
        <v>32</v>
      </c>
      <c r="C616" s="566">
        <v>1</v>
      </c>
      <c r="D616" s="566"/>
      <c r="E616" s="566"/>
      <c r="F616" s="566"/>
      <c r="G616" s="566"/>
      <c r="H616" s="566"/>
      <c r="I616" s="566"/>
      <c r="J616" s="566"/>
      <c r="K616" s="566"/>
      <c r="L616" s="566"/>
      <c r="M616" s="566"/>
      <c r="N616" s="566"/>
      <c r="O616" s="566"/>
      <c r="P616" s="566"/>
      <c r="Q616" s="566"/>
      <c r="R616" s="566"/>
      <c r="S616" s="566"/>
      <c r="T616" s="566"/>
      <c r="U616" s="566"/>
      <c r="V616" s="566"/>
      <c r="W616" s="566"/>
      <c r="X616" s="566"/>
      <c r="Y616" s="566"/>
      <c r="Z616" s="566"/>
      <c r="AA616" s="566"/>
      <c r="AB616" s="566"/>
      <c r="AC616" s="566"/>
      <c r="AD616" s="566"/>
      <c r="AE616" s="566"/>
      <c r="AF616" s="566"/>
      <c r="AG616" s="566"/>
      <c r="AH616" s="566"/>
      <c r="AI616" s="566"/>
      <c r="AJ616" s="566"/>
      <c r="AK616" s="566"/>
      <c r="AL616" s="566"/>
      <c r="AM616" s="566"/>
      <c r="AN616" s="566"/>
      <c r="AO616" s="566"/>
    </row>
    <row r="617" spans="2:41" x14ac:dyDescent="0.15">
      <c r="B617" s="567">
        <v>33</v>
      </c>
      <c r="C617" s="566">
        <v>1</v>
      </c>
      <c r="D617" s="566"/>
      <c r="E617" s="566"/>
      <c r="F617" s="566"/>
      <c r="G617" s="566"/>
      <c r="H617" s="566"/>
      <c r="I617" s="566"/>
      <c r="J617" s="566"/>
      <c r="K617" s="566"/>
      <c r="L617" s="566"/>
      <c r="M617" s="566"/>
      <c r="N617" s="566"/>
      <c r="O617" s="566"/>
      <c r="P617" s="566"/>
      <c r="Q617" s="566"/>
      <c r="R617" s="566"/>
      <c r="S617" s="566"/>
      <c r="T617" s="566"/>
      <c r="U617" s="566"/>
      <c r="V617" s="566"/>
      <c r="W617" s="566"/>
      <c r="X617" s="566"/>
      <c r="Y617" s="566"/>
      <c r="Z617" s="566"/>
      <c r="AA617" s="566"/>
      <c r="AB617" s="566"/>
      <c r="AC617" s="566"/>
      <c r="AD617" s="566"/>
      <c r="AE617" s="566"/>
      <c r="AF617" s="566"/>
      <c r="AG617" s="566"/>
      <c r="AH617" s="566"/>
      <c r="AI617" s="566"/>
      <c r="AJ617" s="566"/>
      <c r="AK617" s="566"/>
      <c r="AL617" s="566"/>
      <c r="AM617" s="566"/>
      <c r="AN617" s="566"/>
      <c r="AO617" s="566"/>
    </row>
    <row r="618" spans="2:41" x14ac:dyDescent="0.15">
      <c r="B618" s="567">
        <v>34</v>
      </c>
      <c r="C618" s="566">
        <v>1</v>
      </c>
      <c r="D618" s="566"/>
      <c r="E618" s="566"/>
      <c r="F618" s="566"/>
      <c r="G618" s="566"/>
      <c r="H618" s="566"/>
      <c r="I618" s="566"/>
      <c r="J618" s="566"/>
      <c r="K618" s="566"/>
      <c r="L618" s="566"/>
      <c r="M618" s="566"/>
      <c r="N618" s="566"/>
      <c r="O618" s="566"/>
      <c r="P618" s="566"/>
      <c r="Q618" s="566"/>
      <c r="R618" s="566"/>
      <c r="S618" s="566"/>
      <c r="T618" s="566"/>
      <c r="U618" s="566"/>
      <c r="V618" s="566"/>
      <c r="W618" s="566"/>
      <c r="X618" s="566"/>
      <c r="Y618" s="566"/>
      <c r="Z618" s="566"/>
      <c r="AA618" s="566"/>
      <c r="AB618" s="566"/>
      <c r="AC618" s="566"/>
      <c r="AD618" s="566"/>
      <c r="AE618" s="566"/>
      <c r="AF618" s="566"/>
      <c r="AG618" s="566"/>
      <c r="AH618" s="566"/>
      <c r="AI618" s="566"/>
      <c r="AJ618" s="566"/>
      <c r="AK618" s="566"/>
      <c r="AL618" s="566"/>
      <c r="AM618" s="566"/>
      <c r="AN618" s="566"/>
      <c r="AO618" s="566"/>
    </row>
    <row r="619" spans="2:41" x14ac:dyDescent="0.15">
      <c r="B619" s="567">
        <v>35</v>
      </c>
      <c r="C619" s="566">
        <v>1</v>
      </c>
      <c r="D619" s="566"/>
      <c r="E619" s="566"/>
      <c r="F619" s="566"/>
      <c r="G619" s="566"/>
      <c r="H619" s="566"/>
      <c r="I619" s="566"/>
      <c r="J619" s="566"/>
      <c r="K619" s="566"/>
      <c r="L619" s="566"/>
      <c r="M619" s="566"/>
      <c r="N619" s="566"/>
      <c r="O619" s="566"/>
      <c r="P619" s="566"/>
      <c r="Q619" s="566"/>
      <c r="R619" s="566"/>
      <c r="S619" s="566"/>
      <c r="T619" s="566"/>
      <c r="U619" s="566"/>
      <c r="V619" s="566"/>
      <c r="W619" s="566"/>
      <c r="X619" s="566"/>
      <c r="Y619" s="566"/>
      <c r="Z619" s="566"/>
      <c r="AA619" s="566"/>
      <c r="AB619" s="566"/>
      <c r="AC619" s="566"/>
      <c r="AD619" s="566"/>
      <c r="AE619" s="566"/>
      <c r="AF619" s="566"/>
      <c r="AG619" s="566"/>
      <c r="AH619" s="566"/>
      <c r="AI619" s="566"/>
      <c r="AJ619" s="566"/>
      <c r="AK619" s="566"/>
      <c r="AL619" s="566"/>
      <c r="AM619" s="566"/>
      <c r="AN619" s="566"/>
      <c r="AO619" s="566"/>
    </row>
    <row r="620" spans="2:41" x14ac:dyDescent="0.15">
      <c r="B620" s="567">
        <v>36</v>
      </c>
      <c r="C620" s="566">
        <v>1</v>
      </c>
      <c r="D620" s="566"/>
      <c r="E620" s="566"/>
      <c r="F620" s="566"/>
      <c r="G620" s="566"/>
      <c r="H620" s="566"/>
      <c r="I620" s="566"/>
      <c r="J620" s="566"/>
      <c r="K620" s="566"/>
      <c r="L620" s="566"/>
      <c r="M620" s="566"/>
      <c r="N620" s="566"/>
      <c r="O620" s="566"/>
      <c r="P620" s="566"/>
      <c r="Q620" s="566"/>
      <c r="R620" s="566"/>
      <c r="S620" s="566"/>
      <c r="T620" s="566"/>
      <c r="U620" s="566"/>
      <c r="V620" s="566"/>
      <c r="W620" s="566"/>
      <c r="X620" s="566"/>
      <c r="Y620" s="566"/>
      <c r="Z620" s="566"/>
      <c r="AA620" s="566"/>
      <c r="AB620" s="566"/>
      <c r="AC620" s="566"/>
      <c r="AD620" s="566"/>
      <c r="AE620" s="566"/>
      <c r="AF620" s="566"/>
      <c r="AG620" s="566"/>
      <c r="AH620" s="566"/>
      <c r="AI620" s="566"/>
      <c r="AJ620" s="566"/>
      <c r="AK620" s="566"/>
      <c r="AL620" s="566"/>
      <c r="AM620" s="566"/>
      <c r="AN620" s="566"/>
      <c r="AO620" s="566"/>
    </row>
    <row r="621" spans="2:41" x14ac:dyDescent="0.15">
      <c r="B621" s="567">
        <v>37</v>
      </c>
      <c r="C621" s="566">
        <v>1</v>
      </c>
      <c r="D621" s="566"/>
      <c r="E621" s="566"/>
      <c r="F621" s="566"/>
      <c r="G621" s="566"/>
      <c r="H621" s="566"/>
      <c r="I621" s="566"/>
      <c r="J621" s="566"/>
      <c r="K621" s="566"/>
      <c r="L621" s="566"/>
      <c r="M621" s="566"/>
      <c r="N621" s="566"/>
      <c r="O621" s="566"/>
      <c r="P621" s="566"/>
      <c r="Q621" s="566"/>
      <c r="R621" s="566"/>
      <c r="S621" s="566"/>
      <c r="T621" s="566"/>
      <c r="U621" s="566"/>
      <c r="V621" s="566"/>
      <c r="W621" s="566"/>
      <c r="X621" s="566"/>
      <c r="Y621" s="566"/>
      <c r="Z621" s="566"/>
      <c r="AA621" s="566"/>
      <c r="AB621" s="566"/>
      <c r="AC621" s="566"/>
      <c r="AD621" s="566"/>
      <c r="AE621" s="566"/>
      <c r="AF621" s="566"/>
      <c r="AG621" s="566"/>
      <c r="AH621" s="566"/>
      <c r="AI621" s="566"/>
      <c r="AJ621" s="566"/>
      <c r="AK621" s="566"/>
      <c r="AL621" s="566"/>
      <c r="AM621" s="566"/>
      <c r="AN621" s="566"/>
      <c r="AO621" s="566"/>
    </row>
    <row r="622" spans="2:41" x14ac:dyDescent="0.15">
      <c r="B622" s="567">
        <v>38</v>
      </c>
      <c r="C622" s="566">
        <v>1</v>
      </c>
      <c r="D622" s="566"/>
      <c r="E622" s="566"/>
      <c r="F622" s="566"/>
      <c r="G622" s="566"/>
      <c r="H622" s="566"/>
      <c r="I622" s="566"/>
      <c r="J622" s="566"/>
      <c r="K622" s="566"/>
      <c r="L622" s="566"/>
      <c r="M622" s="566"/>
      <c r="N622" s="566"/>
      <c r="O622" s="566"/>
      <c r="P622" s="566"/>
      <c r="Q622" s="566"/>
      <c r="R622" s="566"/>
      <c r="S622" s="566"/>
      <c r="T622" s="566"/>
      <c r="U622" s="566"/>
      <c r="V622" s="566"/>
      <c r="W622" s="566"/>
      <c r="X622" s="566"/>
      <c r="Y622" s="566"/>
      <c r="Z622" s="566"/>
      <c r="AA622" s="566"/>
      <c r="AB622" s="566"/>
      <c r="AC622" s="566"/>
      <c r="AD622" s="566"/>
      <c r="AE622" s="566"/>
      <c r="AF622" s="566"/>
      <c r="AG622" s="566"/>
      <c r="AH622" s="566"/>
      <c r="AI622" s="566"/>
      <c r="AJ622" s="566"/>
      <c r="AK622" s="566"/>
      <c r="AL622" s="566"/>
      <c r="AM622" s="566"/>
      <c r="AN622" s="566"/>
      <c r="AO622" s="566"/>
    </row>
    <row r="623" spans="2:41" x14ac:dyDescent="0.15">
      <c r="B623" s="567">
        <v>39</v>
      </c>
      <c r="C623" s="566">
        <v>1</v>
      </c>
      <c r="D623" s="566"/>
      <c r="E623" s="566"/>
      <c r="F623" s="566"/>
      <c r="G623" s="566"/>
      <c r="H623" s="566"/>
      <c r="I623" s="566"/>
      <c r="J623" s="566"/>
      <c r="K623" s="566"/>
      <c r="L623" s="566"/>
      <c r="M623" s="566"/>
      <c r="N623" s="566"/>
      <c r="O623" s="566"/>
      <c r="P623" s="566"/>
      <c r="Q623" s="566"/>
      <c r="R623" s="566"/>
      <c r="S623" s="566"/>
      <c r="T623" s="566"/>
      <c r="U623" s="566"/>
      <c r="V623" s="566"/>
      <c r="W623" s="566"/>
      <c r="X623" s="566"/>
      <c r="Y623" s="566"/>
      <c r="Z623" s="566"/>
      <c r="AA623" s="566"/>
      <c r="AB623" s="566"/>
      <c r="AC623" s="566"/>
      <c r="AD623" s="566"/>
      <c r="AE623" s="566"/>
      <c r="AF623" s="566"/>
      <c r="AG623" s="566"/>
      <c r="AH623" s="566"/>
      <c r="AI623" s="566"/>
      <c r="AJ623" s="566"/>
      <c r="AK623" s="566"/>
      <c r="AL623" s="566"/>
      <c r="AM623" s="566"/>
      <c r="AN623" s="566"/>
      <c r="AO623" s="566"/>
    </row>
    <row r="624" spans="2:41" x14ac:dyDescent="0.15">
      <c r="B624" s="568">
        <v>40</v>
      </c>
      <c r="C624" s="566">
        <v>1</v>
      </c>
      <c r="D624" s="566"/>
      <c r="E624" s="566"/>
      <c r="F624" s="566"/>
      <c r="G624" s="566"/>
      <c r="H624" s="566"/>
      <c r="I624" s="566"/>
      <c r="J624" s="566"/>
      <c r="K624" s="566"/>
      <c r="L624" s="566"/>
      <c r="M624" s="566"/>
      <c r="N624" s="566"/>
      <c r="O624" s="566"/>
      <c r="P624" s="566"/>
      <c r="Q624" s="566"/>
      <c r="R624" s="566"/>
      <c r="S624" s="566"/>
      <c r="T624" s="566"/>
      <c r="U624" s="566"/>
      <c r="V624" s="566"/>
      <c r="W624" s="566"/>
      <c r="X624" s="566"/>
      <c r="Y624" s="566"/>
      <c r="Z624" s="566"/>
      <c r="AA624" s="566"/>
      <c r="AB624" s="566"/>
      <c r="AC624" s="566"/>
      <c r="AD624" s="566"/>
      <c r="AE624" s="566"/>
      <c r="AF624" s="566"/>
      <c r="AG624" s="566"/>
      <c r="AH624" s="566"/>
      <c r="AI624" s="566"/>
      <c r="AJ624" s="566"/>
      <c r="AK624" s="566"/>
      <c r="AL624" s="566"/>
      <c r="AM624" s="566"/>
      <c r="AN624" s="566"/>
      <c r="AO624" s="566"/>
    </row>
    <row r="633" spans="2:41" s="563" customFormat="1" ht="14" x14ac:dyDescent="0.15">
      <c r="B633" s="560" t="str" cm="1">
        <f t="array" ref="B633:AO633">TRANSPOSE('Syötä kaupungit KIRJASTOLINKIT!'!$I$1:$I$40)</f>
        <v>MAA 8</v>
      </c>
      <c r="C633" s="564" t="str">
        <v>Riga</v>
      </c>
      <c r="D633" s="564">
        <v>0</v>
      </c>
      <c r="E633" s="564">
        <v>0</v>
      </c>
      <c r="F633" s="564">
        <v>0</v>
      </c>
      <c r="G633" s="564">
        <v>0</v>
      </c>
      <c r="H633" s="564">
        <v>0</v>
      </c>
      <c r="I633" s="564">
        <v>0</v>
      </c>
      <c r="J633" s="564">
        <v>0</v>
      </c>
      <c r="K633" s="564">
        <v>0</v>
      </c>
      <c r="L633" s="564">
        <v>0</v>
      </c>
      <c r="M633" s="564">
        <v>0</v>
      </c>
      <c r="N633" s="564">
        <v>0</v>
      </c>
      <c r="O633" s="564">
        <v>0</v>
      </c>
      <c r="P633" s="564">
        <v>0</v>
      </c>
      <c r="Q633" s="564">
        <v>0</v>
      </c>
      <c r="R633" s="564">
        <v>0</v>
      </c>
      <c r="S633" s="564">
        <v>0</v>
      </c>
      <c r="T633" s="564">
        <v>0</v>
      </c>
      <c r="U633" s="564">
        <v>0</v>
      </c>
      <c r="V633" s="564">
        <v>0</v>
      </c>
      <c r="W633" s="564">
        <v>0</v>
      </c>
      <c r="X633" s="564">
        <v>0</v>
      </c>
      <c r="Y633" s="564">
        <v>0</v>
      </c>
      <c r="Z633" s="564">
        <v>0</v>
      </c>
      <c r="AA633" s="564">
        <v>0</v>
      </c>
      <c r="AB633" s="564">
        <v>0</v>
      </c>
      <c r="AC633" s="564">
        <v>0</v>
      </c>
      <c r="AD633" s="564">
        <v>0</v>
      </c>
      <c r="AE633" s="564">
        <v>0</v>
      </c>
      <c r="AF633" s="564">
        <v>0</v>
      </c>
      <c r="AG633" s="564">
        <v>0</v>
      </c>
      <c r="AH633" s="564">
        <v>0</v>
      </c>
      <c r="AI633" s="564">
        <v>0</v>
      </c>
      <c r="AJ633" s="564">
        <v>0</v>
      </c>
      <c r="AK633" s="564">
        <v>0</v>
      </c>
      <c r="AL633" s="564">
        <v>0</v>
      </c>
      <c r="AM633" s="564">
        <v>0</v>
      </c>
      <c r="AN633" s="564">
        <v>0</v>
      </c>
      <c r="AO633" s="564">
        <v>0</v>
      </c>
    </row>
    <row r="634" spans="2:41" x14ac:dyDescent="0.15">
      <c r="B634" s="565">
        <v>-40</v>
      </c>
      <c r="C634" s="566"/>
      <c r="D634" s="566"/>
      <c r="E634" s="566"/>
      <c r="F634" s="566"/>
      <c r="G634" s="566"/>
      <c r="H634" s="566"/>
      <c r="I634" s="566"/>
      <c r="J634" s="566"/>
      <c r="K634" s="566"/>
      <c r="L634" s="566"/>
      <c r="M634" s="566"/>
      <c r="N634" s="566"/>
      <c r="O634" s="566"/>
      <c r="P634" s="566"/>
      <c r="Q634" s="566"/>
      <c r="R634" s="566"/>
      <c r="S634" s="566"/>
      <c r="T634" s="566"/>
      <c r="U634" s="566"/>
      <c r="V634" s="566"/>
      <c r="W634" s="566"/>
      <c r="X634" s="566"/>
      <c r="Y634" s="566"/>
      <c r="Z634" s="566"/>
      <c r="AA634" s="566"/>
      <c r="AB634" s="566"/>
      <c r="AC634" s="566"/>
      <c r="AD634" s="566"/>
      <c r="AE634" s="566"/>
      <c r="AF634" s="566"/>
      <c r="AG634" s="566"/>
      <c r="AH634" s="566"/>
      <c r="AI634" s="566"/>
      <c r="AJ634" s="566"/>
      <c r="AK634" s="566"/>
      <c r="AL634" s="566"/>
      <c r="AM634" s="566"/>
      <c r="AN634" s="566"/>
      <c r="AO634" s="566"/>
    </row>
    <row r="635" spans="2:41" x14ac:dyDescent="0.15">
      <c r="B635" s="567">
        <v>-39</v>
      </c>
      <c r="C635" s="566"/>
      <c r="D635" s="566"/>
      <c r="E635" s="566"/>
      <c r="F635" s="566"/>
      <c r="G635" s="566"/>
      <c r="H635" s="566"/>
      <c r="I635" s="566"/>
      <c r="J635" s="566"/>
      <c r="K635" s="566"/>
      <c r="L635" s="566"/>
      <c r="M635" s="566"/>
      <c r="N635" s="566"/>
      <c r="O635" s="566"/>
      <c r="P635" s="566"/>
      <c r="Q635" s="566"/>
      <c r="R635" s="566"/>
      <c r="S635" s="566"/>
      <c r="T635" s="566"/>
      <c r="U635" s="566"/>
      <c r="V635" s="566"/>
      <c r="W635" s="566"/>
      <c r="X635" s="566"/>
      <c r="Y635" s="566"/>
      <c r="Z635" s="566"/>
      <c r="AA635" s="566"/>
      <c r="AB635" s="566"/>
      <c r="AC635" s="566"/>
      <c r="AD635" s="566"/>
      <c r="AE635" s="566"/>
      <c r="AF635" s="566"/>
      <c r="AG635" s="566"/>
      <c r="AH635" s="566"/>
      <c r="AI635" s="566"/>
      <c r="AJ635" s="566"/>
      <c r="AK635" s="566"/>
      <c r="AL635" s="566"/>
      <c r="AM635" s="566"/>
      <c r="AN635" s="566"/>
      <c r="AO635" s="566"/>
    </row>
    <row r="636" spans="2:41" x14ac:dyDescent="0.15">
      <c r="B636" s="567">
        <v>-38</v>
      </c>
      <c r="C636" s="566"/>
      <c r="D636" s="566"/>
      <c r="E636" s="566"/>
      <c r="F636" s="566"/>
      <c r="G636" s="566"/>
      <c r="H636" s="566"/>
      <c r="I636" s="566"/>
      <c r="J636" s="566"/>
      <c r="K636" s="566"/>
      <c r="L636" s="566"/>
      <c r="M636" s="566"/>
      <c r="N636" s="566"/>
      <c r="O636" s="566"/>
      <c r="P636" s="566"/>
      <c r="Q636" s="566"/>
      <c r="R636" s="566"/>
      <c r="S636" s="566"/>
      <c r="T636" s="566"/>
      <c r="U636" s="566"/>
      <c r="V636" s="566"/>
      <c r="W636" s="566"/>
      <c r="X636" s="566"/>
      <c r="Y636" s="566"/>
      <c r="Z636" s="566"/>
      <c r="AA636" s="566"/>
      <c r="AB636" s="566"/>
      <c r="AC636" s="566"/>
      <c r="AD636" s="566"/>
      <c r="AE636" s="566"/>
      <c r="AF636" s="566"/>
      <c r="AG636" s="566"/>
      <c r="AH636" s="566"/>
      <c r="AI636" s="566"/>
      <c r="AJ636" s="566"/>
      <c r="AK636" s="566"/>
      <c r="AL636" s="566"/>
      <c r="AM636" s="566"/>
      <c r="AN636" s="566"/>
      <c r="AO636" s="566"/>
    </row>
    <row r="637" spans="2:41" x14ac:dyDescent="0.15">
      <c r="B637" s="567">
        <v>-37</v>
      </c>
      <c r="C637" s="566"/>
      <c r="D637" s="566"/>
      <c r="E637" s="566"/>
      <c r="F637" s="566"/>
      <c r="G637" s="566"/>
      <c r="H637" s="566"/>
      <c r="I637" s="566"/>
      <c r="J637" s="566"/>
      <c r="K637" s="566"/>
      <c r="L637" s="566"/>
      <c r="M637" s="566"/>
      <c r="N637" s="566"/>
      <c r="O637" s="566"/>
      <c r="P637" s="566"/>
      <c r="Q637" s="566"/>
      <c r="R637" s="566"/>
      <c r="S637" s="566"/>
      <c r="T637" s="566"/>
      <c r="U637" s="566"/>
      <c r="V637" s="566"/>
      <c r="W637" s="566"/>
      <c r="X637" s="566"/>
      <c r="Y637" s="566"/>
      <c r="Z637" s="566"/>
      <c r="AA637" s="566"/>
      <c r="AB637" s="566"/>
      <c r="AC637" s="566"/>
      <c r="AD637" s="566"/>
      <c r="AE637" s="566"/>
      <c r="AF637" s="566"/>
      <c r="AG637" s="566"/>
      <c r="AH637" s="566"/>
      <c r="AI637" s="566"/>
      <c r="AJ637" s="566"/>
      <c r="AK637" s="566"/>
      <c r="AL637" s="566"/>
      <c r="AM637" s="566"/>
      <c r="AN637" s="566"/>
      <c r="AO637" s="566"/>
    </row>
    <row r="638" spans="2:41" x14ac:dyDescent="0.15">
      <c r="B638" s="567">
        <v>-36</v>
      </c>
      <c r="C638" s="566"/>
      <c r="D638" s="566"/>
      <c r="E638" s="566"/>
      <c r="F638" s="566"/>
      <c r="G638" s="566"/>
      <c r="H638" s="566"/>
      <c r="I638" s="566"/>
      <c r="J638" s="566"/>
      <c r="K638" s="566"/>
      <c r="L638" s="566"/>
      <c r="M638" s="566"/>
      <c r="N638" s="566"/>
      <c r="O638" s="566"/>
      <c r="P638" s="566"/>
      <c r="Q638" s="566"/>
      <c r="R638" s="566"/>
      <c r="S638" s="566"/>
      <c r="T638" s="566"/>
      <c r="U638" s="566"/>
      <c r="V638" s="566"/>
      <c r="W638" s="566"/>
      <c r="X638" s="566"/>
      <c r="Y638" s="566"/>
      <c r="Z638" s="566"/>
      <c r="AA638" s="566"/>
      <c r="AB638" s="566"/>
      <c r="AC638" s="566"/>
      <c r="AD638" s="566"/>
      <c r="AE638" s="566"/>
      <c r="AF638" s="566"/>
      <c r="AG638" s="566"/>
      <c r="AH638" s="566"/>
      <c r="AI638" s="566"/>
      <c r="AJ638" s="566"/>
      <c r="AK638" s="566"/>
      <c r="AL638" s="566"/>
      <c r="AM638" s="566"/>
      <c r="AN638" s="566"/>
      <c r="AO638" s="566"/>
    </row>
    <row r="639" spans="2:41" x14ac:dyDescent="0.15">
      <c r="B639" s="567">
        <v>-35</v>
      </c>
      <c r="C639" s="566"/>
      <c r="D639" s="566"/>
      <c r="E639" s="566"/>
      <c r="F639" s="566"/>
      <c r="G639" s="566"/>
      <c r="H639" s="566"/>
      <c r="I639" s="566"/>
      <c r="J639" s="566"/>
      <c r="K639" s="566"/>
      <c r="L639" s="566"/>
      <c r="M639" s="566"/>
      <c r="N639" s="566"/>
      <c r="O639" s="566"/>
      <c r="P639" s="566"/>
      <c r="Q639" s="566"/>
      <c r="R639" s="566"/>
      <c r="S639" s="566"/>
      <c r="T639" s="566"/>
      <c r="U639" s="566"/>
      <c r="V639" s="566"/>
      <c r="W639" s="566"/>
      <c r="X639" s="566"/>
      <c r="Y639" s="566"/>
      <c r="Z639" s="566"/>
      <c r="AA639" s="566"/>
      <c r="AB639" s="566"/>
      <c r="AC639" s="566"/>
      <c r="AD639" s="566"/>
      <c r="AE639" s="566"/>
      <c r="AF639" s="566"/>
      <c r="AG639" s="566"/>
      <c r="AH639" s="566"/>
      <c r="AI639" s="566"/>
      <c r="AJ639" s="566"/>
      <c r="AK639" s="566"/>
      <c r="AL639" s="566"/>
      <c r="AM639" s="566"/>
      <c r="AN639" s="566"/>
      <c r="AO639" s="566"/>
    </row>
    <row r="640" spans="2:41" x14ac:dyDescent="0.15">
      <c r="B640" s="567">
        <v>-34</v>
      </c>
      <c r="C640" s="566"/>
      <c r="D640" s="566"/>
      <c r="E640" s="566"/>
      <c r="F640" s="566"/>
      <c r="G640" s="566"/>
      <c r="H640" s="566"/>
      <c r="I640" s="566"/>
      <c r="J640" s="566"/>
      <c r="K640" s="566"/>
      <c r="L640" s="566"/>
      <c r="M640" s="566"/>
      <c r="N640" s="566"/>
      <c r="O640" s="566"/>
      <c r="P640" s="566"/>
      <c r="Q640" s="566"/>
      <c r="R640" s="566"/>
      <c r="S640" s="566"/>
      <c r="T640" s="566"/>
      <c r="U640" s="566"/>
      <c r="V640" s="566"/>
      <c r="W640" s="566"/>
      <c r="X640" s="566"/>
      <c r="Y640" s="566"/>
      <c r="Z640" s="566"/>
      <c r="AA640" s="566"/>
      <c r="AB640" s="566"/>
      <c r="AC640" s="566"/>
      <c r="AD640" s="566"/>
      <c r="AE640" s="566"/>
      <c r="AF640" s="566"/>
      <c r="AG640" s="566"/>
      <c r="AH640" s="566"/>
      <c r="AI640" s="566"/>
      <c r="AJ640" s="566"/>
      <c r="AK640" s="566"/>
      <c r="AL640" s="566"/>
      <c r="AM640" s="566"/>
      <c r="AN640" s="566"/>
      <c r="AO640" s="566"/>
    </row>
    <row r="641" spans="2:41" x14ac:dyDescent="0.15">
      <c r="B641" s="567">
        <v>-33</v>
      </c>
      <c r="C641" s="566"/>
      <c r="D641" s="566"/>
      <c r="E641" s="566"/>
      <c r="F641" s="566"/>
      <c r="G641" s="566"/>
      <c r="H641" s="566"/>
      <c r="I641" s="566"/>
      <c r="J641" s="566"/>
      <c r="K641" s="566"/>
      <c r="L641" s="566"/>
      <c r="M641" s="566"/>
      <c r="N641" s="566"/>
      <c r="O641" s="566"/>
      <c r="P641" s="566"/>
      <c r="Q641" s="566"/>
      <c r="R641" s="566"/>
      <c r="S641" s="566"/>
      <c r="T641" s="566"/>
      <c r="U641" s="566"/>
      <c r="V641" s="566"/>
      <c r="W641" s="566"/>
      <c r="X641" s="566"/>
      <c r="Y641" s="566"/>
      <c r="Z641" s="566"/>
      <c r="AA641" s="566"/>
      <c r="AB641" s="566"/>
      <c r="AC641" s="566"/>
      <c r="AD641" s="566"/>
      <c r="AE641" s="566"/>
      <c r="AF641" s="566"/>
      <c r="AG641" s="566"/>
      <c r="AH641" s="566"/>
      <c r="AI641" s="566"/>
      <c r="AJ641" s="566"/>
      <c r="AK641" s="566"/>
      <c r="AL641" s="566"/>
      <c r="AM641" s="566"/>
      <c r="AN641" s="566"/>
      <c r="AO641" s="566"/>
    </row>
    <row r="642" spans="2:41" x14ac:dyDescent="0.15">
      <c r="B642" s="567">
        <v>-32</v>
      </c>
      <c r="C642" s="566"/>
      <c r="D642" s="566"/>
      <c r="E642" s="566"/>
      <c r="F642" s="566"/>
      <c r="G642" s="566"/>
      <c r="H642" s="566"/>
      <c r="I642" s="566"/>
      <c r="J642" s="566"/>
      <c r="K642" s="566"/>
      <c r="L642" s="566"/>
      <c r="M642" s="566"/>
      <c r="N642" s="566"/>
      <c r="O642" s="566"/>
      <c r="P642" s="566"/>
      <c r="Q642" s="566"/>
      <c r="R642" s="566"/>
      <c r="S642" s="566"/>
      <c r="T642" s="566"/>
      <c r="U642" s="566"/>
      <c r="V642" s="566"/>
      <c r="W642" s="566"/>
      <c r="X642" s="566"/>
      <c r="Y642" s="566"/>
      <c r="Z642" s="566"/>
      <c r="AA642" s="566"/>
      <c r="AB642" s="566"/>
      <c r="AC642" s="566"/>
      <c r="AD642" s="566"/>
      <c r="AE642" s="566"/>
      <c r="AF642" s="566"/>
      <c r="AG642" s="566"/>
      <c r="AH642" s="566"/>
      <c r="AI642" s="566"/>
      <c r="AJ642" s="566"/>
      <c r="AK642" s="566"/>
      <c r="AL642" s="566"/>
      <c r="AM642" s="566"/>
      <c r="AN642" s="566"/>
      <c r="AO642" s="566"/>
    </row>
    <row r="643" spans="2:41" x14ac:dyDescent="0.15">
      <c r="B643" s="567">
        <v>-31</v>
      </c>
      <c r="C643" s="566"/>
      <c r="D643" s="566"/>
      <c r="E643" s="566"/>
      <c r="F643" s="566"/>
      <c r="G643" s="566"/>
      <c r="H643" s="566"/>
      <c r="I643" s="566"/>
      <c r="J643" s="566"/>
      <c r="K643" s="566"/>
      <c r="L643" s="566"/>
      <c r="M643" s="566"/>
      <c r="N643" s="566"/>
      <c r="O643" s="566"/>
      <c r="P643" s="566"/>
      <c r="Q643" s="566"/>
      <c r="R643" s="566"/>
      <c r="S643" s="566"/>
      <c r="T643" s="566"/>
      <c r="U643" s="566"/>
      <c r="V643" s="566"/>
      <c r="W643" s="566"/>
      <c r="X643" s="566"/>
      <c r="Y643" s="566"/>
      <c r="Z643" s="566"/>
      <c r="AA643" s="566"/>
      <c r="AB643" s="566"/>
      <c r="AC643" s="566"/>
      <c r="AD643" s="566"/>
      <c r="AE643" s="566"/>
      <c r="AF643" s="566"/>
      <c r="AG643" s="566"/>
      <c r="AH643" s="566"/>
      <c r="AI643" s="566"/>
      <c r="AJ643" s="566"/>
      <c r="AK643" s="566"/>
      <c r="AL643" s="566"/>
      <c r="AM643" s="566"/>
      <c r="AN643" s="566"/>
      <c r="AO643" s="566"/>
    </row>
    <row r="644" spans="2:41" x14ac:dyDescent="0.15">
      <c r="B644" s="567">
        <v>-30</v>
      </c>
      <c r="C644" s="566"/>
      <c r="D644" s="566"/>
      <c r="E644" s="566"/>
      <c r="F644" s="566"/>
      <c r="G644" s="566"/>
      <c r="H644" s="566"/>
      <c r="I644" s="566"/>
      <c r="J644" s="566"/>
      <c r="K644" s="566"/>
      <c r="L644" s="566"/>
      <c r="M644" s="566"/>
      <c r="N644" s="566"/>
      <c r="O644" s="566"/>
      <c r="P644" s="566"/>
      <c r="Q644" s="566"/>
      <c r="R644" s="566"/>
      <c r="S644" s="566"/>
      <c r="T644" s="566"/>
      <c r="U644" s="566"/>
      <c r="V644" s="566"/>
      <c r="W644" s="566"/>
      <c r="X644" s="566"/>
      <c r="Y644" s="566"/>
      <c r="Z644" s="566"/>
      <c r="AA644" s="566"/>
      <c r="AB644" s="566"/>
      <c r="AC644" s="566"/>
      <c r="AD644" s="566"/>
      <c r="AE644" s="566"/>
      <c r="AF644" s="566"/>
      <c r="AG644" s="566"/>
      <c r="AH644" s="566"/>
      <c r="AI644" s="566"/>
      <c r="AJ644" s="566"/>
      <c r="AK644" s="566"/>
      <c r="AL644" s="566"/>
      <c r="AM644" s="566"/>
      <c r="AN644" s="566"/>
      <c r="AO644" s="566"/>
    </row>
    <row r="645" spans="2:41" x14ac:dyDescent="0.15">
      <c r="B645" s="567">
        <v>-29</v>
      </c>
      <c r="C645" s="566"/>
      <c r="D645" s="566"/>
      <c r="E645" s="566"/>
      <c r="F645" s="566"/>
      <c r="G645" s="566"/>
      <c r="H645" s="566"/>
      <c r="I645" s="566"/>
      <c r="J645" s="566"/>
      <c r="K645" s="566"/>
      <c r="L645" s="566"/>
      <c r="M645" s="566"/>
      <c r="N645" s="566"/>
      <c r="O645" s="566"/>
      <c r="P645" s="566"/>
      <c r="Q645" s="566"/>
      <c r="R645" s="566"/>
      <c r="S645" s="566"/>
      <c r="T645" s="566"/>
      <c r="U645" s="566"/>
      <c r="V645" s="566"/>
      <c r="W645" s="566"/>
      <c r="X645" s="566"/>
      <c r="Y645" s="566"/>
      <c r="Z645" s="566"/>
      <c r="AA645" s="566"/>
      <c r="AB645" s="566"/>
      <c r="AC645" s="566"/>
      <c r="AD645" s="566"/>
      <c r="AE645" s="566"/>
      <c r="AF645" s="566"/>
      <c r="AG645" s="566"/>
      <c r="AH645" s="566"/>
      <c r="AI645" s="566"/>
      <c r="AJ645" s="566"/>
      <c r="AK645" s="566"/>
      <c r="AL645" s="566"/>
      <c r="AM645" s="566"/>
      <c r="AN645" s="566"/>
      <c r="AO645" s="566"/>
    </row>
    <row r="646" spans="2:41" x14ac:dyDescent="0.15">
      <c r="B646" s="567">
        <v>-28</v>
      </c>
      <c r="C646" s="566"/>
      <c r="D646" s="566"/>
      <c r="E646" s="566"/>
      <c r="F646" s="566"/>
      <c r="G646" s="566"/>
      <c r="H646" s="566"/>
      <c r="I646" s="566"/>
      <c r="J646" s="566"/>
      <c r="K646" s="566"/>
      <c r="L646" s="566"/>
      <c r="M646" s="566"/>
      <c r="N646" s="566"/>
      <c r="O646" s="566"/>
      <c r="P646" s="566"/>
      <c r="Q646" s="566"/>
      <c r="R646" s="566"/>
      <c r="S646" s="566"/>
      <c r="T646" s="566"/>
      <c r="U646" s="566"/>
      <c r="V646" s="566"/>
      <c r="W646" s="566"/>
      <c r="X646" s="566"/>
      <c r="Y646" s="566"/>
      <c r="Z646" s="566"/>
      <c r="AA646" s="566"/>
      <c r="AB646" s="566"/>
      <c r="AC646" s="566"/>
      <c r="AD646" s="566"/>
      <c r="AE646" s="566"/>
      <c r="AF646" s="566"/>
      <c r="AG646" s="566"/>
      <c r="AH646" s="566"/>
      <c r="AI646" s="566"/>
      <c r="AJ646" s="566"/>
      <c r="AK646" s="566"/>
      <c r="AL646" s="566"/>
      <c r="AM646" s="566"/>
      <c r="AN646" s="566"/>
      <c r="AO646" s="566"/>
    </row>
    <row r="647" spans="2:41" x14ac:dyDescent="0.15">
      <c r="B647" s="567">
        <v>-27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66"/>
      <c r="N647" s="566"/>
      <c r="O647" s="566"/>
      <c r="P647" s="566"/>
      <c r="Q647" s="566"/>
      <c r="R647" s="566"/>
      <c r="S647" s="566"/>
      <c r="T647" s="566"/>
      <c r="U647" s="566"/>
      <c r="V647" s="566"/>
      <c r="W647" s="566"/>
      <c r="X647" s="566"/>
      <c r="Y647" s="566"/>
      <c r="Z647" s="566"/>
      <c r="AA647" s="566"/>
      <c r="AB647" s="566"/>
      <c r="AC647" s="566"/>
      <c r="AD647" s="566"/>
      <c r="AE647" s="566"/>
      <c r="AF647" s="566"/>
      <c r="AG647" s="566"/>
      <c r="AH647" s="566"/>
      <c r="AI647" s="566"/>
      <c r="AJ647" s="566"/>
      <c r="AK647" s="566"/>
      <c r="AL647" s="566"/>
      <c r="AM647" s="566"/>
      <c r="AN647" s="566"/>
      <c r="AO647" s="566"/>
    </row>
    <row r="648" spans="2:41" x14ac:dyDescent="0.15">
      <c r="B648" s="567">
        <v>-26</v>
      </c>
      <c r="C648" s="566"/>
      <c r="D648" s="566"/>
      <c r="E648" s="566"/>
      <c r="F648" s="566"/>
      <c r="G648" s="566"/>
      <c r="H648" s="566"/>
      <c r="I648" s="566"/>
      <c r="J648" s="566"/>
      <c r="K648" s="566"/>
      <c r="L648" s="566"/>
      <c r="M648" s="566"/>
      <c r="N648" s="566"/>
      <c r="O648" s="566"/>
      <c r="P648" s="566"/>
      <c r="Q648" s="566"/>
      <c r="R648" s="566"/>
      <c r="S648" s="566"/>
      <c r="T648" s="566"/>
      <c r="U648" s="566"/>
      <c r="V648" s="566"/>
      <c r="W648" s="566"/>
      <c r="X648" s="566"/>
      <c r="Y648" s="566"/>
      <c r="Z648" s="566"/>
      <c r="AA648" s="566"/>
      <c r="AB648" s="566"/>
      <c r="AC648" s="566"/>
      <c r="AD648" s="566"/>
      <c r="AE648" s="566"/>
      <c r="AF648" s="566"/>
      <c r="AG648" s="566"/>
      <c r="AH648" s="566"/>
      <c r="AI648" s="566"/>
      <c r="AJ648" s="566"/>
      <c r="AK648" s="566"/>
      <c r="AL648" s="566"/>
      <c r="AM648" s="566"/>
      <c r="AN648" s="566"/>
      <c r="AO648" s="566"/>
    </row>
    <row r="649" spans="2:41" x14ac:dyDescent="0.15">
      <c r="B649" s="567">
        <v>-25</v>
      </c>
      <c r="C649" s="566"/>
      <c r="D649" s="566"/>
      <c r="E649" s="566"/>
      <c r="F649" s="566"/>
      <c r="G649" s="566"/>
      <c r="H649" s="566"/>
      <c r="I649" s="566"/>
      <c r="J649" s="566"/>
      <c r="K649" s="566"/>
      <c r="L649" s="566"/>
      <c r="M649" s="566"/>
      <c r="N649" s="566"/>
      <c r="O649" s="566"/>
      <c r="P649" s="566"/>
      <c r="Q649" s="566"/>
      <c r="R649" s="566"/>
      <c r="S649" s="566"/>
      <c r="T649" s="566"/>
      <c r="U649" s="566"/>
      <c r="V649" s="566"/>
      <c r="W649" s="566"/>
      <c r="X649" s="566"/>
      <c r="Y649" s="566"/>
      <c r="Z649" s="566"/>
      <c r="AA649" s="566"/>
      <c r="AB649" s="566"/>
      <c r="AC649" s="566"/>
      <c r="AD649" s="566"/>
      <c r="AE649" s="566"/>
      <c r="AF649" s="566"/>
      <c r="AG649" s="566"/>
      <c r="AH649" s="566"/>
      <c r="AI649" s="566"/>
      <c r="AJ649" s="566"/>
      <c r="AK649" s="566"/>
      <c r="AL649" s="566"/>
      <c r="AM649" s="566"/>
      <c r="AN649" s="566"/>
      <c r="AO649" s="566"/>
    </row>
    <row r="650" spans="2:41" x14ac:dyDescent="0.15">
      <c r="B650" s="567">
        <v>-24</v>
      </c>
      <c r="C650" s="566"/>
      <c r="D650" s="566"/>
      <c r="E650" s="566"/>
      <c r="F650" s="566"/>
      <c r="G650" s="566"/>
      <c r="H650" s="566"/>
      <c r="I650" s="566"/>
      <c r="J650" s="566"/>
      <c r="K650" s="566"/>
      <c r="L650" s="566"/>
      <c r="M650" s="566"/>
      <c r="N650" s="566"/>
      <c r="O650" s="566"/>
      <c r="P650" s="566"/>
      <c r="Q650" s="566"/>
      <c r="R650" s="566"/>
      <c r="S650" s="566"/>
      <c r="T650" s="566"/>
      <c r="U650" s="566"/>
      <c r="V650" s="566"/>
      <c r="W650" s="566"/>
      <c r="X650" s="566"/>
      <c r="Y650" s="566"/>
      <c r="Z650" s="566"/>
      <c r="AA650" s="566"/>
      <c r="AB650" s="566"/>
      <c r="AC650" s="566"/>
      <c r="AD650" s="566"/>
      <c r="AE650" s="566"/>
      <c r="AF650" s="566"/>
      <c r="AG650" s="566"/>
      <c r="AH650" s="566"/>
      <c r="AI650" s="566"/>
      <c r="AJ650" s="566"/>
      <c r="AK650" s="566"/>
      <c r="AL650" s="566"/>
      <c r="AM650" s="566"/>
      <c r="AN650" s="566"/>
      <c r="AO650" s="566"/>
    </row>
    <row r="651" spans="2:41" x14ac:dyDescent="0.15">
      <c r="B651" s="567">
        <v>-23</v>
      </c>
      <c r="C651" s="566"/>
      <c r="D651" s="566"/>
      <c r="E651" s="566"/>
      <c r="F651" s="566"/>
      <c r="G651" s="566"/>
      <c r="H651" s="566"/>
      <c r="I651" s="566"/>
      <c r="J651" s="566"/>
      <c r="K651" s="566"/>
      <c r="L651" s="566"/>
      <c r="M651" s="566"/>
      <c r="N651" s="566"/>
      <c r="O651" s="566"/>
      <c r="P651" s="566"/>
      <c r="Q651" s="566"/>
      <c r="R651" s="566"/>
      <c r="S651" s="566"/>
      <c r="T651" s="566"/>
      <c r="U651" s="566"/>
      <c r="V651" s="566"/>
      <c r="W651" s="566"/>
      <c r="X651" s="566"/>
      <c r="Y651" s="566"/>
      <c r="Z651" s="566"/>
      <c r="AA651" s="566"/>
      <c r="AB651" s="566"/>
      <c r="AC651" s="566"/>
      <c r="AD651" s="566"/>
      <c r="AE651" s="566"/>
      <c r="AF651" s="566"/>
      <c r="AG651" s="566"/>
      <c r="AH651" s="566"/>
      <c r="AI651" s="566"/>
      <c r="AJ651" s="566"/>
      <c r="AK651" s="566"/>
      <c r="AL651" s="566"/>
      <c r="AM651" s="566"/>
      <c r="AN651" s="566"/>
      <c r="AO651" s="566"/>
    </row>
    <row r="652" spans="2:41" x14ac:dyDescent="0.15">
      <c r="B652" s="567">
        <v>-22</v>
      </c>
      <c r="C652" s="566"/>
      <c r="D652" s="566"/>
      <c r="E652" s="566"/>
      <c r="F652" s="566"/>
      <c r="G652" s="566"/>
      <c r="H652" s="566"/>
      <c r="I652" s="566"/>
      <c r="J652" s="566"/>
      <c r="K652" s="566"/>
      <c r="L652" s="566"/>
      <c r="M652" s="566"/>
      <c r="N652" s="566"/>
      <c r="O652" s="566"/>
      <c r="P652" s="566"/>
      <c r="Q652" s="566"/>
      <c r="R652" s="566"/>
      <c r="S652" s="566"/>
      <c r="T652" s="566"/>
      <c r="U652" s="566"/>
      <c r="V652" s="566"/>
      <c r="W652" s="566"/>
      <c r="X652" s="566"/>
      <c r="Y652" s="566"/>
      <c r="Z652" s="566"/>
      <c r="AA652" s="566"/>
      <c r="AB652" s="566"/>
      <c r="AC652" s="566"/>
      <c r="AD652" s="566"/>
      <c r="AE652" s="566"/>
      <c r="AF652" s="566"/>
      <c r="AG652" s="566"/>
      <c r="AH652" s="566"/>
      <c r="AI652" s="566"/>
      <c r="AJ652" s="566"/>
      <c r="AK652" s="566"/>
      <c r="AL652" s="566"/>
      <c r="AM652" s="566"/>
      <c r="AN652" s="566"/>
      <c r="AO652" s="566"/>
    </row>
    <row r="653" spans="2:41" x14ac:dyDescent="0.15">
      <c r="B653" s="567">
        <v>-21</v>
      </c>
      <c r="C653" s="566"/>
      <c r="D653" s="566"/>
      <c r="E653" s="566"/>
      <c r="F653" s="566"/>
      <c r="G653" s="566"/>
      <c r="H653" s="566"/>
      <c r="I653" s="566"/>
      <c r="J653" s="566"/>
      <c r="K653" s="566"/>
      <c r="L653" s="566"/>
      <c r="M653" s="566"/>
      <c r="N653" s="566"/>
      <c r="O653" s="566"/>
      <c r="P653" s="566"/>
      <c r="Q653" s="566"/>
      <c r="R653" s="566"/>
      <c r="S653" s="566"/>
      <c r="T653" s="566"/>
      <c r="U653" s="566"/>
      <c r="V653" s="566"/>
      <c r="W653" s="566"/>
      <c r="X653" s="566"/>
      <c r="Y653" s="566"/>
      <c r="Z653" s="566"/>
      <c r="AA653" s="566"/>
      <c r="AB653" s="566"/>
      <c r="AC653" s="566"/>
      <c r="AD653" s="566"/>
      <c r="AE653" s="566"/>
      <c r="AF653" s="566"/>
      <c r="AG653" s="566"/>
      <c r="AH653" s="566"/>
      <c r="AI653" s="566"/>
      <c r="AJ653" s="566"/>
      <c r="AK653" s="566"/>
      <c r="AL653" s="566"/>
      <c r="AM653" s="566"/>
      <c r="AN653" s="566"/>
      <c r="AO653" s="566"/>
    </row>
    <row r="654" spans="2:41" x14ac:dyDescent="0.15">
      <c r="B654" s="567">
        <v>-20</v>
      </c>
      <c r="C654" s="566"/>
      <c r="D654" s="566"/>
      <c r="E654" s="566"/>
      <c r="F654" s="566"/>
      <c r="G654" s="566"/>
      <c r="H654" s="566"/>
      <c r="I654" s="566"/>
      <c r="J654" s="566"/>
      <c r="K654" s="566"/>
      <c r="L654" s="566"/>
      <c r="M654" s="566"/>
      <c r="N654" s="566"/>
      <c r="O654" s="566"/>
      <c r="P654" s="566"/>
      <c r="Q654" s="566"/>
      <c r="R654" s="566"/>
      <c r="S654" s="566"/>
      <c r="T654" s="566"/>
      <c r="U654" s="566"/>
      <c r="V654" s="566"/>
      <c r="W654" s="566"/>
      <c r="X654" s="566"/>
      <c r="Y654" s="566"/>
      <c r="Z654" s="566"/>
      <c r="AA654" s="566"/>
      <c r="AB654" s="566"/>
      <c r="AC654" s="566"/>
      <c r="AD654" s="566"/>
      <c r="AE654" s="566"/>
      <c r="AF654" s="566"/>
      <c r="AG654" s="566"/>
      <c r="AH654" s="566"/>
      <c r="AI654" s="566"/>
      <c r="AJ654" s="566"/>
      <c r="AK654" s="566"/>
      <c r="AL654" s="566"/>
      <c r="AM654" s="566"/>
      <c r="AN654" s="566"/>
      <c r="AO654" s="566"/>
    </row>
    <row r="655" spans="2:41" x14ac:dyDescent="0.15">
      <c r="B655" s="567">
        <v>-19</v>
      </c>
      <c r="C655" s="566"/>
      <c r="D655" s="566"/>
      <c r="E655" s="566"/>
      <c r="F655" s="566"/>
      <c r="G655" s="566"/>
      <c r="H655" s="566"/>
      <c r="I655" s="566"/>
      <c r="J655" s="566"/>
      <c r="K655" s="566"/>
      <c r="L655" s="566"/>
      <c r="M655" s="566"/>
      <c r="N655" s="566"/>
      <c r="O655" s="566"/>
      <c r="P655" s="566"/>
      <c r="Q655" s="566"/>
      <c r="R655" s="566"/>
      <c r="S655" s="566"/>
      <c r="T655" s="566"/>
      <c r="U655" s="566"/>
      <c r="V655" s="566"/>
      <c r="W655" s="566"/>
      <c r="X655" s="566"/>
      <c r="Y655" s="566"/>
      <c r="Z655" s="566"/>
      <c r="AA655" s="566"/>
      <c r="AB655" s="566"/>
      <c r="AC655" s="566"/>
      <c r="AD655" s="566"/>
      <c r="AE655" s="566"/>
      <c r="AF655" s="566"/>
      <c r="AG655" s="566"/>
      <c r="AH655" s="566"/>
      <c r="AI655" s="566"/>
      <c r="AJ655" s="566"/>
      <c r="AK655" s="566"/>
      <c r="AL655" s="566"/>
      <c r="AM655" s="566"/>
      <c r="AN655" s="566"/>
      <c r="AO655" s="566"/>
    </row>
    <row r="656" spans="2:41" x14ac:dyDescent="0.15">
      <c r="B656" s="567">
        <v>-18</v>
      </c>
      <c r="C656" s="566"/>
      <c r="D656" s="566"/>
      <c r="E656" s="566"/>
      <c r="F656" s="566"/>
      <c r="G656" s="566"/>
      <c r="H656" s="566"/>
      <c r="I656" s="566"/>
      <c r="J656" s="566"/>
      <c r="K656" s="566"/>
      <c r="L656" s="566"/>
      <c r="M656" s="566"/>
      <c r="N656" s="566"/>
      <c r="O656" s="566"/>
      <c r="P656" s="566"/>
      <c r="Q656" s="566"/>
      <c r="R656" s="566"/>
      <c r="S656" s="566"/>
      <c r="T656" s="566"/>
      <c r="U656" s="566"/>
      <c r="V656" s="566"/>
      <c r="W656" s="566"/>
      <c r="X656" s="566"/>
      <c r="Y656" s="566"/>
      <c r="Z656" s="566"/>
      <c r="AA656" s="566"/>
      <c r="AB656" s="566"/>
      <c r="AC656" s="566"/>
      <c r="AD656" s="566"/>
      <c r="AE656" s="566"/>
      <c r="AF656" s="566"/>
      <c r="AG656" s="566"/>
      <c r="AH656" s="566"/>
      <c r="AI656" s="566"/>
      <c r="AJ656" s="566"/>
      <c r="AK656" s="566"/>
      <c r="AL656" s="566"/>
      <c r="AM656" s="566"/>
      <c r="AN656" s="566"/>
      <c r="AO656" s="566"/>
    </row>
    <row r="657" spans="2:41" x14ac:dyDescent="0.15">
      <c r="B657" s="567">
        <v>-17</v>
      </c>
      <c r="C657" s="566"/>
      <c r="D657" s="566"/>
      <c r="E657" s="566"/>
      <c r="F657" s="566"/>
      <c r="G657" s="566"/>
      <c r="H657" s="566"/>
      <c r="I657" s="566"/>
      <c r="J657" s="566"/>
      <c r="K657" s="566"/>
      <c r="L657" s="566"/>
      <c r="M657" s="566"/>
      <c r="N657" s="566"/>
      <c r="O657" s="566"/>
      <c r="P657" s="566"/>
      <c r="Q657" s="566"/>
      <c r="R657" s="566"/>
      <c r="S657" s="566"/>
      <c r="T657" s="566"/>
      <c r="U657" s="566"/>
      <c r="V657" s="566"/>
      <c r="W657" s="566"/>
      <c r="X657" s="566"/>
      <c r="Y657" s="566"/>
      <c r="Z657" s="566"/>
      <c r="AA657" s="566"/>
      <c r="AB657" s="566"/>
      <c r="AC657" s="566"/>
      <c r="AD657" s="566"/>
      <c r="AE657" s="566"/>
      <c r="AF657" s="566"/>
      <c r="AG657" s="566"/>
      <c r="AH657" s="566"/>
      <c r="AI657" s="566"/>
      <c r="AJ657" s="566"/>
      <c r="AK657" s="566"/>
      <c r="AL657" s="566"/>
      <c r="AM657" s="566"/>
      <c r="AN657" s="566"/>
      <c r="AO657" s="566"/>
    </row>
    <row r="658" spans="2:41" x14ac:dyDescent="0.15">
      <c r="B658" s="567">
        <v>-16</v>
      </c>
      <c r="C658" s="566"/>
      <c r="D658" s="566"/>
      <c r="E658" s="566"/>
      <c r="F658" s="566"/>
      <c r="G658" s="566"/>
      <c r="H658" s="566"/>
      <c r="I658" s="566"/>
      <c r="J658" s="566"/>
      <c r="K658" s="566"/>
      <c r="L658" s="566"/>
      <c r="M658" s="566"/>
      <c r="N658" s="566"/>
      <c r="O658" s="566"/>
      <c r="P658" s="566"/>
      <c r="Q658" s="566"/>
      <c r="R658" s="566"/>
      <c r="S658" s="566"/>
      <c r="T658" s="566"/>
      <c r="U658" s="566"/>
      <c r="V658" s="566"/>
      <c r="W658" s="566"/>
      <c r="X658" s="566"/>
      <c r="Y658" s="566"/>
      <c r="Z658" s="566"/>
      <c r="AA658" s="566"/>
      <c r="AB658" s="566"/>
      <c r="AC658" s="566"/>
      <c r="AD658" s="566"/>
      <c r="AE658" s="566"/>
      <c r="AF658" s="566"/>
      <c r="AG658" s="566"/>
      <c r="AH658" s="566"/>
      <c r="AI658" s="566"/>
      <c r="AJ658" s="566"/>
      <c r="AK658" s="566"/>
      <c r="AL658" s="566"/>
      <c r="AM658" s="566"/>
      <c r="AN658" s="566"/>
      <c r="AO658" s="566"/>
    </row>
    <row r="659" spans="2:41" x14ac:dyDescent="0.15">
      <c r="B659" s="567">
        <v>-15</v>
      </c>
      <c r="C659" s="566"/>
      <c r="D659" s="566"/>
      <c r="E659" s="566"/>
      <c r="F659" s="566"/>
      <c r="G659" s="566"/>
      <c r="H659" s="566"/>
      <c r="I659" s="566"/>
      <c r="J659" s="566"/>
      <c r="K659" s="566"/>
      <c r="L659" s="566"/>
      <c r="M659" s="566"/>
      <c r="N659" s="566"/>
      <c r="O659" s="566"/>
      <c r="P659" s="566"/>
      <c r="Q659" s="566"/>
      <c r="R659" s="566"/>
      <c r="S659" s="566"/>
      <c r="T659" s="566"/>
      <c r="U659" s="566"/>
      <c r="V659" s="566"/>
      <c r="W659" s="566"/>
      <c r="X659" s="566"/>
      <c r="Y659" s="566"/>
      <c r="Z659" s="566"/>
      <c r="AA659" s="566"/>
      <c r="AB659" s="566"/>
      <c r="AC659" s="566"/>
      <c r="AD659" s="566"/>
      <c r="AE659" s="566"/>
      <c r="AF659" s="566"/>
      <c r="AG659" s="566"/>
      <c r="AH659" s="566"/>
      <c r="AI659" s="566"/>
      <c r="AJ659" s="566"/>
      <c r="AK659" s="566"/>
      <c r="AL659" s="566"/>
      <c r="AM659" s="566"/>
      <c r="AN659" s="566"/>
      <c r="AO659" s="566"/>
    </row>
    <row r="660" spans="2:41" x14ac:dyDescent="0.15">
      <c r="B660" s="567">
        <v>-14</v>
      </c>
      <c r="C660" s="566"/>
      <c r="D660" s="566"/>
      <c r="E660" s="566"/>
      <c r="F660" s="566"/>
      <c r="G660" s="566"/>
      <c r="H660" s="566"/>
      <c r="I660" s="566"/>
      <c r="J660" s="566"/>
      <c r="K660" s="566"/>
      <c r="L660" s="566"/>
      <c r="M660" s="566"/>
      <c r="N660" s="566"/>
      <c r="O660" s="566"/>
      <c r="P660" s="566"/>
      <c r="Q660" s="566"/>
      <c r="R660" s="566"/>
      <c r="S660" s="566"/>
      <c r="T660" s="566"/>
      <c r="U660" s="566"/>
      <c r="V660" s="566"/>
      <c r="W660" s="566"/>
      <c r="X660" s="566"/>
      <c r="Y660" s="566"/>
      <c r="Z660" s="566"/>
      <c r="AA660" s="566"/>
      <c r="AB660" s="566"/>
      <c r="AC660" s="566"/>
      <c r="AD660" s="566"/>
      <c r="AE660" s="566"/>
      <c r="AF660" s="566"/>
      <c r="AG660" s="566"/>
      <c r="AH660" s="566"/>
      <c r="AI660" s="566"/>
      <c r="AJ660" s="566"/>
      <c r="AK660" s="566"/>
      <c r="AL660" s="566"/>
      <c r="AM660" s="566"/>
      <c r="AN660" s="566"/>
      <c r="AO660" s="566"/>
    </row>
    <row r="661" spans="2:41" x14ac:dyDescent="0.15">
      <c r="B661" s="567">
        <v>-13</v>
      </c>
      <c r="C661" s="566"/>
      <c r="D661" s="566"/>
      <c r="E661" s="566"/>
      <c r="F661" s="566"/>
      <c r="G661" s="566"/>
      <c r="H661" s="566"/>
      <c r="I661" s="566"/>
      <c r="J661" s="566"/>
      <c r="K661" s="566"/>
      <c r="L661" s="566"/>
      <c r="M661" s="566"/>
      <c r="N661" s="566"/>
      <c r="O661" s="566"/>
      <c r="P661" s="566"/>
      <c r="Q661" s="566"/>
      <c r="R661" s="566"/>
      <c r="S661" s="566"/>
      <c r="T661" s="566"/>
      <c r="U661" s="566"/>
      <c r="V661" s="566"/>
      <c r="W661" s="566"/>
      <c r="X661" s="566"/>
      <c r="Y661" s="566"/>
      <c r="Z661" s="566"/>
      <c r="AA661" s="566"/>
      <c r="AB661" s="566"/>
      <c r="AC661" s="566"/>
      <c r="AD661" s="566"/>
      <c r="AE661" s="566"/>
      <c r="AF661" s="566"/>
      <c r="AG661" s="566"/>
      <c r="AH661" s="566"/>
      <c r="AI661" s="566"/>
      <c r="AJ661" s="566"/>
      <c r="AK661" s="566"/>
      <c r="AL661" s="566"/>
      <c r="AM661" s="566"/>
      <c r="AN661" s="566"/>
      <c r="AO661" s="566"/>
    </row>
    <row r="662" spans="2:41" x14ac:dyDescent="0.15">
      <c r="B662" s="567">
        <v>-12</v>
      </c>
      <c r="C662" s="566"/>
      <c r="D662" s="566"/>
      <c r="E662" s="566"/>
      <c r="F662" s="566"/>
      <c r="G662" s="566"/>
      <c r="H662" s="566"/>
      <c r="I662" s="566"/>
      <c r="J662" s="566"/>
      <c r="K662" s="566"/>
      <c r="L662" s="566"/>
      <c r="M662" s="566"/>
      <c r="N662" s="566"/>
      <c r="O662" s="566"/>
      <c r="P662" s="566"/>
      <c r="Q662" s="566"/>
      <c r="R662" s="566"/>
      <c r="S662" s="566"/>
      <c r="T662" s="566"/>
      <c r="U662" s="566"/>
      <c r="V662" s="566"/>
      <c r="W662" s="566"/>
      <c r="X662" s="566"/>
      <c r="Y662" s="566"/>
      <c r="Z662" s="566"/>
      <c r="AA662" s="566"/>
      <c r="AB662" s="566"/>
      <c r="AC662" s="566"/>
      <c r="AD662" s="566"/>
      <c r="AE662" s="566"/>
      <c r="AF662" s="566"/>
      <c r="AG662" s="566"/>
      <c r="AH662" s="566"/>
      <c r="AI662" s="566"/>
      <c r="AJ662" s="566"/>
      <c r="AK662" s="566"/>
      <c r="AL662" s="566"/>
      <c r="AM662" s="566"/>
      <c r="AN662" s="566"/>
      <c r="AO662" s="566"/>
    </row>
    <row r="663" spans="2:41" x14ac:dyDescent="0.15">
      <c r="B663" s="567">
        <v>-11</v>
      </c>
      <c r="C663" s="566"/>
      <c r="D663" s="566"/>
      <c r="E663" s="566"/>
      <c r="F663" s="566"/>
      <c r="G663" s="566"/>
      <c r="H663" s="566"/>
      <c r="I663" s="566"/>
      <c r="J663" s="566"/>
      <c r="K663" s="566"/>
      <c r="L663" s="566"/>
      <c r="M663" s="566"/>
      <c r="N663" s="566"/>
      <c r="O663" s="566"/>
      <c r="P663" s="566"/>
      <c r="Q663" s="566"/>
      <c r="R663" s="566"/>
      <c r="S663" s="566"/>
      <c r="T663" s="566"/>
      <c r="U663" s="566"/>
      <c r="V663" s="566"/>
      <c r="W663" s="566"/>
      <c r="X663" s="566"/>
      <c r="Y663" s="566"/>
      <c r="Z663" s="566"/>
      <c r="AA663" s="566"/>
      <c r="AB663" s="566"/>
      <c r="AC663" s="566"/>
      <c r="AD663" s="566"/>
      <c r="AE663" s="566"/>
      <c r="AF663" s="566"/>
      <c r="AG663" s="566"/>
      <c r="AH663" s="566"/>
      <c r="AI663" s="566"/>
      <c r="AJ663" s="566"/>
      <c r="AK663" s="566"/>
      <c r="AL663" s="566"/>
      <c r="AM663" s="566"/>
      <c r="AN663" s="566"/>
      <c r="AO663" s="566"/>
    </row>
    <row r="664" spans="2:41" x14ac:dyDescent="0.15">
      <c r="B664" s="567">
        <v>-10</v>
      </c>
      <c r="C664" s="566"/>
      <c r="D664" s="566"/>
      <c r="E664" s="566"/>
      <c r="F664" s="566"/>
      <c r="G664" s="566"/>
      <c r="H664" s="566"/>
      <c r="I664" s="566"/>
      <c r="J664" s="566"/>
      <c r="K664" s="566"/>
      <c r="L664" s="566"/>
      <c r="M664" s="566"/>
      <c r="N664" s="566"/>
      <c r="O664" s="566"/>
      <c r="P664" s="566"/>
      <c r="Q664" s="566"/>
      <c r="R664" s="566"/>
      <c r="S664" s="566"/>
      <c r="T664" s="566"/>
      <c r="U664" s="566"/>
      <c r="V664" s="566"/>
      <c r="W664" s="566"/>
      <c r="X664" s="566"/>
      <c r="Y664" s="566"/>
      <c r="Z664" s="566"/>
      <c r="AA664" s="566"/>
      <c r="AB664" s="566"/>
      <c r="AC664" s="566"/>
      <c r="AD664" s="566"/>
      <c r="AE664" s="566"/>
      <c r="AF664" s="566"/>
      <c r="AG664" s="566"/>
      <c r="AH664" s="566"/>
      <c r="AI664" s="566"/>
      <c r="AJ664" s="566"/>
      <c r="AK664" s="566"/>
      <c r="AL664" s="566"/>
      <c r="AM664" s="566"/>
      <c r="AN664" s="566"/>
      <c r="AO664" s="566"/>
    </row>
    <row r="665" spans="2:41" x14ac:dyDescent="0.15">
      <c r="B665" s="567">
        <v>-9</v>
      </c>
      <c r="C665" s="566"/>
      <c r="D665" s="566"/>
      <c r="E665" s="566"/>
      <c r="F665" s="566"/>
      <c r="G665" s="566"/>
      <c r="H665" s="566"/>
      <c r="I665" s="566"/>
      <c r="J665" s="566"/>
      <c r="K665" s="566"/>
      <c r="L665" s="566"/>
      <c r="M665" s="566"/>
      <c r="N665" s="566"/>
      <c r="O665" s="566"/>
      <c r="P665" s="566"/>
      <c r="Q665" s="566"/>
      <c r="R665" s="566"/>
      <c r="S665" s="566"/>
      <c r="T665" s="566"/>
      <c r="U665" s="566"/>
      <c r="V665" s="566"/>
      <c r="W665" s="566"/>
      <c r="X665" s="566"/>
      <c r="Y665" s="566"/>
      <c r="Z665" s="566"/>
      <c r="AA665" s="566"/>
      <c r="AB665" s="566"/>
      <c r="AC665" s="566"/>
      <c r="AD665" s="566"/>
      <c r="AE665" s="566"/>
      <c r="AF665" s="566"/>
      <c r="AG665" s="566"/>
      <c r="AH665" s="566"/>
      <c r="AI665" s="566"/>
      <c r="AJ665" s="566"/>
      <c r="AK665" s="566"/>
      <c r="AL665" s="566"/>
      <c r="AM665" s="566"/>
      <c r="AN665" s="566"/>
      <c r="AO665" s="566"/>
    </row>
    <row r="666" spans="2:41" x14ac:dyDescent="0.15">
      <c r="B666" s="567">
        <v>-8</v>
      </c>
      <c r="C666" s="566"/>
      <c r="D666" s="566"/>
      <c r="E666" s="566"/>
      <c r="F666" s="566"/>
      <c r="G666" s="566"/>
      <c r="H666" s="566"/>
      <c r="I666" s="566"/>
      <c r="J666" s="566"/>
      <c r="K666" s="566"/>
      <c r="L666" s="566"/>
      <c r="M666" s="566"/>
      <c r="N666" s="566"/>
      <c r="O666" s="566"/>
      <c r="P666" s="566"/>
      <c r="Q666" s="566"/>
      <c r="R666" s="566"/>
      <c r="S666" s="566"/>
      <c r="T666" s="566"/>
      <c r="U666" s="566"/>
      <c r="V666" s="566"/>
      <c r="W666" s="566"/>
      <c r="X666" s="566"/>
      <c r="Y666" s="566"/>
      <c r="Z666" s="566"/>
      <c r="AA666" s="566"/>
      <c r="AB666" s="566"/>
      <c r="AC666" s="566"/>
      <c r="AD666" s="566"/>
      <c r="AE666" s="566"/>
      <c r="AF666" s="566"/>
      <c r="AG666" s="566"/>
      <c r="AH666" s="566"/>
      <c r="AI666" s="566"/>
      <c r="AJ666" s="566"/>
      <c r="AK666" s="566"/>
      <c r="AL666" s="566"/>
      <c r="AM666" s="566"/>
      <c r="AN666" s="566"/>
      <c r="AO666" s="566"/>
    </row>
    <row r="667" spans="2:41" x14ac:dyDescent="0.15">
      <c r="B667" s="567">
        <v>-7</v>
      </c>
      <c r="C667" s="566"/>
      <c r="D667" s="566"/>
      <c r="E667" s="566"/>
      <c r="F667" s="566"/>
      <c r="G667" s="566"/>
      <c r="H667" s="566"/>
      <c r="I667" s="566"/>
      <c r="J667" s="566"/>
      <c r="K667" s="566"/>
      <c r="L667" s="566"/>
      <c r="M667" s="566"/>
      <c r="N667" s="566"/>
      <c r="O667" s="566"/>
      <c r="P667" s="566"/>
      <c r="Q667" s="566"/>
      <c r="R667" s="566"/>
      <c r="S667" s="566"/>
      <c r="T667" s="566"/>
      <c r="U667" s="566"/>
      <c r="V667" s="566"/>
      <c r="W667" s="566"/>
      <c r="X667" s="566"/>
      <c r="Y667" s="566"/>
      <c r="Z667" s="566"/>
      <c r="AA667" s="566"/>
      <c r="AB667" s="566"/>
      <c r="AC667" s="566"/>
      <c r="AD667" s="566"/>
      <c r="AE667" s="566"/>
      <c r="AF667" s="566"/>
      <c r="AG667" s="566"/>
      <c r="AH667" s="566"/>
      <c r="AI667" s="566"/>
      <c r="AJ667" s="566"/>
      <c r="AK667" s="566"/>
      <c r="AL667" s="566"/>
      <c r="AM667" s="566"/>
      <c r="AN667" s="566"/>
      <c r="AO667" s="566"/>
    </row>
    <row r="668" spans="2:41" x14ac:dyDescent="0.15">
      <c r="B668" s="567">
        <v>-6</v>
      </c>
      <c r="C668" s="566"/>
      <c r="D668" s="566"/>
      <c r="E668" s="566"/>
      <c r="F668" s="566"/>
      <c r="G668" s="566"/>
      <c r="H668" s="566"/>
      <c r="I668" s="566"/>
      <c r="J668" s="566"/>
      <c r="K668" s="566"/>
      <c r="L668" s="566"/>
      <c r="M668" s="566"/>
      <c r="N668" s="566"/>
      <c r="O668" s="566"/>
      <c r="P668" s="566"/>
      <c r="Q668" s="566"/>
      <c r="R668" s="566"/>
      <c r="S668" s="566"/>
      <c r="T668" s="566"/>
      <c r="U668" s="566"/>
      <c r="V668" s="566"/>
      <c r="W668" s="566"/>
      <c r="X668" s="566"/>
      <c r="Y668" s="566"/>
      <c r="Z668" s="566"/>
      <c r="AA668" s="566"/>
      <c r="AB668" s="566"/>
      <c r="AC668" s="566"/>
      <c r="AD668" s="566"/>
      <c r="AE668" s="566"/>
      <c r="AF668" s="566"/>
      <c r="AG668" s="566"/>
      <c r="AH668" s="566"/>
      <c r="AI668" s="566"/>
      <c r="AJ668" s="566"/>
      <c r="AK668" s="566"/>
      <c r="AL668" s="566"/>
      <c r="AM668" s="566"/>
      <c r="AN668" s="566"/>
      <c r="AO668" s="566"/>
    </row>
    <row r="669" spans="2:41" x14ac:dyDescent="0.15">
      <c r="B669" s="567">
        <v>-5</v>
      </c>
      <c r="C669" s="566"/>
      <c r="D669" s="566"/>
      <c r="E669" s="566"/>
      <c r="F669" s="566"/>
      <c r="G669" s="566"/>
      <c r="H669" s="566"/>
      <c r="I669" s="566"/>
      <c r="J669" s="566"/>
      <c r="K669" s="566"/>
      <c r="L669" s="566"/>
      <c r="M669" s="566"/>
      <c r="N669" s="566"/>
      <c r="O669" s="566"/>
      <c r="P669" s="566"/>
      <c r="Q669" s="566"/>
      <c r="R669" s="566"/>
      <c r="S669" s="566"/>
      <c r="T669" s="566"/>
      <c r="U669" s="566"/>
      <c r="V669" s="566"/>
      <c r="W669" s="566"/>
      <c r="X669" s="566"/>
      <c r="Y669" s="566"/>
      <c r="Z669" s="566"/>
      <c r="AA669" s="566"/>
      <c r="AB669" s="566"/>
      <c r="AC669" s="566"/>
      <c r="AD669" s="566"/>
      <c r="AE669" s="566"/>
      <c r="AF669" s="566"/>
      <c r="AG669" s="566"/>
      <c r="AH669" s="566"/>
      <c r="AI669" s="566"/>
      <c r="AJ669" s="566"/>
      <c r="AK669" s="566"/>
      <c r="AL669" s="566"/>
      <c r="AM669" s="566"/>
      <c r="AN669" s="566"/>
      <c r="AO669" s="566"/>
    </row>
    <row r="670" spans="2:41" x14ac:dyDescent="0.15">
      <c r="B670" s="567">
        <v>-4</v>
      </c>
      <c r="C670" s="566"/>
      <c r="D670" s="566"/>
      <c r="E670" s="566"/>
      <c r="F670" s="566"/>
      <c r="G670" s="566"/>
      <c r="H670" s="566"/>
      <c r="I670" s="566"/>
      <c r="J670" s="566"/>
      <c r="K670" s="566"/>
      <c r="L670" s="566"/>
      <c r="M670" s="566"/>
      <c r="N670" s="566"/>
      <c r="O670" s="566"/>
      <c r="P670" s="566"/>
      <c r="Q670" s="566"/>
      <c r="R670" s="566"/>
      <c r="S670" s="566"/>
      <c r="T670" s="566"/>
      <c r="U670" s="566"/>
      <c r="V670" s="566"/>
      <c r="W670" s="566"/>
      <c r="X670" s="566"/>
      <c r="Y670" s="566"/>
      <c r="Z670" s="566"/>
      <c r="AA670" s="566"/>
      <c r="AB670" s="566"/>
      <c r="AC670" s="566"/>
      <c r="AD670" s="566"/>
      <c r="AE670" s="566"/>
      <c r="AF670" s="566"/>
      <c r="AG670" s="566"/>
      <c r="AH670" s="566"/>
      <c r="AI670" s="566"/>
      <c r="AJ670" s="566"/>
      <c r="AK670" s="566"/>
      <c r="AL670" s="566"/>
      <c r="AM670" s="566"/>
      <c r="AN670" s="566"/>
      <c r="AO670" s="566"/>
    </row>
    <row r="671" spans="2:41" x14ac:dyDescent="0.15">
      <c r="B671" s="567">
        <v>-3</v>
      </c>
      <c r="C671" s="566"/>
      <c r="D671" s="566"/>
      <c r="E671" s="566"/>
      <c r="F671" s="566"/>
      <c r="G671" s="566"/>
      <c r="H671" s="566"/>
      <c r="I671" s="566"/>
      <c r="J671" s="566"/>
      <c r="K671" s="566"/>
      <c r="L671" s="566"/>
      <c r="M671" s="566"/>
      <c r="N671" s="566"/>
      <c r="O671" s="566"/>
      <c r="P671" s="566"/>
      <c r="Q671" s="566"/>
      <c r="R671" s="566"/>
      <c r="S671" s="566"/>
      <c r="T671" s="566"/>
      <c r="U671" s="566"/>
      <c r="V671" s="566"/>
      <c r="W671" s="566"/>
      <c r="X671" s="566"/>
      <c r="Y671" s="566"/>
      <c r="Z671" s="566"/>
      <c r="AA671" s="566"/>
      <c r="AB671" s="566"/>
      <c r="AC671" s="566"/>
      <c r="AD671" s="566"/>
      <c r="AE671" s="566"/>
      <c r="AF671" s="566"/>
      <c r="AG671" s="566"/>
      <c r="AH671" s="566"/>
      <c r="AI671" s="566"/>
      <c r="AJ671" s="566"/>
      <c r="AK671" s="566"/>
      <c r="AL671" s="566"/>
      <c r="AM671" s="566"/>
      <c r="AN671" s="566"/>
      <c r="AO671" s="566"/>
    </row>
    <row r="672" spans="2:41" x14ac:dyDescent="0.15">
      <c r="B672" s="567">
        <v>-2</v>
      </c>
      <c r="C672" s="566"/>
      <c r="D672" s="566"/>
      <c r="E672" s="566"/>
      <c r="F672" s="566"/>
      <c r="G672" s="566"/>
      <c r="H672" s="566"/>
      <c r="I672" s="566"/>
      <c r="J672" s="566"/>
      <c r="K672" s="566"/>
      <c r="L672" s="566"/>
      <c r="M672" s="566"/>
      <c r="N672" s="566"/>
      <c r="O672" s="566"/>
      <c r="P672" s="566"/>
      <c r="Q672" s="566"/>
      <c r="R672" s="566"/>
      <c r="S672" s="566"/>
      <c r="T672" s="566"/>
      <c r="U672" s="566"/>
      <c r="V672" s="566"/>
      <c r="W672" s="566"/>
      <c r="X672" s="566"/>
      <c r="Y672" s="566"/>
      <c r="Z672" s="566"/>
      <c r="AA672" s="566"/>
      <c r="AB672" s="566"/>
      <c r="AC672" s="566"/>
      <c r="AD672" s="566"/>
      <c r="AE672" s="566"/>
      <c r="AF672" s="566"/>
      <c r="AG672" s="566"/>
      <c r="AH672" s="566"/>
      <c r="AI672" s="566"/>
      <c r="AJ672" s="566"/>
      <c r="AK672" s="566"/>
      <c r="AL672" s="566"/>
      <c r="AM672" s="566"/>
      <c r="AN672" s="566"/>
      <c r="AO672" s="566"/>
    </row>
    <row r="673" spans="2:41" x14ac:dyDescent="0.15">
      <c r="B673" s="567">
        <v>-1</v>
      </c>
      <c r="C673" s="566"/>
      <c r="D673" s="566"/>
      <c r="E673" s="566"/>
      <c r="F673" s="566"/>
      <c r="G673" s="566"/>
      <c r="H673" s="566"/>
      <c r="I673" s="566"/>
      <c r="J673" s="566"/>
      <c r="K673" s="566"/>
      <c r="L673" s="566"/>
      <c r="M673" s="566"/>
      <c r="N673" s="566"/>
      <c r="O673" s="566"/>
      <c r="P673" s="566"/>
      <c r="Q673" s="566"/>
      <c r="R673" s="566"/>
      <c r="S673" s="566"/>
      <c r="T673" s="566"/>
      <c r="U673" s="566"/>
      <c r="V673" s="566"/>
      <c r="W673" s="566"/>
      <c r="X673" s="566"/>
      <c r="Y673" s="566"/>
      <c r="Z673" s="566"/>
      <c r="AA673" s="566"/>
      <c r="AB673" s="566"/>
      <c r="AC673" s="566"/>
      <c r="AD673" s="566"/>
      <c r="AE673" s="566"/>
      <c r="AF673" s="566"/>
      <c r="AG673" s="566"/>
      <c r="AH673" s="566"/>
      <c r="AI673" s="566"/>
      <c r="AJ673" s="566"/>
      <c r="AK673" s="566"/>
      <c r="AL673" s="566"/>
      <c r="AM673" s="566"/>
      <c r="AN673" s="566"/>
      <c r="AO673" s="566"/>
    </row>
    <row r="674" spans="2:41" x14ac:dyDescent="0.15">
      <c r="B674" s="567">
        <v>0</v>
      </c>
      <c r="C674" s="566"/>
      <c r="D674" s="566"/>
      <c r="E674" s="566"/>
      <c r="F674" s="566"/>
      <c r="G674" s="566"/>
      <c r="H674" s="566"/>
      <c r="I674" s="566"/>
      <c r="J674" s="566"/>
      <c r="K674" s="566"/>
      <c r="L674" s="566"/>
      <c r="M674" s="566"/>
      <c r="N674" s="566"/>
      <c r="O674" s="566"/>
      <c r="P674" s="566"/>
      <c r="Q674" s="566"/>
      <c r="R674" s="566"/>
      <c r="S674" s="566"/>
      <c r="T674" s="566"/>
      <c r="U674" s="566"/>
      <c r="V674" s="566"/>
      <c r="W674" s="566"/>
      <c r="X674" s="566"/>
      <c r="Y674" s="566"/>
      <c r="Z674" s="566"/>
      <c r="AA674" s="566"/>
      <c r="AB674" s="566"/>
      <c r="AC674" s="566"/>
      <c r="AD674" s="566"/>
      <c r="AE674" s="566"/>
      <c r="AF674" s="566"/>
      <c r="AG674" s="566"/>
      <c r="AH674" s="566"/>
      <c r="AI674" s="566"/>
      <c r="AJ674" s="566"/>
      <c r="AK674" s="566"/>
      <c r="AL674" s="566"/>
      <c r="AM674" s="566"/>
      <c r="AN674" s="566"/>
      <c r="AO674" s="566"/>
    </row>
    <row r="675" spans="2:41" x14ac:dyDescent="0.15">
      <c r="B675" s="567">
        <v>1</v>
      </c>
      <c r="C675" s="566"/>
      <c r="D675" s="566"/>
      <c r="E675" s="566"/>
      <c r="F675" s="566"/>
      <c r="G675" s="566"/>
      <c r="H675" s="566"/>
      <c r="I675" s="566"/>
      <c r="J675" s="566"/>
      <c r="K675" s="566"/>
      <c r="L675" s="566"/>
      <c r="M675" s="566"/>
      <c r="N675" s="566"/>
      <c r="O675" s="566"/>
      <c r="P675" s="566"/>
      <c r="Q675" s="566"/>
      <c r="R675" s="566"/>
      <c r="S675" s="566"/>
      <c r="T675" s="566"/>
      <c r="U675" s="566"/>
      <c r="V675" s="566"/>
      <c r="W675" s="566"/>
      <c r="X675" s="566"/>
      <c r="Y675" s="566"/>
      <c r="Z675" s="566"/>
      <c r="AA675" s="566"/>
      <c r="AB675" s="566"/>
      <c r="AC675" s="566"/>
      <c r="AD675" s="566"/>
      <c r="AE675" s="566"/>
      <c r="AF675" s="566"/>
      <c r="AG675" s="566"/>
      <c r="AH675" s="566"/>
      <c r="AI675" s="566"/>
      <c r="AJ675" s="566"/>
      <c r="AK675" s="566"/>
      <c r="AL675" s="566"/>
      <c r="AM675" s="566"/>
      <c r="AN675" s="566"/>
      <c r="AO675" s="566"/>
    </row>
    <row r="676" spans="2:41" x14ac:dyDescent="0.15">
      <c r="B676" s="567">
        <v>2</v>
      </c>
      <c r="C676" s="566"/>
      <c r="D676" s="566"/>
      <c r="E676" s="566"/>
      <c r="F676" s="566"/>
      <c r="G676" s="566"/>
      <c r="H676" s="566"/>
      <c r="I676" s="566"/>
      <c r="J676" s="566"/>
      <c r="K676" s="566"/>
      <c r="L676" s="566"/>
      <c r="M676" s="566"/>
      <c r="N676" s="566"/>
      <c r="O676" s="566"/>
      <c r="P676" s="566"/>
      <c r="Q676" s="566"/>
      <c r="R676" s="566"/>
      <c r="S676" s="566"/>
      <c r="T676" s="566"/>
      <c r="U676" s="566"/>
      <c r="V676" s="566"/>
      <c r="W676" s="566"/>
      <c r="X676" s="566"/>
      <c r="Y676" s="566"/>
      <c r="Z676" s="566"/>
      <c r="AA676" s="566"/>
      <c r="AB676" s="566"/>
      <c r="AC676" s="566"/>
      <c r="AD676" s="566"/>
      <c r="AE676" s="566"/>
      <c r="AF676" s="566"/>
      <c r="AG676" s="566"/>
      <c r="AH676" s="566"/>
      <c r="AI676" s="566"/>
      <c r="AJ676" s="566"/>
      <c r="AK676" s="566"/>
      <c r="AL676" s="566"/>
      <c r="AM676" s="566"/>
      <c r="AN676" s="566"/>
      <c r="AO676" s="566"/>
    </row>
    <row r="677" spans="2:41" x14ac:dyDescent="0.15">
      <c r="B677" s="567">
        <v>3</v>
      </c>
      <c r="C677" s="566"/>
      <c r="D677" s="566"/>
      <c r="E677" s="566"/>
      <c r="F677" s="566"/>
      <c r="G677" s="566"/>
      <c r="H677" s="566"/>
      <c r="I677" s="566"/>
      <c r="J677" s="566"/>
      <c r="K677" s="566"/>
      <c r="L677" s="566"/>
      <c r="M677" s="566"/>
      <c r="N677" s="566"/>
      <c r="O677" s="566"/>
      <c r="P677" s="566"/>
      <c r="Q677" s="566"/>
      <c r="R677" s="566"/>
      <c r="S677" s="566"/>
      <c r="T677" s="566"/>
      <c r="U677" s="566"/>
      <c r="V677" s="566"/>
      <c r="W677" s="566"/>
      <c r="X677" s="566"/>
      <c r="Y677" s="566"/>
      <c r="Z677" s="566"/>
      <c r="AA677" s="566"/>
      <c r="AB677" s="566"/>
      <c r="AC677" s="566"/>
      <c r="AD677" s="566"/>
      <c r="AE677" s="566"/>
      <c r="AF677" s="566"/>
      <c r="AG677" s="566"/>
      <c r="AH677" s="566"/>
      <c r="AI677" s="566"/>
      <c r="AJ677" s="566"/>
      <c r="AK677" s="566"/>
      <c r="AL677" s="566"/>
      <c r="AM677" s="566"/>
      <c r="AN677" s="566"/>
      <c r="AO677" s="566"/>
    </row>
    <row r="678" spans="2:41" x14ac:dyDescent="0.15">
      <c r="B678" s="567">
        <v>4</v>
      </c>
      <c r="C678" s="566"/>
      <c r="D678" s="566"/>
      <c r="E678" s="566"/>
      <c r="F678" s="566"/>
      <c r="G678" s="566"/>
      <c r="H678" s="566"/>
      <c r="I678" s="566"/>
      <c r="J678" s="566"/>
      <c r="K678" s="566"/>
      <c r="L678" s="566"/>
      <c r="M678" s="566"/>
      <c r="N678" s="566"/>
      <c r="O678" s="566"/>
      <c r="P678" s="566"/>
      <c r="Q678" s="566"/>
      <c r="R678" s="566"/>
      <c r="S678" s="566"/>
      <c r="T678" s="566"/>
      <c r="U678" s="566"/>
      <c r="V678" s="566"/>
      <c r="W678" s="566"/>
      <c r="X678" s="566"/>
      <c r="Y678" s="566"/>
      <c r="Z678" s="566"/>
      <c r="AA678" s="566"/>
      <c r="AB678" s="566"/>
      <c r="AC678" s="566"/>
      <c r="AD678" s="566"/>
      <c r="AE678" s="566"/>
      <c r="AF678" s="566"/>
      <c r="AG678" s="566"/>
      <c r="AH678" s="566"/>
      <c r="AI678" s="566"/>
      <c r="AJ678" s="566"/>
      <c r="AK678" s="566"/>
      <c r="AL678" s="566"/>
      <c r="AM678" s="566"/>
      <c r="AN678" s="566"/>
      <c r="AO678" s="566"/>
    </row>
    <row r="679" spans="2:41" x14ac:dyDescent="0.15">
      <c r="B679" s="567">
        <v>5</v>
      </c>
      <c r="C679" s="566"/>
      <c r="D679" s="566"/>
      <c r="E679" s="566"/>
      <c r="F679" s="566"/>
      <c r="G679" s="566"/>
      <c r="H679" s="566"/>
      <c r="I679" s="566"/>
      <c r="J679" s="566"/>
      <c r="K679" s="566"/>
      <c r="L679" s="566"/>
      <c r="M679" s="566"/>
      <c r="N679" s="566"/>
      <c r="O679" s="566"/>
      <c r="P679" s="566"/>
      <c r="Q679" s="566"/>
      <c r="R679" s="566"/>
      <c r="S679" s="566"/>
      <c r="T679" s="566"/>
      <c r="U679" s="566"/>
      <c r="V679" s="566"/>
      <c r="W679" s="566"/>
      <c r="X679" s="566"/>
      <c r="Y679" s="566"/>
      <c r="Z679" s="566"/>
      <c r="AA679" s="566"/>
      <c r="AB679" s="566"/>
      <c r="AC679" s="566"/>
      <c r="AD679" s="566"/>
      <c r="AE679" s="566"/>
      <c r="AF679" s="566"/>
      <c r="AG679" s="566"/>
      <c r="AH679" s="566"/>
      <c r="AI679" s="566"/>
      <c r="AJ679" s="566"/>
      <c r="AK679" s="566"/>
      <c r="AL679" s="566"/>
      <c r="AM679" s="566"/>
      <c r="AN679" s="566"/>
      <c r="AO679" s="566"/>
    </row>
    <row r="680" spans="2:41" x14ac:dyDescent="0.15">
      <c r="B680" s="567">
        <v>6</v>
      </c>
      <c r="C680" s="566"/>
      <c r="D680" s="566"/>
      <c r="E680" s="566"/>
      <c r="F680" s="566"/>
      <c r="G680" s="566"/>
      <c r="H680" s="566"/>
      <c r="I680" s="566"/>
      <c r="J680" s="566"/>
      <c r="K680" s="566"/>
      <c r="L680" s="566"/>
      <c r="M680" s="566"/>
      <c r="N680" s="566"/>
      <c r="O680" s="566"/>
      <c r="P680" s="566"/>
      <c r="Q680" s="566"/>
      <c r="R680" s="566"/>
      <c r="S680" s="566"/>
      <c r="T680" s="566"/>
      <c r="U680" s="566"/>
      <c r="V680" s="566"/>
      <c r="W680" s="566"/>
      <c r="X680" s="566"/>
      <c r="Y680" s="566"/>
      <c r="Z680" s="566"/>
      <c r="AA680" s="566"/>
      <c r="AB680" s="566"/>
      <c r="AC680" s="566"/>
      <c r="AD680" s="566"/>
      <c r="AE680" s="566"/>
      <c r="AF680" s="566"/>
      <c r="AG680" s="566"/>
      <c r="AH680" s="566"/>
      <c r="AI680" s="566"/>
      <c r="AJ680" s="566"/>
      <c r="AK680" s="566"/>
      <c r="AL680" s="566"/>
      <c r="AM680" s="566"/>
      <c r="AN680" s="566"/>
      <c r="AO680" s="566"/>
    </row>
    <row r="681" spans="2:41" x14ac:dyDescent="0.15">
      <c r="B681" s="567">
        <v>7</v>
      </c>
      <c r="C681" s="566"/>
      <c r="D681" s="566"/>
      <c r="E681" s="566"/>
      <c r="F681" s="566"/>
      <c r="G681" s="566"/>
      <c r="H681" s="566"/>
      <c r="I681" s="566"/>
      <c r="J681" s="566"/>
      <c r="K681" s="566"/>
      <c r="L681" s="566"/>
      <c r="M681" s="566"/>
      <c r="N681" s="566"/>
      <c r="O681" s="566"/>
      <c r="P681" s="566"/>
      <c r="Q681" s="566"/>
      <c r="R681" s="566"/>
      <c r="S681" s="566"/>
      <c r="T681" s="566"/>
      <c r="U681" s="566"/>
      <c r="V681" s="566"/>
      <c r="W681" s="566"/>
      <c r="X681" s="566"/>
      <c r="Y681" s="566"/>
      <c r="Z681" s="566"/>
      <c r="AA681" s="566"/>
      <c r="AB681" s="566"/>
      <c r="AC681" s="566"/>
      <c r="AD681" s="566"/>
      <c r="AE681" s="566"/>
      <c r="AF681" s="566"/>
      <c r="AG681" s="566"/>
      <c r="AH681" s="566"/>
      <c r="AI681" s="566"/>
      <c r="AJ681" s="566"/>
      <c r="AK681" s="566"/>
      <c r="AL681" s="566"/>
      <c r="AM681" s="566"/>
      <c r="AN681" s="566"/>
      <c r="AO681" s="566"/>
    </row>
    <row r="682" spans="2:41" x14ac:dyDescent="0.15">
      <c r="B682" s="567">
        <v>8</v>
      </c>
      <c r="C682" s="566"/>
      <c r="D682" s="566"/>
      <c r="E682" s="566"/>
      <c r="F682" s="566"/>
      <c r="G682" s="566"/>
      <c r="H682" s="566"/>
      <c r="I682" s="566"/>
      <c r="J682" s="566"/>
      <c r="K682" s="566"/>
      <c r="L682" s="566"/>
      <c r="M682" s="566"/>
      <c r="N682" s="566"/>
      <c r="O682" s="566"/>
      <c r="P682" s="566"/>
      <c r="Q682" s="566"/>
      <c r="R682" s="566"/>
      <c r="S682" s="566"/>
      <c r="T682" s="566"/>
      <c r="U682" s="566"/>
      <c r="V682" s="566"/>
      <c r="W682" s="566"/>
      <c r="X682" s="566"/>
      <c r="Y682" s="566"/>
      <c r="Z682" s="566"/>
      <c r="AA682" s="566"/>
      <c r="AB682" s="566"/>
      <c r="AC682" s="566"/>
      <c r="AD682" s="566"/>
      <c r="AE682" s="566"/>
      <c r="AF682" s="566"/>
      <c r="AG682" s="566"/>
      <c r="AH682" s="566"/>
      <c r="AI682" s="566"/>
      <c r="AJ682" s="566"/>
      <c r="AK682" s="566"/>
      <c r="AL682" s="566"/>
      <c r="AM682" s="566"/>
      <c r="AN682" s="566"/>
      <c r="AO682" s="566"/>
    </row>
    <row r="683" spans="2:41" x14ac:dyDescent="0.15">
      <c r="B683" s="567">
        <v>9</v>
      </c>
      <c r="C683" s="566"/>
      <c r="D683" s="566"/>
      <c r="E683" s="566"/>
      <c r="F683" s="566"/>
      <c r="G683" s="566"/>
      <c r="H683" s="566"/>
      <c r="I683" s="566"/>
      <c r="J683" s="566"/>
      <c r="K683" s="566"/>
      <c r="L683" s="566"/>
      <c r="M683" s="566"/>
      <c r="N683" s="566"/>
      <c r="O683" s="566"/>
      <c r="P683" s="566"/>
      <c r="Q683" s="566"/>
      <c r="R683" s="566"/>
      <c r="S683" s="566"/>
      <c r="T683" s="566"/>
      <c r="U683" s="566"/>
      <c r="V683" s="566"/>
      <c r="W683" s="566"/>
      <c r="X683" s="566"/>
      <c r="Y683" s="566"/>
      <c r="Z683" s="566"/>
      <c r="AA683" s="566"/>
      <c r="AB683" s="566"/>
      <c r="AC683" s="566"/>
      <c r="AD683" s="566"/>
      <c r="AE683" s="566"/>
      <c r="AF683" s="566"/>
      <c r="AG683" s="566"/>
      <c r="AH683" s="566"/>
      <c r="AI683" s="566"/>
      <c r="AJ683" s="566"/>
      <c r="AK683" s="566"/>
      <c r="AL683" s="566"/>
      <c r="AM683" s="566"/>
      <c r="AN683" s="566"/>
      <c r="AO683" s="566"/>
    </row>
    <row r="684" spans="2:41" x14ac:dyDescent="0.15">
      <c r="B684" s="567">
        <v>10</v>
      </c>
      <c r="C684" s="566"/>
      <c r="D684" s="566"/>
      <c r="E684" s="566"/>
      <c r="F684" s="566"/>
      <c r="G684" s="566"/>
      <c r="H684" s="566"/>
      <c r="I684" s="566"/>
      <c r="J684" s="566"/>
      <c r="K684" s="566"/>
      <c r="L684" s="566"/>
      <c r="M684" s="566"/>
      <c r="N684" s="566"/>
      <c r="O684" s="566"/>
      <c r="P684" s="566"/>
      <c r="Q684" s="566"/>
      <c r="R684" s="566"/>
      <c r="S684" s="566"/>
      <c r="T684" s="566"/>
      <c r="U684" s="566"/>
      <c r="V684" s="566"/>
      <c r="W684" s="566"/>
      <c r="X684" s="566"/>
      <c r="Y684" s="566"/>
      <c r="Z684" s="566"/>
      <c r="AA684" s="566"/>
      <c r="AB684" s="566"/>
      <c r="AC684" s="566"/>
      <c r="AD684" s="566"/>
      <c r="AE684" s="566"/>
      <c r="AF684" s="566"/>
      <c r="AG684" s="566"/>
      <c r="AH684" s="566"/>
      <c r="AI684" s="566"/>
      <c r="AJ684" s="566"/>
      <c r="AK684" s="566"/>
      <c r="AL684" s="566"/>
      <c r="AM684" s="566"/>
      <c r="AN684" s="566"/>
      <c r="AO684" s="566"/>
    </row>
    <row r="685" spans="2:41" x14ac:dyDescent="0.15">
      <c r="B685" s="567">
        <v>11</v>
      </c>
      <c r="C685" s="566"/>
      <c r="D685" s="566"/>
      <c r="E685" s="566"/>
      <c r="F685" s="566"/>
      <c r="G685" s="566"/>
      <c r="H685" s="566"/>
      <c r="I685" s="566"/>
      <c r="J685" s="566"/>
      <c r="K685" s="566"/>
      <c r="L685" s="566"/>
      <c r="M685" s="566"/>
      <c r="N685" s="566"/>
      <c r="O685" s="566"/>
      <c r="P685" s="566"/>
      <c r="Q685" s="566"/>
      <c r="R685" s="566"/>
      <c r="S685" s="566"/>
      <c r="T685" s="566"/>
      <c r="U685" s="566"/>
      <c r="V685" s="566"/>
      <c r="W685" s="566"/>
      <c r="X685" s="566"/>
      <c r="Y685" s="566"/>
      <c r="Z685" s="566"/>
      <c r="AA685" s="566"/>
      <c r="AB685" s="566"/>
      <c r="AC685" s="566"/>
      <c r="AD685" s="566"/>
      <c r="AE685" s="566"/>
      <c r="AF685" s="566"/>
      <c r="AG685" s="566"/>
      <c r="AH685" s="566"/>
      <c r="AI685" s="566"/>
      <c r="AJ685" s="566"/>
      <c r="AK685" s="566"/>
      <c r="AL685" s="566"/>
      <c r="AM685" s="566"/>
      <c r="AN685" s="566"/>
      <c r="AO685" s="566"/>
    </row>
    <row r="686" spans="2:41" x14ac:dyDescent="0.15">
      <c r="B686" s="567">
        <v>12</v>
      </c>
      <c r="C686" s="566"/>
      <c r="D686" s="566"/>
      <c r="E686" s="566"/>
      <c r="F686" s="566"/>
      <c r="G686" s="566"/>
      <c r="H686" s="566"/>
      <c r="I686" s="566"/>
      <c r="J686" s="566"/>
      <c r="K686" s="566"/>
      <c r="L686" s="566"/>
      <c r="M686" s="566"/>
      <c r="N686" s="566"/>
      <c r="O686" s="566"/>
      <c r="P686" s="566"/>
      <c r="Q686" s="566"/>
      <c r="R686" s="566"/>
      <c r="S686" s="566"/>
      <c r="T686" s="566"/>
      <c r="U686" s="566"/>
      <c r="V686" s="566"/>
      <c r="W686" s="566"/>
      <c r="X686" s="566"/>
      <c r="Y686" s="566"/>
      <c r="Z686" s="566"/>
      <c r="AA686" s="566"/>
      <c r="AB686" s="566"/>
      <c r="AC686" s="566"/>
      <c r="AD686" s="566"/>
      <c r="AE686" s="566"/>
      <c r="AF686" s="566"/>
      <c r="AG686" s="566"/>
      <c r="AH686" s="566"/>
      <c r="AI686" s="566"/>
      <c r="AJ686" s="566"/>
      <c r="AK686" s="566"/>
      <c r="AL686" s="566"/>
      <c r="AM686" s="566"/>
      <c r="AN686" s="566"/>
      <c r="AO686" s="566"/>
    </row>
    <row r="687" spans="2:41" x14ac:dyDescent="0.15">
      <c r="B687" s="567">
        <v>13</v>
      </c>
      <c r="C687" s="566"/>
      <c r="D687" s="566"/>
      <c r="E687" s="566"/>
      <c r="F687" s="566"/>
      <c r="G687" s="566"/>
      <c r="H687" s="566"/>
      <c r="I687" s="566"/>
      <c r="J687" s="566"/>
      <c r="K687" s="566"/>
      <c r="L687" s="566"/>
      <c r="M687" s="566"/>
      <c r="N687" s="566"/>
      <c r="O687" s="566"/>
      <c r="P687" s="566"/>
      <c r="Q687" s="566"/>
      <c r="R687" s="566"/>
      <c r="S687" s="566"/>
      <c r="T687" s="566"/>
      <c r="U687" s="566"/>
      <c r="V687" s="566"/>
      <c r="W687" s="566"/>
      <c r="X687" s="566"/>
      <c r="Y687" s="566"/>
      <c r="Z687" s="566"/>
      <c r="AA687" s="566"/>
      <c r="AB687" s="566"/>
      <c r="AC687" s="566"/>
      <c r="AD687" s="566"/>
      <c r="AE687" s="566"/>
      <c r="AF687" s="566"/>
      <c r="AG687" s="566"/>
      <c r="AH687" s="566"/>
      <c r="AI687" s="566"/>
      <c r="AJ687" s="566"/>
      <c r="AK687" s="566"/>
      <c r="AL687" s="566"/>
      <c r="AM687" s="566"/>
      <c r="AN687" s="566"/>
      <c r="AO687" s="566"/>
    </row>
    <row r="688" spans="2:41" x14ac:dyDescent="0.15">
      <c r="B688" s="567">
        <v>14</v>
      </c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6"/>
      <c r="X688" s="566"/>
      <c r="Y688" s="566"/>
      <c r="Z688" s="566"/>
      <c r="AA688" s="566"/>
      <c r="AB688" s="566"/>
      <c r="AC688" s="566"/>
      <c r="AD688" s="566"/>
      <c r="AE688" s="566"/>
      <c r="AF688" s="566"/>
      <c r="AG688" s="566"/>
      <c r="AH688" s="566"/>
      <c r="AI688" s="566"/>
      <c r="AJ688" s="566"/>
      <c r="AK688" s="566"/>
      <c r="AL688" s="566"/>
      <c r="AM688" s="566"/>
      <c r="AN688" s="566"/>
      <c r="AO688" s="566"/>
    </row>
    <row r="689" spans="2:41" x14ac:dyDescent="0.15">
      <c r="B689" s="567">
        <v>15</v>
      </c>
      <c r="C689" s="566"/>
      <c r="D689" s="566"/>
      <c r="E689" s="566"/>
      <c r="F689" s="566"/>
      <c r="G689" s="566"/>
      <c r="H689" s="566"/>
      <c r="I689" s="566"/>
      <c r="J689" s="566"/>
      <c r="K689" s="566"/>
      <c r="L689" s="566"/>
      <c r="M689" s="566"/>
      <c r="N689" s="566"/>
      <c r="O689" s="566"/>
      <c r="P689" s="566"/>
      <c r="Q689" s="566"/>
      <c r="R689" s="566"/>
      <c r="S689" s="566"/>
      <c r="T689" s="566"/>
      <c r="U689" s="566"/>
      <c r="V689" s="566"/>
      <c r="W689" s="566"/>
      <c r="X689" s="566"/>
      <c r="Y689" s="566"/>
      <c r="Z689" s="566"/>
      <c r="AA689" s="566"/>
      <c r="AB689" s="566"/>
      <c r="AC689" s="566"/>
      <c r="AD689" s="566"/>
      <c r="AE689" s="566"/>
      <c r="AF689" s="566"/>
      <c r="AG689" s="566"/>
      <c r="AH689" s="566"/>
      <c r="AI689" s="566"/>
      <c r="AJ689" s="566"/>
      <c r="AK689" s="566"/>
      <c r="AL689" s="566"/>
      <c r="AM689" s="566"/>
      <c r="AN689" s="566"/>
      <c r="AO689" s="566"/>
    </row>
    <row r="690" spans="2:41" x14ac:dyDescent="0.15">
      <c r="B690" s="567">
        <v>16</v>
      </c>
      <c r="C690" s="566"/>
      <c r="D690" s="566"/>
      <c r="E690" s="566"/>
      <c r="F690" s="566"/>
      <c r="G690" s="566"/>
      <c r="H690" s="566"/>
      <c r="I690" s="566"/>
      <c r="J690" s="566"/>
      <c r="K690" s="566"/>
      <c r="L690" s="566"/>
      <c r="M690" s="566"/>
      <c r="N690" s="566"/>
      <c r="O690" s="566"/>
      <c r="P690" s="566"/>
      <c r="Q690" s="566"/>
      <c r="R690" s="566"/>
      <c r="S690" s="566"/>
      <c r="T690" s="566"/>
      <c r="U690" s="566"/>
      <c r="V690" s="566"/>
      <c r="W690" s="566"/>
      <c r="X690" s="566"/>
      <c r="Y690" s="566"/>
      <c r="Z690" s="566"/>
      <c r="AA690" s="566"/>
      <c r="AB690" s="566"/>
      <c r="AC690" s="566"/>
      <c r="AD690" s="566"/>
      <c r="AE690" s="566"/>
      <c r="AF690" s="566"/>
      <c r="AG690" s="566"/>
      <c r="AH690" s="566"/>
      <c r="AI690" s="566"/>
      <c r="AJ690" s="566"/>
      <c r="AK690" s="566"/>
      <c r="AL690" s="566"/>
      <c r="AM690" s="566"/>
      <c r="AN690" s="566"/>
      <c r="AO690" s="566"/>
    </row>
    <row r="691" spans="2:41" x14ac:dyDescent="0.15">
      <c r="B691" s="567">
        <v>17</v>
      </c>
      <c r="C691" s="566"/>
      <c r="D691" s="566"/>
      <c r="E691" s="566"/>
      <c r="F691" s="566"/>
      <c r="G691" s="566"/>
      <c r="H691" s="566"/>
      <c r="I691" s="566"/>
      <c r="J691" s="566"/>
      <c r="K691" s="566"/>
      <c r="L691" s="566"/>
      <c r="M691" s="566"/>
      <c r="N691" s="566"/>
      <c r="O691" s="566"/>
      <c r="P691" s="566"/>
      <c r="Q691" s="566"/>
      <c r="R691" s="566"/>
      <c r="S691" s="566"/>
      <c r="T691" s="566"/>
      <c r="U691" s="566"/>
      <c r="V691" s="566"/>
      <c r="W691" s="566"/>
      <c r="X691" s="566"/>
      <c r="Y691" s="566"/>
      <c r="Z691" s="566"/>
      <c r="AA691" s="566"/>
      <c r="AB691" s="566"/>
      <c r="AC691" s="566"/>
      <c r="AD691" s="566"/>
      <c r="AE691" s="566"/>
      <c r="AF691" s="566"/>
      <c r="AG691" s="566"/>
      <c r="AH691" s="566"/>
      <c r="AI691" s="566"/>
      <c r="AJ691" s="566"/>
      <c r="AK691" s="566"/>
      <c r="AL691" s="566"/>
      <c r="AM691" s="566"/>
      <c r="AN691" s="566"/>
      <c r="AO691" s="566"/>
    </row>
    <row r="692" spans="2:41" x14ac:dyDescent="0.15">
      <c r="B692" s="567">
        <v>18</v>
      </c>
      <c r="C692" s="566"/>
      <c r="D692" s="566"/>
      <c r="E692" s="566"/>
      <c r="F692" s="566"/>
      <c r="G692" s="566"/>
      <c r="H692" s="566"/>
      <c r="I692" s="566"/>
      <c r="J692" s="566"/>
      <c r="K692" s="566"/>
      <c r="L692" s="566"/>
      <c r="M692" s="566"/>
      <c r="N692" s="566"/>
      <c r="O692" s="566"/>
      <c r="P692" s="566"/>
      <c r="Q692" s="566"/>
      <c r="R692" s="566"/>
      <c r="S692" s="566"/>
      <c r="T692" s="566"/>
      <c r="U692" s="566"/>
      <c r="V692" s="566"/>
      <c r="W692" s="566"/>
      <c r="X692" s="566"/>
      <c r="Y692" s="566"/>
      <c r="Z692" s="566"/>
      <c r="AA692" s="566"/>
      <c r="AB692" s="566"/>
      <c r="AC692" s="566"/>
      <c r="AD692" s="566"/>
      <c r="AE692" s="566"/>
      <c r="AF692" s="566"/>
      <c r="AG692" s="566"/>
      <c r="AH692" s="566"/>
      <c r="AI692" s="566"/>
      <c r="AJ692" s="566"/>
      <c r="AK692" s="566"/>
      <c r="AL692" s="566"/>
      <c r="AM692" s="566"/>
      <c r="AN692" s="566"/>
      <c r="AO692" s="566"/>
    </row>
    <row r="693" spans="2:41" x14ac:dyDescent="0.15">
      <c r="B693" s="567">
        <v>19</v>
      </c>
      <c r="C693" s="566"/>
      <c r="D693" s="566"/>
      <c r="E693" s="566"/>
      <c r="F693" s="566"/>
      <c r="G693" s="566"/>
      <c r="H693" s="566"/>
      <c r="I693" s="566"/>
      <c r="J693" s="566"/>
      <c r="K693" s="566"/>
      <c r="L693" s="566"/>
      <c r="M693" s="566"/>
      <c r="N693" s="566"/>
      <c r="O693" s="566"/>
      <c r="P693" s="566"/>
      <c r="Q693" s="566"/>
      <c r="R693" s="566"/>
      <c r="S693" s="566"/>
      <c r="T693" s="566"/>
      <c r="U693" s="566"/>
      <c r="V693" s="566"/>
      <c r="W693" s="566"/>
      <c r="X693" s="566"/>
      <c r="Y693" s="566"/>
      <c r="Z693" s="566"/>
      <c r="AA693" s="566"/>
      <c r="AB693" s="566"/>
      <c r="AC693" s="566"/>
      <c r="AD693" s="566"/>
      <c r="AE693" s="566"/>
      <c r="AF693" s="566"/>
      <c r="AG693" s="566"/>
      <c r="AH693" s="566"/>
      <c r="AI693" s="566"/>
      <c r="AJ693" s="566"/>
      <c r="AK693" s="566"/>
      <c r="AL693" s="566"/>
      <c r="AM693" s="566"/>
      <c r="AN693" s="566"/>
      <c r="AO693" s="566"/>
    </row>
    <row r="694" spans="2:41" x14ac:dyDescent="0.15">
      <c r="B694" s="567">
        <v>20</v>
      </c>
      <c r="C694" s="566"/>
      <c r="D694" s="566"/>
      <c r="E694" s="566"/>
      <c r="F694" s="566"/>
      <c r="G694" s="566"/>
      <c r="H694" s="566"/>
      <c r="I694" s="566"/>
      <c r="J694" s="566"/>
      <c r="K694" s="566"/>
      <c r="L694" s="566"/>
      <c r="M694" s="566"/>
      <c r="N694" s="566"/>
      <c r="O694" s="566"/>
      <c r="P694" s="566"/>
      <c r="Q694" s="566"/>
      <c r="R694" s="566"/>
      <c r="S694" s="566"/>
      <c r="T694" s="566"/>
      <c r="U694" s="566"/>
      <c r="V694" s="566"/>
      <c r="W694" s="566"/>
      <c r="X694" s="566"/>
      <c r="Y694" s="566"/>
      <c r="Z694" s="566"/>
      <c r="AA694" s="566"/>
      <c r="AB694" s="566"/>
      <c r="AC694" s="566"/>
      <c r="AD694" s="566"/>
      <c r="AE694" s="566"/>
      <c r="AF694" s="566"/>
      <c r="AG694" s="566"/>
      <c r="AH694" s="566"/>
      <c r="AI694" s="566"/>
      <c r="AJ694" s="566"/>
      <c r="AK694" s="566"/>
      <c r="AL694" s="566"/>
      <c r="AM694" s="566"/>
      <c r="AN694" s="566"/>
      <c r="AO694" s="566"/>
    </row>
    <row r="695" spans="2:41" x14ac:dyDescent="0.15">
      <c r="B695" s="567">
        <v>21</v>
      </c>
      <c r="C695" s="566"/>
      <c r="D695" s="566"/>
      <c r="E695" s="566"/>
      <c r="F695" s="566"/>
      <c r="G695" s="566"/>
      <c r="H695" s="566"/>
      <c r="I695" s="566"/>
      <c r="J695" s="566"/>
      <c r="K695" s="566"/>
      <c r="L695" s="566"/>
      <c r="M695" s="566"/>
      <c r="N695" s="566"/>
      <c r="O695" s="566"/>
      <c r="P695" s="566"/>
      <c r="Q695" s="566"/>
      <c r="R695" s="566"/>
      <c r="S695" s="566"/>
      <c r="T695" s="566"/>
      <c r="U695" s="566"/>
      <c r="V695" s="566"/>
      <c r="W695" s="566"/>
      <c r="X695" s="566"/>
      <c r="Y695" s="566"/>
      <c r="Z695" s="566"/>
      <c r="AA695" s="566"/>
      <c r="AB695" s="566"/>
      <c r="AC695" s="566"/>
      <c r="AD695" s="566"/>
      <c r="AE695" s="566"/>
      <c r="AF695" s="566"/>
      <c r="AG695" s="566"/>
      <c r="AH695" s="566"/>
      <c r="AI695" s="566"/>
      <c r="AJ695" s="566"/>
      <c r="AK695" s="566"/>
      <c r="AL695" s="566"/>
      <c r="AM695" s="566"/>
      <c r="AN695" s="566"/>
      <c r="AO695" s="566"/>
    </row>
    <row r="696" spans="2:41" x14ac:dyDescent="0.15">
      <c r="B696" s="567">
        <v>22</v>
      </c>
      <c r="C696" s="566"/>
      <c r="D696" s="566"/>
      <c r="E696" s="566"/>
      <c r="F696" s="566"/>
      <c r="G696" s="566"/>
      <c r="H696" s="566"/>
      <c r="I696" s="566"/>
      <c r="J696" s="566"/>
      <c r="K696" s="566"/>
      <c r="L696" s="566"/>
      <c r="M696" s="566"/>
      <c r="N696" s="566"/>
      <c r="O696" s="566"/>
      <c r="P696" s="566"/>
      <c r="Q696" s="566"/>
      <c r="R696" s="566"/>
      <c r="S696" s="566"/>
      <c r="T696" s="566"/>
      <c r="U696" s="566"/>
      <c r="V696" s="566"/>
      <c r="W696" s="566"/>
      <c r="X696" s="566"/>
      <c r="Y696" s="566"/>
      <c r="Z696" s="566"/>
      <c r="AA696" s="566"/>
      <c r="AB696" s="566"/>
      <c r="AC696" s="566"/>
      <c r="AD696" s="566"/>
      <c r="AE696" s="566"/>
      <c r="AF696" s="566"/>
      <c r="AG696" s="566"/>
      <c r="AH696" s="566"/>
      <c r="AI696" s="566"/>
      <c r="AJ696" s="566"/>
      <c r="AK696" s="566"/>
      <c r="AL696" s="566"/>
      <c r="AM696" s="566"/>
      <c r="AN696" s="566"/>
      <c r="AO696" s="566"/>
    </row>
    <row r="697" spans="2:41" x14ac:dyDescent="0.15">
      <c r="B697" s="567">
        <v>23</v>
      </c>
      <c r="C697" s="566"/>
      <c r="D697" s="566"/>
      <c r="E697" s="566"/>
      <c r="F697" s="566"/>
      <c r="G697" s="566"/>
      <c r="H697" s="566"/>
      <c r="I697" s="566"/>
      <c r="J697" s="566"/>
      <c r="K697" s="566"/>
      <c r="L697" s="566"/>
      <c r="M697" s="566"/>
      <c r="N697" s="566"/>
      <c r="O697" s="566"/>
      <c r="P697" s="566"/>
      <c r="Q697" s="566"/>
      <c r="R697" s="566"/>
      <c r="S697" s="566"/>
      <c r="T697" s="566"/>
      <c r="U697" s="566"/>
      <c r="V697" s="566"/>
      <c r="W697" s="566"/>
      <c r="X697" s="566"/>
      <c r="Y697" s="566"/>
      <c r="Z697" s="566"/>
      <c r="AA697" s="566"/>
      <c r="AB697" s="566"/>
      <c r="AC697" s="566"/>
      <c r="AD697" s="566"/>
      <c r="AE697" s="566"/>
      <c r="AF697" s="566"/>
      <c r="AG697" s="566"/>
      <c r="AH697" s="566"/>
      <c r="AI697" s="566"/>
      <c r="AJ697" s="566"/>
      <c r="AK697" s="566"/>
      <c r="AL697" s="566"/>
      <c r="AM697" s="566"/>
      <c r="AN697" s="566"/>
      <c r="AO697" s="566"/>
    </row>
    <row r="698" spans="2:41" x14ac:dyDescent="0.15">
      <c r="B698" s="567">
        <v>24</v>
      </c>
      <c r="C698" s="566"/>
      <c r="D698" s="566"/>
      <c r="E698" s="566"/>
      <c r="F698" s="566"/>
      <c r="G698" s="566"/>
      <c r="H698" s="566"/>
      <c r="I698" s="566"/>
      <c r="J698" s="566"/>
      <c r="K698" s="566"/>
      <c r="L698" s="566"/>
      <c r="M698" s="566"/>
      <c r="N698" s="566"/>
      <c r="O698" s="566"/>
      <c r="P698" s="566"/>
      <c r="Q698" s="566"/>
      <c r="R698" s="566"/>
      <c r="S698" s="566"/>
      <c r="T698" s="566"/>
      <c r="U698" s="566"/>
      <c r="V698" s="566"/>
      <c r="W698" s="566"/>
      <c r="X698" s="566"/>
      <c r="Y698" s="566"/>
      <c r="Z698" s="566"/>
      <c r="AA698" s="566"/>
      <c r="AB698" s="566"/>
      <c r="AC698" s="566"/>
      <c r="AD698" s="566"/>
      <c r="AE698" s="566"/>
      <c r="AF698" s="566"/>
      <c r="AG698" s="566"/>
      <c r="AH698" s="566"/>
      <c r="AI698" s="566"/>
      <c r="AJ698" s="566"/>
      <c r="AK698" s="566"/>
      <c r="AL698" s="566"/>
      <c r="AM698" s="566"/>
      <c r="AN698" s="566"/>
      <c r="AO698" s="566"/>
    </row>
    <row r="699" spans="2:41" x14ac:dyDescent="0.15">
      <c r="B699" s="567">
        <v>25</v>
      </c>
      <c r="C699" s="566"/>
      <c r="D699" s="566"/>
      <c r="E699" s="566"/>
      <c r="F699" s="566"/>
      <c r="G699" s="566"/>
      <c r="H699" s="566"/>
      <c r="I699" s="566"/>
      <c r="J699" s="566"/>
      <c r="K699" s="566"/>
      <c r="L699" s="566"/>
      <c r="M699" s="566"/>
      <c r="N699" s="566"/>
      <c r="O699" s="566"/>
      <c r="P699" s="566"/>
      <c r="Q699" s="566"/>
      <c r="R699" s="566"/>
      <c r="S699" s="566"/>
      <c r="T699" s="566"/>
      <c r="U699" s="566"/>
      <c r="V699" s="566"/>
      <c r="W699" s="566"/>
      <c r="X699" s="566"/>
      <c r="Y699" s="566"/>
      <c r="Z699" s="566"/>
      <c r="AA699" s="566"/>
      <c r="AB699" s="566"/>
      <c r="AC699" s="566"/>
      <c r="AD699" s="566"/>
      <c r="AE699" s="566"/>
      <c r="AF699" s="566"/>
      <c r="AG699" s="566"/>
      <c r="AH699" s="566"/>
      <c r="AI699" s="566"/>
      <c r="AJ699" s="566"/>
      <c r="AK699" s="566"/>
      <c r="AL699" s="566"/>
      <c r="AM699" s="566"/>
      <c r="AN699" s="566"/>
      <c r="AO699" s="566"/>
    </row>
    <row r="700" spans="2:41" x14ac:dyDescent="0.15">
      <c r="B700" s="567">
        <v>26</v>
      </c>
      <c r="C700" s="566"/>
      <c r="D700" s="566"/>
      <c r="E700" s="566"/>
      <c r="F700" s="566"/>
      <c r="G700" s="566"/>
      <c r="H700" s="566"/>
      <c r="I700" s="566"/>
      <c r="J700" s="566"/>
      <c r="K700" s="566"/>
      <c r="L700" s="566"/>
      <c r="M700" s="566"/>
      <c r="N700" s="566"/>
      <c r="O700" s="566"/>
      <c r="P700" s="566"/>
      <c r="Q700" s="566"/>
      <c r="R700" s="566"/>
      <c r="S700" s="566"/>
      <c r="T700" s="566"/>
      <c r="U700" s="566"/>
      <c r="V700" s="566"/>
      <c r="W700" s="566"/>
      <c r="X700" s="566"/>
      <c r="Y700" s="566"/>
      <c r="Z700" s="566"/>
      <c r="AA700" s="566"/>
      <c r="AB700" s="566"/>
      <c r="AC700" s="566"/>
      <c r="AD700" s="566"/>
      <c r="AE700" s="566"/>
      <c r="AF700" s="566"/>
      <c r="AG700" s="566"/>
      <c r="AH700" s="566"/>
      <c r="AI700" s="566"/>
      <c r="AJ700" s="566"/>
      <c r="AK700" s="566"/>
      <c r="AL700" s="566"/>
      <c r="AM700" s="566"/>
      <c r="AN700" s="566"/>
      <c r="AO700" s="566"/>
    </row>
    <row r="701" spans="2:41" x14ac:dyDescent="0.15">
      <c r="B701" s="567">
        <v>27</v>
      </c>
      <c r="C701" s="566"/>
      <c r="D701" s="566"/>
      <c r="E701" s="566"/>
      <c r="F701" s="566"/>
      <c r="G701" s="566"/>
      <c r="H701" s="566"/>
      <c r="I701" s="566"/>
      <c r="J701" s="566"/>
      <c r="K701" s="566"/>
      <c r="L701" s="566"/>
      <c r="M701" s="566"/>
      <c r="N701" s="566"/>
      <c r="O701" s="566"/>
      <c r="P701" s="566"/>
      <c r="Q701" s="566"/>
      <c r="R701" s="566"/>
      <c r="S701" s="566"/>
      <c r="T701" s="566"/>
      <c r="U701" s="566"/>
      <c r="V701" s="566"/>
      <c r="W701" s="566"/>
      <c r="X701" s="566"/>
      <c r="Y701" s="566"/>
      <c r="Z701" s="566"/>
      <c r="AA701" s="566"/>
      <c r="AB701" s="566"/>
      <c r="AC701" s="566"/>
      <c r="AD701" s="566"/>
      <c r="AE701" s="566"/>
      <c r="AF701" s="566"/>
      <c r="AG701" s="566"/>
      <c r="AH701" s="566"/>
      <c r="AI701" s="566"/>
      <c r="AJ701" s="566"/>
      <c r="AK701" s="566"/>
      <c r="AL701" s="566"/>
      <c r="AM701" s="566"/>
      <c r="AN701" s="566"/>
      <c r="AO701" s="566"/>
    </row>
    <row r="702" spans="2:41" x14ac:dyDescent="0.15">
      <c r="B702" s="567">
        <v>28</v>
      </c>
      <c r="C702" s="566"/>
      <c r="D702" s="566"/>
      <c r="E702" s="566"/>
      <c r="F702" s="566"/>
      <c r="G702" s="566"/>
      <c r="H702" s="566"/>
      <c r="I702" s="566"/>
      <c r="J702" s="566"/>
      <c r="K702" s="566"/>
      <c r="L702" s="566"/>
      <c r="M702" s="566"/>
      <c r="N702" s="566"/>
      <c r="O702" s="566"/>
      <c r="P702" s="566"/>
      <c r="Q702" s="566"/>
      <c r="R702" s="566"/>
      <c r="S702" s="566"/>
      <c r="T702" s="566"/>
      <c r="U702" s="566"/>
      <c r="V702" s="566"/>
      <c r="W702" s="566"/>
      <c r="X702" s="566"/>
      <c r="Y702" s="566"/>
      <c r="Z702" s="566"/>
      <c r="AA702" s="566"/>
      <c r="AB702" s="566"/>
      <c r="AC702" s="566"/>
      <c r="AD702" s="566"/>
      <c r="AE702" s="566"/>
      <c r="AF702" s="566"/>
      <c r="AG702" s="566"/>
      <c r="AH702" s="566"/>
      <c r="AI702" s="566"/>
      <c r="AJ702" s="566"/>
      <c r="AK702" s="566"/>
      <c r="AL702" s="566"/>
      <c r="AM702" s="566"/>
      <c r="AN702" s="566"/>
      <c r="AO702" s="566"/>
    </row>
    <row r="703" spans="2:41" x14ac:dyDescent="0.15">
      <c r="B703" s="567">
        <v>29</v>
      </c>
      <c r="C703" s="566"/>
      <c r="D703" s="566"/>
      <c r="E703" s="566"/>
      <c r="F703" s="566"/>
      <c r="G703" s="566"/>
      <c r="H703" s="566"/>
      <c r="I703" s="566"/>
      <c r="J703" s="566"/>
      <c r="K703" s="566"/>
      <c r="L703" s="566"/>
      <c r="M703" s="566"/>
      <c r="N703" s="566"/>
      <c r="O703" s="566"/>
      <c r="P703" s="566"/>
      <c r="Q703" s="566"/>
      <c r="R703" s="566"/>
      <c r="S703" s="566"/>
      <c r="T703" s="566"/>
      <c r="U703" s="566"/>
      <c r="V703" s="566"/>
      <c r="W703" s="566"/>
      <c r="X703" s="566"/>
      <c r="Y703" s="566"/>
      <c r="Z703" s="566"/>
      <c r="AA703" s="566"/>
      <c r="AB703" s="566"/>
      <c r="AC703" s="566"/>
      <c r="AD703" s="566"/>
      <c r="AE703" s="566"/>
      <c r="AF703" s="566"/>
      <c r="AG703" s="566"/>
      <c r="AH703" s="566"/>
      <c r="AI703" s="566"/>
      <c r="AJ703" s="566"/>
      <c r="AK703" s="566"/>
      <c r="AL703" s="566"/>
      <c r="AM703" s="566"/>
      <c r="AN703" s="566"/>
      <c r="AO703" s="566"/>
    </row>
    <row r="704" spans="2:41" x14ac:dyDescent="0.15">
      <c r="B704" s="567">
        <v>30</v>
      </c>
      <c r="C704" s="566"/>
      <c r="D704" s="566"/>
      <c r="E704" s="566"/>
      <c r="F704" s="566"/>
      <c r="G704" s="566"/>
      <c r="H704" s="566"/>
      <c r="I704" s="566"/>
      <c r="J704" s="566"/>
      <c r="K704" s="566"/>
      <c r="L704" s="566"/>
      <c r="M704" s="566"/>
      <c r="N704" s="566"/>
      <c r="O704" s="566"/>
      <c r="P704" s="566"/>
      <c r="Q704" s="566"/>
      <c r="R704" s="566"/>
      <c r="S704" s="566"/>
      <c r="T704" s="566"/>
      <c r="U704" s="566"/>
      <c r="V704" s="566"/>
      <c r="W704" s="566"/>
      <c r="X704" s="566"/>
      <c r="Y704" s="566"/>
      <c r="Z704" s="566"/>
      <c r="AA704" s="566"/>
      <c r="AB704" s="566"/>
      <c r="AC704" s="566"/>
      <c r="AD704" s="566"/>
      <c r="AE704" s="566"/>
      <c r="AF704" s="566"/>
      <c r="AG704" s="566"/>
      <c r="AH704" s="566"/>
      <c r="AI704" s="566"/>
      <c r="AJ704" s="566"/>
      <c r="AK704" s="566"/>
      <c r="AL704" s="566"/>
      <c r="AM704" s="566"/>
      <c r="AN704" s="566"/>
      <c r="AO704" s="566"/>
    </row>
    <row r="705" spans="2:41" x14ac:dyDescent="0.15">
      <c r="B705" s="567">
        <v>31</v>
      </c>
      <c r="C705" s="566"/>
      <c r="D705" s="566"/>
      <c r="E705" s="566"/>
      <c r="F705" s="566"/>
      <c r="G705" s="566"/>
      <c r="H705" s="566"/>
      <c r="I705" s="566"/>
      <c r="J705" s="566"/>
      <c r="K705" s="566"/>
      <c r="L705" s="566"/>
      <c r="M705" s="566"/>
      <c r="N705" s="566"/>
      <c r="O705" s="566"/>
      <c r="P705" s="566"/>
      <c r="Q705" s="566"/>
      <c r="R705" s="566"/>
      <c r="S705" s="566"/>
      <c r="T705" s="566"/>
      <c r="U705" s="566"/>
      <c r="V705" s="566"/>
      <c r="W705" s="566"/>
      <c r="X705" s="566"/>
      <c r="Y705" s="566"/>
      <c r="Z705" s="566"/>
      <c r="AA705" s="566"/>
      <c r="AB705" s="566"/>
      <c r="AC705" s="566"/>
      <c r="AD705" s="566"/>
      <c r="AE705" s="566"/>
      <c r="AF705" s="566"/>
      <c r="AG705" s="566"/>
      <c r="AH705" s="566"/>
      <c r="AI705" s="566"/>
      <c r="AJ705" s="566"/>
      <c r="AK705" s="566"/>
      <c r="AL705" s="566"/>
      <c r="AM705" s="566"/>
      <c r="AN705" s="566"/>
      <c r="AO705" s="566"/>
    </row>
    <row r="706" spans="2:41" x14ac:dyDescent="0.15">
      <c r="B706" s="567">
        <v>32</v>
      </c>
      <c r="C706" s="566"/>
      <c r="D706" s="566"/>
      <c r="E706" s="566"/>
      <c r="F706" s="566"/>
      <c r="G706" s="566"/>
      <c r="H706" s="566"/>
      <c r="I706" s="566"/>
      <c r="J706" s="566"/>
      <c r="K706" s="566"/>
      <c r="L706" s="566"/>
      <c r="M706" s="566"/>
      <c r="N706" s="566"/>
      <c r="O706" s="566"/>
      <c r="P706" s="566"/>
      <c r="Q706" s="566"/>
      <c r="R706" s="566"/>
      <c r="S706" s="566"/>
      <c r="T706" s="566"/>
      <c r="U706" s="566"/>
      <c r="V706" s="566"/>
      <c r="W706" s="566"/>
      <c r="X706" s="566"/>
      <c r="Y706" s="566"/>
      <c r="Z706" s="566"/>
      <c r="AA706" s="566"/>
      <c r="AB706" s="566"/>
      <c r="AC706" s="566"/>
      <c r="AD706" s="566"/>
      <c r="AE706" s="566"/>
      <c r="AF706" s="566"/>
      <c r="AG706" s="566"/>
      <c r="AH706" s="566"/>
      <c r="AI706" s="566"/>
      <c r="AJ706" s="566"/>
      <c r="AK706" s="566"/>
      <c r="AL706" s="566"/>
      <c r="AM706" s="566"/>
      <c r="AN706" s="566"/>
      <c r="AO706" s="566"/>
    </row>
    <row r="707" spans="2:41" x14ac:dyDescent="0.15">
      <c r="B707" s="567">
        <v>33</v>
      </c>
      <c r="C707" s="566"/>
      <c r="D707" s="566"/>
      <c r="E707" s="566"/>
      <c r="F707" s="566"/>
      <c r="G707" s="566"/>
      <c r="H707" s="566"/>
      <c r="I707" s="566"/>
      <c r="J707" s="566"/>
      <c r="K707" s="566"/>
      <c r="L707" s="566"/>
      <c r="M707" s="566"/>
      <c r="N707" s="566"/>
      <c r="O707" s="566"/>
      <c r="P707" s="566"/>
      <c r="Q707" s="566"/>
      <c r="R707" s="566"/>
      <c r="S707" s="566"/>
      <c r="T707" s="566"/>
      <c r="U707" s="566"/>
      <c r="V707" s="566"/>
      <c r="W707" s="566"/>
      <c r="X707" s="566"/>
      <c r="Y707" s="566"/>
      <c r="Z707" s="566"/>
      <c r="AA707" s="566"/>
      <c r="AB707" s="566"/>
      <c r="AC707" s="566"/>
      <c r="AD707" s="566"/>
      <c r="AE707" s="566"/>
      <c r="AF707" s="566"/>
      <c r="AG707" s="566"/>
      <c r="AH707" s="566"/>
      <c r="AI707" s="566"/>
      <c r="AJ707" s="566"/>
      <c r="AK707" s="566"/>
      <c r="AL707" s="566"/>
      <c r="AM707" s="566"/>
      <c r="AN707" s="566"/>
      <c r="AO707" s="566"/>
    </row>
    <row r="708" spans="2:41" x14ac:dyDescent="0.15">
      <c r="B708" s="567">
        <v>34</v>
      </c>
      <c r="C708" s="566"/>
      <c r="D708" s="566"/>
      <c r="E708" s="566"/>
      <c r="F708" s="566"/>
      <c r="G708" s="566"/>
      <c r="H708" s="566"/>
      <c r="I708" s="566"/>
      <c r="J708" s="566"/>
      <c r="K708" s="566"/>
      <c r="L708" s="566"/>
      <c r="M708" s="566"/>
      <c r="N708" s="566"/>
      <c r="O708" s="566"/>
      <c r="P708" s="566"/>
      <c r="Q708" s="566"/>
      <c r="R708" s="566"/>
      <c r="S708" s="566"/>
      <c r="T708" s="566"/>
      <c r="U708" s="566"/>
      <c r="V708" s="566"/>
      <c r="W708" s="566"/>
      <c r="X708" s="566"/>
      <c r="Y708" s="566"/>
      <c r="Z708" s="566"/>
      <c r="AA708" s="566"/>
      <c r="AB708" s="566"/>
      <c r="AC708" s="566"/>
      <c r="AD708" s="566"/>
      <c r="AE708" s="566"/>
      <c r="AF708" s="566"/>
      <c r="AG708" s="566"/>
      <c r="AH708" s="566"/>
      <c r="AI708" s="566"/>
      <c r="AJ708" s="566"/>
      <c r="AK708" s="566"/>
      <c r="AL708" s="566"/>
      <c r="AM708" s="566"/>
      <c r="AN708" s="566"/>
      <c r="AO708" s="566"/>
    </row>
    <row r="709" spans="2:41" x14ac:dyDescent="0.15">
      <c r="B709" s="567">
        <v>35</v>
      </c>
      <c r="C709" s="566"/>
      <c r="D709" s="566"/>
      <c r="E709" s="566"/>
      <c r="F709" s="566"/>
      <c r="G709" s="566"/>
      <c r="H709" s="566"/>
      <c r="I709" s="566"/>
      <c r="J709" s="566"/>
      <c r="K709" s="566"/>
      <c r="L709" s="566"/>
      <c r="M709" s="566"/>
      <c r="N709" s="566"/>
      <c r="O709" s="566"/>
      <c r="P709" s="566"/>
      <c r="Q709" s="566"/>
      <c r="R709" s="566"/>
      <c r="S709" s="566"/>
      <c r="T709" s="566"/>
      <c r="U709" s="566"/>
      <c r="V709" s="566"/>
      <c r="W709" s="566"/>
      <c r="X709" s="566"/>
      <c r="Y709" s="566"/>
      <c r="Z709" s="566"/>
      <c r="AA709" s="566"/>
      <c r="AB709" s="566"/>
      <c r="AC709" s="566"/>
      <c r="AD709" s="566"/>
      <c r="AE709" s="566"/>
      <c r="AF709" s="566"/>
      <c r="AG709" s="566"/>
      <c r="AH709" s="566"/>
      <c r="AI709" s="566"/>
      <c r="AJ709" s="566"/>
      <c r="AK709" s="566"/>
      <c r="AL709" s="566"/>
      <c r="AM709" s="566"/>
      <c r="AN709" s="566"/>
      <c r="AO709" s="566"/>
    </row>
    <row r="710" spans="2:41" x14ac:dyDescent="0.15">
      <c r="B710" s="567">
        <v>36</v>
      </c>
      <c r="C710" s="566"/>
      <c r="D710" s="566"/>
      <c r="E710" s="566"/>
      <c r="F710" s="566"/>
      <c r="G710" s="566"/>
      <c r="H710" s="566"/>
      <c r="I710" s="566"/>
      <c r="J710" s="566"/>
      <c r="K710" s="566"/>
      <c r="L710" s="566"/>
      <c r="M710" s="566"/>
      <c r="N710" s="566"/>
      <c r="O710" s="566"/>
      <c r="P710" s="566"/>
      <c r="Q710" s="566"/>
      <c r="R710" s="566"/>
      <c r="S710" s="566"/>
      <c r="T710" s="566"/>
      <c r="U710" s="566"/>
      <c r="V710" s="566"/>
      <c r="W710" s="566"/>
      <c r="X710" s="566"/>
      <c r="Y710" s="566"/>
      <c r="Z710" s="566"/>
      <c r="AA710" s="566"/>
      <c r="AB710" s="566"/>
      <c r="AC710" s="566"/>
      <c r="AD710" s="566"/>
      <c r="AE710" s="566"/>
      <c r="AF710" s="566"/>
      <c r="AG710" s="566"/>
      <c r="AH710" s="566"/>
      <c r="AI710" s="566"/>
      <c r="AJ710" s="566"/>
      <c r="AK710" s="566"/>
      <c r="AL710" s="566"/>
      <c r="AM710" s="566"/>
      <c r="AN710" s="566"/>
      <c r="AO710" s="566"/>
    </row>
    <row r="711" spans="2:41" x14ac:dyDescent="0.15">
      <c r="B711" s="567">
        <v>37</v>
      </c>
      <c r="C711" s="566"/>
      <c r="D711" s="566"/>
      <c r="E711" s="566"/>
      <c r="F711" s="566"/>
      <c r="G711" s="566"/>
      <c r="H711" s="566"/>
      <c r="I711" s="566"/>
      <c r="J711" s="566"/>
      <c r="K711" s="566"/>
      <c r="L711" s="566"/>
      <c r="M711" s="566"/>
      <c r="N711" s="566"/>
      <c r="O711" s="566"/>
      <c r="P711" s="566"/>
      <c r="Q711" s="566"/>
      <c r="R711" s="566"/>
      <c r="S711" s="566"/>
      <c r="T711" s="566"/>
      <c r="U711" s="566"/>
      <c r="V711" s="566"/>
      <c r="W711" s="566"/>
      <c r="X711" s="566"/>
      <c r="Y711" s="566"/>
      <c r="Z711" s="566"/>
      <c r="AA711" s="566"/>
      <c r="AB711" s="566"/>
      <c r="AC711" s="566"/>
      <c r="AD711" s="566"/>
      <c r="AE711" s="566"/>
      <c r="AF711" s="566"/>
      <c r="AG711" s="566"/>
      <c r="AH711" s="566"/>
      <c r="AI711" s="566"/>
      <c r="AJ711" s="566"/>
      <c r="AK711" s="566"/>
      <c r="AL711" s="566"/>
      <c r="AM711" s="566"/>
      <c r="AN711" s="566"/>
      <c r="AO711" s="566"/>
    </row>
    <row r="712" spans="2:41" x14ac:dyDescent="0.15">
      <c r="B712" s="567">
        <v>38</v>
      </c>
      <c r="C712" s="566"/>
      <c r="D712" s="566"/>
      <c r="E712" s="566"/>
      <c r="F712" s="566"/>
      <c r="G712" s="566"/>
      <c r="H712" s="566"/>
      <c r="I712" s="566"/>
      <c r="J712" s="566"/>
      <c r="K712" s="566"/>
      <c r="L712" s="566"/>
      <c r="M712" s="566"/>
      <c r="N712" s="566"/>
      <c r="O712" s="566"/>
      <c r="P712" s="566"/>
      <c r="Q712" s="566"/>
      <c r="R712" s="566"/>
      <c r="S712" s="566"/>
      <c r="T712" s="566"/>
      <c r="U712" s="566"/>
      <c r="V712" s="566"/>
      <c r="W712" s="566"/>
      <c r="X712" s="566"/>
      <c r="Y712" s="566"/>
      <c r="Z712" s="566"/>
      <c r="AA712" s="566"/>
      <c r="AB712" s="566"/>
      <c r="AC712" s="566"/>
      <c r="AD712" s="566"/>
      <c r="AE712" s="566"/>
      <c r="AF712" s="566"/>
      <c r="AG712" s="566"/>
      <c r="AH712" s="566"/>
      <c r="AI712" s="566"/>
      <c r="AJ712" s="566"/>
      <c r="AK712" s="566"/>
      <c r="AL712" s="566"/>
      <c r="AM712" s="566"/>
      <c r="AN712" s="566"/>
      <c r="AO712" s="566"/>
    </row>
    <row r="713" spans="2:41" x14ac:dyDescent="0.15">
      <c r="B713" s="567">
        <v>39</v>
      </c>
      <c r="C713" s="566"/>
      <c r="D713" s="566"/>
      <c r="E713" s="566"/>
      <c r="F713" s="566"/>
      <c r="G713" s="566"/>
      <c r="H713" s="566"/>
      <c r="I713" s="566"/>
      <c r="J713" s="566"/>
      <c r="K713" s="566"/>
      <c r="L713" s="566"/>
      <c r="M713" s="566"/>
      <c r="N713" s="566"/>
      <c r="O713" s="566"/>
      <c r="P713" s="566"/>
      <c r="Q713" s="566"/>
      <c r="R713" s="566"/>
      <c r="S713" s="566"/>
      <c r="T713" s="566"/>
      <c r="U713" s="566"/>
      <c r="V713" s="566"/>
      <c r="W713" s="566"/>
      <c r="X713" s="566"/>
      <c r="Y713" s="566"/>
      <c r="Z713" s="566"/>
      <c r="AA713" s="566"/>
      <c r="AB713" s="566"/>
      <c r="AC713" s="566"/>
      <c r="AD713" s="566"/>
      <c r="AE713" s="566"/>
      <c r="AF713" s="566"/>
      <c r="AG713" s="566"/>
      <c r="AH713" s="566"/>
      <c r="AI713" s="566"/>
      <c r="AJ713" s="566"/>
      <c r="AK713" s="566"/>
      <c r="AL713" s="566"/>
      <c r="AM713" s="566"/>
      <c r="AN713" s="566"/>
      <c r="AO713" s="566"/>
    </row>
    <row r="714" spans="2:41" x14ac:dyDescent="0.15">
      <c r="B714" s="568">
        <v>40</v>
      </c>
      <c r="C714" s="566"/>
      <c r="D714" s="566"/>
      <c r="E714" s="566"/>
      <c r="F714" s="566"/>
      <c r="G714" s="566"/>
      <c r="H714" s="566"/>
      <c r="I714" s="566"/>
      <c r="J714" s="566"/>
      <c r="K714" s="566"/>
      <c r="L714" s="566"/>
      <c r="M714" s="566"/>
      <c r="N714" s="566"/>
      <c r="O714" s="566"/>
      <c r="P714" s="566"/>
      <c r="Q714" s="566"/>
      <c r="R714" s="566"/>
      <c r="S714" s="566"/>
      <c r="T714" s="566"/>
      <c r="U714" s="566"/>
      <c r="V714" s="566"/>
      <c r="W714" s="566"/>
      <c r="X714" s="566"/>
      <c r="Y714" s="566"/>
      <c r="Z714" s="566"/>
      <c r="AA714" s="566"/>
      <c r="AB714" s="566"/>
      <c r="AC714" s="566"/>
      <c r="AD714" s="566"/>
      <c r="AE714" s="566"/>
      <c r="AF714" s="566"/>
      <c r="AG714" s="566"/>
      <c r="AH714" s="566"/>
      <c r="AI714" s="566"/>
      <c r="AJ714" s="566"/>
      <c r="AK714" s="566"/>
      <c r="AL714" s="566"/>
      <c r="AM714" s="566"/>
      <c r="AN714" s="566"/>
      <c r="AO714" s="566"/>
    </row>
    <row r="723" spans="2:41" s="563" customFormat="1" ht="14" x14ac:dyDescent="0.15">
      <c r="B723" s="560" t="str" cm="1">
        <f t="array" ref="B723:AO723">TRANSPOSE('Syötä kaupungit KIRJASTOLINKIT!'!$J$1:$J$40)</f>
        <v>MAA 9</v>
      </c>
      <c r="C723" s="564">
        <v>0</v>
      </c>
      <c r="D723" s="564">
        <v>0</v>
      </c>
      <c r="E723" s="564">
        <v>0</v>
      </c>
      <c r="F723" s="564">
        <v>0</v>
      </c>
      <c r="G723" s="564">
        <v>0</v>
      </c>
      <c r="H723" s="564">
        <v>0</v>
      </c>
      <c r="I723" s="564">
        <v>0</v>
      </c>
      <c r="J723" s="564">
        <v>0</v>
      </c>
      <c r="K723" s="564">
        <v>0</v>
      </c>
      <c r="L723" s="564">
        <v>0</v>
      </c>
      <c r="M723" s="564">
        <v>0</v>
      </c>
      <c r="N723" s="564">
        <v>0</v>
      </c>
      <c r="O723" s="564">
        <v>0</v>
      </c>
      <c r="P723" s="564">
        <v>0</v>
      </c>
      <c r="Q723" s="564">
        <v>0</v>
      </c>
      <c r="R723" s="564">
        <v>0</v>
      </c>
      <c r="S723" s="564">
        <v>0</v>
      </c>
      <c r="T723" s="564">
        <v>0</v>
      </c>
      <c r="U723" s="564">
        <v>0</v>
      </c>
      <c r="V723" s="564">
        <v>0</v>
      </c>
      <c r="W723" s="564">
        <v>0</v>
      </c>
      <c r="X723" s="564">
        <v>0</v>
      </c>
      <c r="Y723" s="564">
        <v>0</v>
      </c>
      <c r="Z723" s="564">
        <v>0</v>
      </c>
      <c r="AA723" s="564">
        <v>0</v>
      </c>
      <c r="AB723" s="564">
        <v>0</v>
      </c>
      <c r="AC723" s="564">
        <v>0</v>
      </c>
      <c r="AD723" s="564">
        <v>0</v>
      </c>
      <c r="AE723" s="564">
        <v>0</v>
      </c>
      <c r="AF723" s="564">
        <v>0</v>
      </c>
      <c r="AG723" s="564">
        <v>0</v>
      </c>
      <c r="AH723" s="564">
        <v>0</v>
      </c>
      <c r="AI723" s="564">
        <v>0</v>
      </c>
      <c r="AJ723" s="564">
        <v>0</v>
      </c>
      <c r="AK723" s="564">
        <v>0</v>
      </c>
      <c r="AL723" s="564">
        <v>0</v>
      </c>
      <c r="AM723" s="564">
        <v>0</v>
      </c>
      <c r="AN723" s="564">
        <v>0</v>
      </c>
      <c r="AO723" s="564">
        <v>0</v>
      </c>
    </row>
    <row r="724" spans="2:41" x14ac:dyDescent="0.15">
      <c r="B724" s="565">
        <v>-40</v>
      </c>
      <c r="C724" s="566"/>
      <c r="D724" s="566"/>
      <c r="E724" s="566"/>
      <c r="F724" s="566"/>
      <c r="G724" s="566"/>
      <c r="H724" s="566"/>
      <c r="I724" s="566"/>
      <c r="J724" s="566"/>
      <c r="K724" s="566"/>
      <c r="L724" s="566"/>
      <c r="M724" s="566"/>
      <c r="N724" s="566"/>
      <c r="O724" s="566"/>
      <c r="P724" s="566"/>
      <c r="Q724" s="566"/>
      <c r="R724" s="566"/>
      <c r="S724" s="566"/>
      <c r="T724" s="566"/>
      <c r="U724" s="566"/>
      <c r="V724" s="566"/>
      <c r="W724" s="566"/>
      <c r="X724" s="566"/>
      <c r="Y724" s="566"/>
      <c r="Z724" s="566"/>
      <c r="AA724" s="566"/>
      <c r="AB724" s="566"/>
      <c r="AC724" s="566"/>
      <c r="AD724" s="566"/>
      <c r="AE724" s="566"/>
      <c r="AF724" s="566"/>
      <c r="AG724" s="566"/>
      <c r="AH724" s="566"/>
      <c r="AI724" s="566"/>
      <c r="AJ724" s="566"/>
      <c r="AK724" s="566"/>
      <c r="AL724" s="566"/>
      <c r="AM724" s="566"/>
      <c r="AN724" s="566"/>
      <c r="AO724" s="566"/>
    </row>
    <row r="725" spans="2:41" x14ac:dyDescent="0.15">
      <c r="B725" s="567">
        <v>-39</v>
      </c>
      <c r="C725" s="566"/>
      <c r="D725" s="566"/>
      <c r="E725" s="566"/>
      <c r="F725" s="566"/>
      <c r="G725" s="566"/>
      <c r="H725" s="566"/>
      <c r="I725" s="566"/>
      <c r="J725" s="566"/>
      <c r="K725" s="566"/>
      <c r="L725" s="566"/>
      <c r="M725" s="566"/>
      <c r="N725" s="566"/>
      <c r="O725" s="566"/>
      <c r="P725" s="566"/>
      <c r="Q725" s="566"/>
      <c r="R725" s="566"/>
      <c r="S725" s="566"/>
      <c r="T725" s="566"/>
      <c r="U725" s="566"/>
      <c r="V725" s="566"/>
      <c r="W725" s="566"/>
      <c r="X725" s="566"/>
      <c r="Y725" s="566"/>
      <c r="Z725" s="566"/>
      <c r="AA725" s="566"/>
      <c r="AB725" s="566"/>
      <c r="AC725" s="566"/>
      <c r="AD725" s="566"/>
      <c r="AE725" s="566"/>
      <c r="AF725" s="566"/>
      <c r="AG725" s="566"/>
      <c r="AH725" s="566"/>
      <c r="AI725" s="566"/>
      <c r="AJ725" s="566"/>
      <c r="AK725" s="566"/>
      <c r="AL725" s="566"/>
      <c r="AM725" s="566"/>
      <c r="AN725" s="566"/>
      <c r="AO725" s="566"/>
    </row>
    <row r="726" spans="2:41" x14ac:dyDescent="0.15">
      <c r="B726" s="567">
        <v>-38</v>
      </c>
      <c r="C726" s="566"/>
      <c r="D726" s="566"/>
      <c r="E726" s="566"/>
      <c r="F726" s="566"/>
      <c r="G726" s="566"/>
      <c r="H726" s="566"/>
      <c r="I726" s="566"/>
      <c r="J726" s="566"/>
      <c r="K726" s="566"/>
      <c r="L726" s="566"/>
      <c r="M726" s="566"/>
      <c r="N726" s="566"/>
      <c r="O726" s="566"/>
      <c r="P726" s="566"/>
      <c r="Q726" s="566"/>
      <c r="R726" s="566"/>
      <c r="S726" s="566"/>
      <c r="T726" s="566"/>
      <c r="U726" s="566"/>
      <c r="V726" s="566"/>
      <c r="W726" s="566"/>
      <c r="X726" s="566"/>
      <c r="Y726" s="566"/>
      <c r="Z726" s="566"/>
      <c r="AA726" s="566"/>
      <c r="AB726" s="566"/>
      <c r="AC726" s="566"/>
      <c r="AD726" s="566"/>
      <c r="AE726" s="566"/>
      <c r="AF726" s="566"/>
      <c r="AG726" s="566"/>
      <c r="AH726" s="566"/>
      <c r="AI726" s="566"/>
      <c r="AJ726" s="566"/>
      <c r="AK726" s="566"/>
      <c r="AL726" s="566"/>
      <c r="AM726" s="566"/>
      <c r="AN726" s="566"/>
      <c r="AO726" s="566"/>
    </row>
    <row r="727" spans="2:41" x14ac:dyDescent="0.15">
      <c r="B727" s="567">
        <v>-37</v>
      </c>
      <c r="C727" s="566"/>
      <c r="D727" s="566"/>
      <c r="E727" s="566"/>
      <c r="F727" s="566"/>
      <c r="G727" s="566"/>
      <c r="H727" s="566"/>
      <c r="I727" s="566"/>
      <c r="J727" s="566"/>
      <c r="K727" s="566"/>
      <c r="L727" s="566"/>
      <c r="M727" s="566"/>
      <c r="N727" s="566"/>
      <c r="O727" s="566"/>
      <c r="P727" s="566"/>
      <c r="Q727" s="566"/>
      <c r="R727" s="566"/>
      <c r="S727" s="566"/>
      <c r="T727" s="566"/>
      <c r="U727" s="566"/>
      <c r="V727" s="566"/>
      <c r="W727" s="566"/>
      <c r="X727" s="566"/>
      <c r="Y727" s="566"/>
      <c r="Z727" s="566"/>
      <c r="AA727" s="566"/>
      <c r="AB727" s="566"/>
      <c r="AC727" s="566"/>
      <c r="AD727" s="566"/>
      <c r="AE727" s="566"/>
      <c r="AF727" s="566"/>
      <c r="AG727" s="566"/>
      <c r="AH727" s="566"/>
      <c r="AI727" s="566"/>
      <c r="AJ727" s="566"/>
      <c r="AK727" s="566"/>
      <c r="AL727" s="566"/>
      <c r="AM727" s="566"/>
      <c r="AN727" s="566"/>
      <c r="AO727" s="566"/>
    </row>
    <row r="728" spans="2:41" x14ac:dyDescent="0.15">
      <c r="B728" s="567">
        <v>-36</v>
      </c>
      <c r="C728" s="566"/>
      <c r="D728" s="566"/>
      <c r="E728" s="566"/>
      <c r="F728" s="566"/>
      <c r="G728" s="566"/>
      <c r="H728" s="566"/>
      <c r="I728" s="566"/>
      <c r="J728" s="566"/>
      <c r="K728" s="566"/>
      <c r="L728" s="566"/>
      <c r="M728" s="566"/>
      <c r="N728" s="566"/>
      <c r="O728" s="566"/>
      <c r="P728" s="566"/>
      <c r="Q728" s="566"/>
      <c r="R728" s="566"/>
      <c r="S728" s="566"/>
      <c r="T728" s="566"/>
      <c r="U728" s="566"/>
      <c r="V728" s="566"/>
      <c r="W728" s="566"/>
      <c r="X728" s="566"/>
      <c r="Y728" s="566"/>
      <c r="Z728" s="566"/>
      <c r="AA728" s="566"/>
      <c r="AB728" s="566"/>
      <c r="AC728" s="566"/>
      <c r="AD728" s="566"/>
      <c r="AE728" s="566"/>
      <c r="AF728" s="566"/>
      <c r="AG728" s="566"/>
      <c r="AH728" s="566"/>
      <c r="AI728" s="566"/>
      <c r="AJ728" s="566"/>
      <c r="AK728" s="566"/>
      <c r="AL728" s="566"/>
      <c r="AM728" s="566"/>
      <c r="AN728" s="566"/>
      <c r="AO728" s="566"/>
    </row>
    <row r="729" spans="2:41" x14ac:dyDescent="0.15">
      <c r="B729" s="567">
        <v>-35</v>
      </c>
      <c r="C729" s="566"/>
      <c r="D729" s="566"/>
      <c r="E729" s="566"/>
      <c r="F729" s="566"/>
      <c r="G729" s="566"/>
      <c r="H729" s="566"/>
      <c r="I729" s="566"/>
      <c r="J729" s="566"/>
      <c r="K729" s="566"/>
      <c r="L729" s="566"/>
      <c r="M729" s="566"/>
      <c r="N729" s="566"/>
      <c r="O729" s="566"/>
      <c r="P729" s="566"/>
      <c r="Q729" s="566"/>
      <c r="R729" s="566"/>
      <c r="S729" s="566"/>
      <c r="T729" s="566"/>
      <c r="U729" s="566"/>
      <c r="V729" s="566"/>
      <c r="W729" s="566"/>
      <c r="X729" s="566"/>
      <c r="Y729" s="566"/>
      <c r="Z729" s="566"/>
      <c r="AA729" s="566"/>
      <c r="AB729" s="566"/>
      <c r="AC729" s="566"/>
      <c r="AD729" s="566"/>
      <c r="AE729" s="566"/>
      <c r="AF729" s="566"/>
      <c r="AG729" s="566"/>
      <c r="AH729" s="566"/>
      <c r="AI729" s="566"/>
      <c r="AJ729" s="566"/>
      <c r="AK729" s="566"/>
      <c r="AL729" s="566"/>
      <c r="AM729" s="566"/>
      <c r="AN729" s="566"/>
      <c r="AO729" s="566"/>
    </row>
    <row r="730" spans="2:41" x14ac:dyDescent="0.15">
      <c r="B730" s="567">
        <v>-34</v>
      </c>
      <c r="C730" s="566"/>
      <c r="D730" s="566"/>
      <c r="E730" s="566"/>
      <c r="F730" s="566"/>
      <c r="G730" s="566"/>
      <c r="H730" s="566"/>
      <c r="I730" s="566"/>
      <c r="J730" s="566"/>
      <c r="K730" s="566"/>
      <c r="L730" s="566"/>
      <c r="M730" s="566"/>
      <c r="N730" s="566"/>
      <c r="O730" s="566"/>
      <c r="P730" s="566"/>
      <c r="Q730" s="566"/>
      <c r="R730" s="566"/>
      <c r="S730" s="566"/>
      <c r="T730" s="566"/>
      <c r="U730" s="566"/>
      <c r="V730" s="566"/>
      <c r="W730" s="566"/>
      <c r="X730" s="566"/>
      <c r="Y730" s="566"/>
      <c r="Z730" s="566"/>
      <c r="AA730" s="566"/>
      <c r="AB730" s="566"/>
      <c r="AC730" s="566"/>
      <c r="AD730" s="566"/>
      <c r="AE730" s="566"/>
      <c r="AF730" s="566"/>
      <c r="AG730" s="566"/>
      <c r="AH730" s="566"/>
      <c r="AI730" s="566"/>
      <c r="AJ730" s="566"/>
      <c r="AK730" s="566"/>
      <c r="AL730" s="566"/>
      <c r="AM730" s="566"/>
      <c r="AN730" s="566"/>
      <c r="AO730" s="566"/>
    </row>
    <row r="731" spans="2:41" x14ac:dyDescent="0.15">
      <c r="B731" s="567">
        <v>-33</v>
      </c>
      <c r="C731" s="566"/>
      <c r="D731" s="566"/>
      <c r="E731" s="566"/>
      <c r="F731" s="566"/>
      <c r="G731" s="566"/>
      <c r="H731" s="566"/>
      <c r="I731" s="566"/>
      <c r="J731" s="566"/>
      <c r="K731" s="566"/>
      <c r="L731" s="566"/>
      <c r="M731" s="566"/>
      <c r="N731" s="566"/>
      <c r="O731" s="566"/>
      <c r="P731" s="566"/>
      <c r="Q731" s="566"/>
      <c r="R731" s="566"/>
      <c r="S731" s="566"/>
      <c r="T731" s="566"/>
      <c r="U731" s="566"/>
      <c r="V731" s="566"/>
      <c r="W731" s="566"/>
      <c r="X731" s="566"/>
      <c r="Y731" s="566"/>
      <c r="Z731" s="566"/>
      <c r="AA731" s="566"/>
      <c r="AB731" s="566"/>
      <c r="AC731" s="566"/>
      <c r="AD731" s="566"/>
      <c r="AE731" s="566"/>
      <c r="AF731" s="566"/>
      <c r="AG731" s="566"/>
      <c r="AH731" s="566"/>
      <c r="AI731" s="566"/>
      <c r="AJ731" s="566"/>
      <c r="AK731" s="566"/>
      <c r="AL731" s="566"/>
      <c r="AM731" s="566"/>
      <c r="AN731" s="566"/>
      <c r="AO731" s="566"/>
    </row>
    <row r="732" spans="2:41" x14ac:dyDescent="0.15">
      <c r="B732" s="567">
        <v>-32</v>
      </c>
      <c r="C732" s="566"/>
      <c r="D732" s="566"/>
      <c r="E732" s="566"/>
      <c r="F732" s="566"/>
      <c r="G732" s="566"/>
      <c r="H732" s="566"/>
      <c r="I732" s="566"/>
      <c r="J732" s="566"/>
      <c r="K732" s="566"/>
      <c r="L732" s="566"/>
      <c r="M732" s="566"/>
      <c r="N732" s="566"/>
      <c r="O732" s="566"/>
      <c r="P732" s="566"/>
      <c r="Q732" s="566"/>
      <c r="R732" s="566"/>
      <c r="S732" s="566"/>
      <c r="T732" s="566"/>
      <c r="U732" s="566"/>
      <c r="V732" s="566"/>
      <c r="W732" s="566"/>
      <c r="X732" s="566"/>
      <c r="Y732" s="566"/>
      <c r="Z732" s="566"/>
      <c r="AA732" s="566"/>
      <c r="AB732" s="566"/>
      <c r="AC732" s="566"/>
      <c r="AD732" s="566"/>
      <c r="AE732" s="566"/>
      <c r="AF732" s="566"/>
      <c r="AG732" s="566"/>
      <c r="AH732" s="566"/>
      <c r="AI732" s="566"/>
      <c r="AJ732" s="566"/>
      <c r="AK732" s="566"/>
      <c r="AL732" s="566"/>
      <c r="AM732" s="566"/>
      <c r="AN732" s="566"/>
      <c r="AO732" s="566"/>
    </row>
    <row r="733" spans="2:41" x14ac:dyDescent="0.15">
      <c r="B733" s="567">
        <v>-31</v>
      </c>
      <c r="C733" s="566"/>
      <c r="D733" s="566"/>
      <c r="E733" s="566"/>
      <c r="F733" s="566"/>
      <c r="G733" s="566"/>
      <c r="H733" s="566"/>
      <c r="I733" s="566"/>
      <c r="J733" s="566"/>
      <c r="K733" s="566"/>
      <c r="L733" s="566"/>
      <c r="M733" s="566"/>
      <c r="N733" s="566"/>
      <c r="O733" s="566"/>
      <c r="P733" s="566"/>
      <c r="Q733" s="566"/>
      <c r="R733" s="566"/>
      <c r="S733" s="566"/>
      <c r="T733" s="566"/>
      <c r="U733" s="566"/>
      <c r="V733" s="566"/>
      <c r="W733" s="566"/>
      <c r="X733" s="566"/>
      <c r="Y733" s="566"/>
      <c r="Z733" s="566"/>
      <c r="AA733" s="566"/>
      <c r="AB733" s="566"/>
      <c r="AC733" s="566"/>
      <c r="AD733" s="566"/>
      <c r="AE733" s="566"/>
      <c r="AF733" s="566"/>
      <c r="AG733" s="566"/>
      <c r="AH733" s="566"/>
      <c r="AI733" s="566"/>
      <c r="AJ733" s="566"/>
      <c r="AK733" s="566"/>
      <c r="AL733" s="566"/>
      <c r="AM733" s="566"/>
      <c r="AN733" s="566"/>
      <c r="AO733" s="566"/>
    </row>
    <row r="734" spans="2:41" x14ac:dyDescent="0.15">
      <c r="B734" s="567">
        <v>-30</v>
      </c>
      <c r="C734" s="566"/>
      <c r="D734" s="566"/>
      <c r="E734" s="566"/>
      <c r="F734" s="566"/>
      <c r="G734" s="566"/>
      <c r="H734" s="566"/>
      <c r="I734" s="566"/>
      <c r="J734" s="566"/>
      <c r="K734" s="566"/>
      <c r="L734" s="566"/>
      <c r="M734" s="566"/>
      <c r="N734" s="566"/>
      <c r="O734" s="566"/>
      <c r="P734" s="566"/>
      <c r="Q734" s="566"/>
      <c r="R734" s="566"/>
      <c r="S734" s="566"/>
      <c r="T734" s="566"/>
      <c r="U734" s="566"/>
      <c r="V734" s="566"/>
      <c r="W734" s="566"/>
      <c r="X734" s="566"/>
      <c r="Y734" s="566"/>
      <c r="Z734" s="566"/>
      <c r="AA734" s="566"/>
      <c r="AB734" s="566"/>
      <c r="AC734" s="566"/>
      <c r="AD734" s="566"/>
      <c r="AE734" s="566"/>
      <c r="AF734" s="566"/>
      <c r="AG734" s="566"/>
      <c r="AH734" s="566"/>
      <c r="AI734" s="566"/>
      <c r="AJ734" s="566"/>
      <c r="AK734" s="566"/>
      <c r="AL734" s="566"/>
      <c r="AM734" s="566"/>
      <c r="AN734" s="566"/>
      <c r="AO734" s="566"/>
    </row>
    <row r="735" spans="2:41" x14ac:dyDescent="0.15">
      <c r="B735" s="567">
        <v>-29</v>
      </c>
      <c r="C735" s="566"/>
      <c r="D735" s="566"/>
      <c r="E735" s="566"/>
      <c r="F735" s="566"/>
      <c r="G735" s="566"/>
      <c r="H735" s="566"/>
      <c r="I735" s="566"/>
      <c r="J735" s="566"/>
      <c r="K735" s="566"/>
      <c r="L735" s="566"/>
      <c r="M735" s="566"/>
      <c r="N735" s="566"/>
      <c r="O735" s="566"/>
      <c r="P735" s="566"/>
      <c r="Q735" s="566"/>
      <c r="R735" s="566"/>
      <c r="S735" s="566"/>
      <c r="T735" s="566"/>
      <c r="U735" s="566"/>
      <c r="V735" s="566"/>
      <c r="W735" s="566"/>
      <c r="X735" s="566"/>
      <c r="Y735" s="566"/>
      <c r="Z735" s="566"/>
      <c r="AA735" s="566"/>
      <c r="AB735" s="566"/>
      <c r="AC735" s="566"/>
      <c r="AD735" s="566"/>
      <c r="AE735" s="566"/>
      <c r="AF735" s="566"/>
      <c r="AG735" s="566"/>
      <c r="AH735" s="566"/>
      <c r="AI735" s="566"/>
      <c r="AJ735" s="566"/>
      <c r="AK735" s="566"/>
      <c r="AL735" s="566"/>
      <c r="AM735" s="566"/>
      <c r="AN735" s="566"/>
      <c r="AO735" s="566"/>
    </row>
    <row r="736" spans="2:41" x14ac:dyDescent="0.15">
      <c r="B736" s="567">
        <v>-28</v>
      </c>
      <c r="C736" s="566"/>
      <c r="D736" s="566"/>
      <c r="E736" s="566"/>
      <c r="F736" s="566"/>
      <c r="G736" s="566"/>
      <c r="H736" s="566"/>
      <c r="I736" s="566"/>
      <c r="J736" s="566"/>
      <c r="K736" s="566"/>
      <c r="L736" s="566"/>
      <c r="M736" s="566"/>
      <c r="N736" s="566"/>
      <c r="O736" s="566"/>
      <c r="P736" s="566"/>
      <c r="Q736" s="566"/>
      <c r="R736" s="566"/>
      <c r="S736" s="566"/>
      <c r="T736" s="566"/>
      <c r="U736" s="566"/>
      <c r="V736" s="566"/>
      <c r="W736" s="566"/>
      <c r="X736" s="566"/>
      <c r="Y736" s="566"/>
      <c r="Z736" s="566"/>
      <c r="AA736" s="566"/>
      <c r="AB736" s="566"/>
      <c r="AC736" s="566"/>
      <c r="AD736" s="566"/>
      <c r="AE736" s="566"/>
      <c r="AF736" s="566"/>
      <c r="AG736" s="566"/>
      <c r="AH736" s="566"/>
      <c r="AI736" s="566"/>
      <c r="AJ736" s="566"/>
      <c r="AK736" s="566"/>
      <c r="AL736" s="566"/>
      <c r="AM736" s="566"/>
      <c r="AN736" s="566"/>
      <c r="AO736" s="566"/>
    </row>
    <row r="737" spans="2:41" x14ac:dyDescent="0.15">
      <c r="B737" s="567">
        <v>-27</v>
      </c>
      <c r="C737" s="566"/>
      <c r="D737" s="566"/>
      <c r="E737" s="566"/>
      <c r="F737" s="566"/>
      <c r="G737" s="566"/>
      <c r="H737" s="566"/>
      <c r="I737" s="566"/>
      <c r="J737" s="566"/>
      <c r="K737" s="566"/>
      <c r="L737" s="566"/>
      <c r="M737" s="566"/>
      <c r="N737" s="566"/>
      <c r="O737" s="566"/>
      <c r="P737" s="566"/>
      <c r="Q737" s="566"/>
      <c r="R737" s="566"/>
      <c r="S737" s="566"/>
      <c r="T737" s="566"/>
      <c r="U737" s="566"/>
      <c r="V737" s="566"/>
      <c r="W737" s="566"/>
      <c r="X737" s="566"/>
      <c r="Y737" s="566"/>
      <c r="Z737" s="566"/>
      <c r="AA737" s="566"/>
      <c r="AB737" s="566"/>
      <c r="AC737" s="566"/>
      <c r="AD737" s="566"/>
      <c r="AE737" s="566"/>
      <c r="AF737" s="566"/>
      <c r="AG737" s="566"/>
      <c r="AH737" s="566"/>
      <c r="AI737" s="566"/>
      <c r="AJ737" s="566"/>
      <c r="AK737" s="566"/>
      <c r="AL737" s="566"/>
      <c r="AM737" s="566"/>
      <c r="AN737" s="566"/>
      <c r="AO737" s="566"/>
    </row>
    <row r="738" spans="2:41" x14ac:dyDescent="0.15">
      <c r="B738" s="567">
        <v>-26</v>
      </c>
      <c r="C738" s="566"/>
      <c r="D738" s="566"/>
      <c r="E738" s="566"/>
      <c r="F738" s="566"/>
      <c r="G738" s="566"/>
      <c r="H738" s="566"/>
      <c r="I738" s="566"/>
      <c r="J738" s="566"/>
      <c r="K738" s="566"/>
      <c r="L738" s="566"/>
      <c r="M738" s="566"/>
      <c r="N738" s="566"/>
      <c r="O738" s="566"/>
      <c r="P738" s="566"/>
      <c r="Q738" s="566"/>
      <c r="R738" s="566"/>
      <c r="S738" s="566"/>
      <c r="T738" s="566"/>
      <c r="U738" s="566"/>
      <c r="V738" s="566"/>
      <c r="W738" s="566"/>
      <c r="X738" s="566"/>
      <c r="Y738" s="566"/>
      <c r="Z738" s="566"/>
      <c r="AA738" s="566"/>
      <c r="AB738" s="566"/>
      <c r="AC738" s="566"/>
      <c r="AD738" s="566"/>
      <c r="AE738" s="566"/>
      <c r="AF738" s="566"/>
      <c r="AG738" s="566"/>
      <c r="AH738" s="566"/>
      <c r="AI738" s="566"/>
      <c r="AJ738" s="566"/>
      <c r="AK738" s="566"/>
      <c r="AL738" s="566"/>
      <c r="AM738" s="566"/>
      <c r="AN738" s="566"/>
      <c r="AO738" s="566"/>
    </row>
    <row r="739" spans="2:41" x14ac:dyDescent="0.15">
      <c r="B739" s="567">
        <v>-25</v>
      </c>
      <c r="C739" s="566"/>
      <c r="D739" s="566"/>
      <c r="E739" s="566"/>
      <c r="F739" s="566"/>
      <c r="G739" s="566"/>
      <c r="H739" s="566"/>
      <c r="I739" s="566"/>
      <c r="J739" s="566"/>
      <c r="K739" s="566"/>
      <c r="L739" s="566"/>
      <c r="M739" s="566"/>
      <c r="N739" s="566"/>
      <c r="O739" s="566"/>
      <c r="P739" s="566"/>
      <c r="Q739" s="566"/>
      <c r="R739" s="566"/>
      <c r="S739" s="566"/>
      <c r="T739" s="566"/>
      <c r="U739" s="566"/>
      <c r="V739" s="566"/>
      <c r="W739" s="566"/>
      <c r="X739" s="566"/>
      <c r="Y739" s="566"/>
      <c r="Z739" s="566"/>
      <c r="AA739" s="566"/>
      <c r="AB739" s="566"/>
      <c r="AC739" s="566"/>
      <c r="AD739" s="566"/>
      <c r="AE739" s="566"/>
      <c r="AF739" s="566"/>
      <c r="AG739" s="566"/>
      <c r="AH739" s="566"/>
      <c r="AI739" s="566"/>
      <c r="AJ739" s="566"/>
      <c r="AK739" s="566"/>
      <c r="AL739" s="566"/>
      <c r="AM739" s="566"/>
      <c r="AN739" s="566"/>
      <c r="AO739" s="566"/>
    </row>
    <row r="740" spans="2:41" x14ac:dyDescent="0.15">
      <c r="B740" s="567">
        <v>-24</v>
      </c>
      <c r="C740" s="566"/>
      <c r="D740" s="566"/>
      <c r="E740" s="566"/>
      <c r="F740" s="566"/>
      <c r="G740" s="566"/>
      <c r="H740" s="566"/>
      <c r="I740" s="566"/>
      <c r="J740" s="566"/>
      <c r="K740" s="566"/>
      <c r="L740" s="566"/>
      <c r="M740" s="566"/>
      <c r="N740" s="566"/>
      <c r="O740" s="566"/>
      <c r="P740" s="566"/>
      <c r="Q740" s="566"/>
      <c r="R740" s="566"/>
      <c r="S740" s="566"/>
      <c r="T740" s="566"/>
      <c r="U740" s="566"/>
      <c r="V740" s="566"/>
      <c r="W740" s="566"/>
      <c r="X740" s="566"/>
      <c r="Y740" s="566"/>
      <c r="Z740" s="566"/>
      <c r="AA740" s="566"/>
      <c r="AB740" s="566"/>
      <c r="AC740" s="566"/>
      <c r="AD740" s="566"/>
      <c r="AE740" s="566"/>
      <c r="AF740" s="566"/>
      <c r="AG740" s="566"/>
      <c r="AH740" s="566"/>
      <c r="AI740" s="566"/>
      <c r="AJ740" s="566"/>
      <c r="AK740" s="566"/>
      <c r="AL740" s="566"/>
      <c r="AM740" s="566"/>
      <c r="AN740" s="566"/>
      <c r="AO740" s="566"/>
    </row>
    <row r="741" spans="2:41" x14ac:dyDescent="0.15">
      <c r="B741" s="567">
        <v>-23</v>
      </c>
      <c r="C741" s="566"/>
      <c r="D741" s="566"/>
      <c r="E741" s="566"/>
      <c r="F741" s="566"/>
      <c r="G741" s="566"/>
      <c r="H741" s="566"/>
      <c r="I741" s="566"/>
      <c r="J741" s="566"/>
      <c r="K741" s="566"/>
      <c r="L741" s="566"/>
      <c r="M741" s="566"/>
      <c r="N741" s="566"/>
      <c r="O741" s="566"/>
      <c r="P741" s="566"/>
      <c r="Q741" s="566"/>
      <c r="R741" s="566"/>
      <c r="S741" s="566"/>
      <c r="T741" s="566"/>
      <c r="U741" s="566"/>
      <c r="V741" s="566"/>
      <c r="W741" s="566"/>
      <c r="X741" s="566"/>
      <c r="Y741" s="566"/>
      <c r="Z741" s="566"/>
      <c r="AA741" s="566"/>
      <c r="AB741" s="566"/>
      <c r="AC741" s="566"/>
      <c r="AD741" s="566"/>
      <c r="AE741" s="566"/>
      <c r="AF741" s="566"/>
      <c r="AG741" s="566"/>
      <c r="AH741" s="566"/>
      <c r="AI741" s="566"/>
      <c r="AJ741" s="566"/>
      <c r="AK741" s="566"/>
      <c r="AL741" s="566"/>
      <c r="AM741" s="566"/>
      <c r="AN741" s="566"/>
      <c r="AO741" s="566"/>
    </row>
    <row r="742" spans="2:41" x14ac:dyDescent="0.15">
      <c r="B742" s="567">
        <v>-22</v>
      </c>
      <c r="C742" s="566"/>
      <c r="D742" s="566"/>
      <c r="E742" s="566"/>
      <c r="F742" s="566"/>
      <c r="G742" s="566"/>
      <c r="H742" s="566"/>
      <c r="I742" s="566"/>
      <c r="J742" s="566"/>
      <c r="K742" s="566"/>
      <c r="L742" s="566"/>
      <c r="M742" s="566"/>
      <c r="N742" s="566"/>
      <c r="O742" s="566"/>
      <c r="P742" s="566"/>
      <c r="Q742" s="566"/>
      <c r="R742" s="566"/>
      <c r="S742" s="566"/>
      <c r="T742" s="566"/>
      <c r="U742" s="566"/>
      <c r="V742" s="566"/>
      <c r="W742" s="566"/>
      <c r="X742" s="566"/>
      <c r="Y742" s="566"/>
      <c r="Z742" s="566"/>
      <c r="AA742" s="566"/>
      <c r="AB742" s="566"/>
      <c r="AC742" s="566"/>
      <c r="AD742" s="566"/>
      <c r="AE742" s="566"/>
      <c r="AF742" s="566"/>
      <c r="AG742" s="566"/>
      <c r="AH742" s="566"/>
      <c r="AI742" s="566"/>
      <c r="AJ742" s="566"/>
      <c r="AK742" s="566"/>
      <c r="AL742" s="566"/>
      <c r="AM742" s="566"/>
      <c r="AN742" s="566"/>
      <c r="AO742" s="566"/>
    </row>
    <row r="743" spans="2:41" x14ac:dyDescent="0.15">
      <c r="B743" s="567">
        <v>-21</v>
      </c>
      <c r="C743" s="566"/>
      <c r="D743" s="566"/>
      <c r="E743" s="566"/>
      <c r="F743" s="566"/>
      <c r="G743" s="566"/>
      <c r="H743" s="566"/>
      <c r="I743" s="566"/>
      <c r="J743" s="566"/>
      <c r="K743" s="566"/>
      <c r="L743" s="566"/>
      <c r="M743" s="566"/>
      <c r="N743" s="566"/>
      <c r="O743" s="566"/>
      <c r="P743" s="566"/>
      <c r="Q743" s="566"/>
      <c r="R743" s="566"/>
      <c r="S743" s="566"/>
      <c r="T743" s="566"/>
      <c r="U743" s="566"/>
      <c r="V743" s="566"/>
      <c r="W743" s="566"/>
      <c r="X743" s="566"/>
      <c r="Y743" s="566"/>
      <c r="Z743" s="566"/>
      <c r="AA743" s="566"/>
      <c r="AB743" s="566"/>
      <c r="AC743" s="566"/>
      <c r="AD743" s="566"/>
      <c r="AE743" s="566"/>
      <c r="AF743" s="566"/>
      <c r="AG743" s="566"/>
      <c r="AH743" s="566"/>
      <c r="AI743" s="566"/>
      <c r="AJ743" s="566"/>
      <c r="AK743" s="566"/>
      <c r="AL743" s="566"/>
      <c r="AM743" s="566"/>
      <c r="AN743" s="566"/>
      <c r="AO743" s="566"/>
    </row>
    <row r="744" spans="2:41" x14ac:dyDescent="0.15">
      <c r="B744" s="567">
        <v>-20</v>
      </c>
      <c r="C744" s="566"/>
      <c r="D744" s="566"/>
      <c r="E744" s="566"/>
      <c r="F744" s="566"/>
      <c r="G744" s="566"/>
      <c r="H744" s="566"/>
      <c r="I744" s="566"/>
      <c r="J744" s="566"/>
      <c r="K744" s="566"/>
      <c r="L744" s="566"/>
      <c r="M744" s="566"/>
      <c r="N744" s="566"/>
      <c r="O744" s="566"/>
      <c r="P744" s="566"/>
      <c r="Q744" s="566"/>
      <c r="R744" s="566"/>
      <c r="S744" s="566"/>
      <c r="T744" s="566"/>
      <c r="U744" s="566"/>
      <c r="V744" s="566"/>
      <c r="W744" s="566"/>
      <c r="X744" s="566"/>
      <c r="Y744" s="566"/>
      <c r="Z744" s="566"/>
      <c r="AA744" s="566"/>
      <c r="AB744" s="566"/>
      <c r="AC744" s="566"/>
      <c r="AD744" s="566"/>
      <c r="AE744" s="566"/>
      <c r="AF744" s="566"/>
      <c r="AG744" s="566"/>
      <c r="AH744" s="566"/>
      <c r="AI744" s="566"/>
      <c r="AJ744" s="566"/>
      <c r="AK744" s="566"/>
      <c r="AL744" s="566"/>
      <c r="AM744" s="566"/>
      <c r="AN744" s="566"/>
      <c r="AO744" s="566"/>
    </row>
    <row r="745" spans="2:41" x14ac:dyDescent="0.15">
      <c r="B745" s="567">
        <v>-19</v>
      </c>
      <c r="C745" s="566"/>
      <c r="D745" s="566"/>
      <c r="E745" s="566"/>
      <c r="F745" s="566"/>
      <c r="G745" s="566"/>
      <c r="H745" s="566"/>
      <c r="I745" s="566"/>
      <c r="J745" s="566"/>
      <c r="K745" s="566"/>
      <c r="L745" s="566"/>
      <c r="M745" s="566"/>
      <c r="N745" s="566"/>
      <c r="O745" s="566"/>
      <c r="P745" s="566"/>
      <c r="Q745" s="566"/>
      <c r="R745" s="566"/>
      <c r="S745" s="566"/>
      <c r="T745" s="566"/>
      <c r="U745" s="566"/>
      <c r="V745" s="566"/>
      <c r="W745" s="566"/>
      <c r="X745" s="566"/>
      <c r="Y745" s="566"/>
      <c r="Z745" s="566"/>
      <c r="AA745" s="566"/>
      <c r="AB745" s="566"/>
      <c r="AC745" s="566"/>
      <c r="AD745" s="566"/>
      <c r="AE745" s="566"/>
      <c r="AF745" s="566"/>
      <c r="AG745" s="566"/>
      <c r="AH745" s="566"/>
      <c r="AI745" s="566"/>
      <c r="AJ745" s="566"/>
      <c r="AK745" s="566"/>
      <c r="AL745" s="566"/>
      <c r="AM745" s="566"/>
      <c r="AN745" s="566"/>
      <c r="AO745" s="566"/>
    </row>
    <row r="746" spans="2:41" x14ac:dyDescent="0.15">
      <c r="B746" s="567">
        <v>-18</v>
      </c>
      <c r="C746" s="566"/>
      <c r="D746" s="566"/>
      <c r="E746" s="566"/>
      <c r="F746" s="566"/>
      <c r="G746" s="566"/>
      <c r="H746" s="566"/>
      <c r="I746" s="566"/>
      <c r="J746" s="566"/>
      <c r="K746" s="566"/>
      <c r="L746" s="566"/>
      <c r="M746" s="566"/>
      <c r="N746" s="566"/>
      <c r="O746" s="566"/>
      <c r="P746" s="566"/>
      <c r="Q746" s="566"/>
      <c r="R746" s="566"/>
      <c r="S746" s="566"/>
      <c r="T746" s="566"/>
      <c r="U746" s="566"/>
      <c r="V746" s="566"/>
      <c r="W746" s="566"/>
      <c r="X746" s="566"/>
      <c r="Y746" s="566"/>
      <c r="Z746" s="566"/>
      <c r="AA746" s="566"/>
      <c r="AB746" s="566"/>
      <c r="AC746" s="566"/>
      <c r="AD746" s="566"/>
      <c r="AE746" s="566"/>
      <c r="AF746" s="566"/>
      <c r="AG746" s="566"/>
      <c r="AH746" s="566"/>
      <c r="AI746" s="566"/>
      <c r="AJ746" s="566"/>
      <c r="AK746" s="566"/>
      <c r="AL746" s="566"/>
      <c r="AM746" s="566"/>
      <c r="AN746" s="566"/>
      <c r="AO746" s="566"/>
    </row>
    <row r="747" spans="2:41" x14ac:dyDescent="0.15">
      <c r="B747" s="567">
        <v>-17</v>
      </c>
      <c r="C747" s="566"/>
      <c r="D747" s="566"/>
      <c r="E747" s="566"/>
      <c r="F747" s="566"/>
      <c r="G747" s="566"/>
      <c r="H747" s="566"/>
      <c r="I747" s="566"/>
      <c r="J747" s="566"/>
      <c r="K747" s="566"/>
      <c r="L747" s="566"/>
      <c r="M747" s="566"/>
      <c r="N747" s="566"/>
      <c r="O747" s="566"/>
      <c r="P747" s="566"/>
      <c r="Q747" s="566"/>
      <c r="R747" s="566"/>
      <c r="S747" s="566"/>
      <c r="T747" s="566"/>
      <c r="U747" s="566"/>
      <c r="V747" s="566"/>
      <c r="W747" s="566"/>
      <c r="X747" s="566"/>
      <c r="Y747" s="566"/>
      <c r="Z747" s="566"/>
      <c r="AA747" s="566"/>
      <c r="AB747" s="566"/>
      <c r="AC747" s="566"/>
      <c r="AD747" s="566"/>
      <c r="AE747" s="566"/>
      <c r="AF747" s="566"/>
      <c r="AG747" s="566"/>
      <c r="AH747" s="566"/>
      <c r="AI747" s="566"/>
      <c r="AJ747" s="566"/>
      <c r="AK747" s="566"/>
      <c r="AL747" s="566"/>
      <c r="AM747" s="566"/>
      <c r="AN747" s="566"/>
      <c r="AO747" s="566"/>
    </row>
    <row r="748" spans="2:41" x14ac:dyDescent="0.15">
      <c r="B748" s="567">
        <v>-16</v>
      </c>
      <c r="C748" s="566"/>
      <c r="D748" s="566"/>
      <c r="E748" s="566"/>
      <c r="F748" s="566"/>
      <c r="G748" s="566"/>
      <c r="H748" s="566"/>
      <c r="I748" s="566"/>
      <c r="J748" s="566"/>
      <c r="K748" s="566"/>
      <c r="L748" s="566"/>
      <c r="M748" s="566"/>
      <c r="N748" s="566"/>
      <c r="O748" s="566"/>
      <c r="P748" s="566"/>
      <c r="Q748" s="566"/>
      <c r="R748" s="566"/>
      <c r="S748" s="566"/>
      <c r="T748" s="566"/>
      <c r="U748" s="566"/>
      <c r="V748" s="566"/>
      <c r="W748" s="566"/>
      <c r="X748" s="566"/>
      <c r="Y748" s="566"/>
      <c r="Z748" s="566"/>
      <c r="AA748" s="566"/>
      <c r="AB748" s="566"/>
      <c r="AC748" s="566"/>
      <c r="AD748" s="566"/>
      <c r="AE748" s="566"/>
      <c r="AF748" s="566"/>
      <c r="AG748" s="566"/>
      <c r="AH748" s="566"/>
      <c r="AI748" s="566"/>
      <c r="AJ748" s="566"/>
      <c r="AK748" s="566"/>
      <c r="AL748" s="566"/>
      <c r="AM748" s="566"/>
      <c r="AN748" s="566"/>
      <c r="AO748" s="566"/>
    </row>
    <row r="749" spans="2:41" x14ac:dyDescent="0.15">
      <c r="B749" s="567">
        <v>-15</v>
      </c>
      <c r="C749" s="566"/>
      <c r="D749" s="566"/>
      <c r="E749" s="566"/>
      <c r="F749" s="566"/>
      <c r="G749" s="566"/>
      <c r="H749" s="566"/>
      <c r="I749" s="566"/>
      <c r="J749" s="566"/>
      <c r="K749" s="566"/>
      <c r="L749" s="566"/>
      <c r="M749" s="566"/>
      <c r="N749" s="566"/>
      <c r="O749" s="566"/>
      <c r="P749" s="566"/>
      <c r="Q749" s="566"/>
      <c r="R749" s="566"/>
      <c r="S749" s="566"/>
      <c r="T749" s="566"/>
      <c r="U749" s="566"/>
      <c r="V749" s="566"/>
      <c r="W749" s="566"/>
      <c r="X749" s="566"/>
      <c r="Y749" s="566"/>
      <c r="Z749" s="566"/>
      <c r="AA749" s="566"/>
      <c r="AB749" s="566"/>
      <c r="AC749" s="566"/>
      <c r="AD749" s="566"/>
      <c r="AE749" s="566"/>
      <c r="AF749" s="566"/>
      <c r="AG749" s="566"/>
      <c r="AH749" s="566"/>
      <c r="AI749" s="566"/>
      <c r="AJ749" s="566"/>
      <c r="AK749" s="566"/>
      <c r="AL749" s="566"/>
      <c r="AM749" s="566"/>
      <c r="AN749" s="566"/>
      <c r="AO749" s="566"/>
    </row>
    <row r="750" spans="2:41" x14ac:dyDescent="0.15">
      <c r="B750" s="567">
        <v>-14</v>
      </c>
      <c r="C750" s="566"/>
      <c r="D750" s="566"/>
      <c r="E750" s="566"/>
      <c r="F750" s="566"/>
      <c r="G750" s="566"/>
      <c r="H750" s="566"/>
      <c r="I750" s="566"/>
      <c r="J750" s="566"/>
      <c r="K750" s="566"/>
      <c r="L750" s="566"/>
      <c r="M750" s="566"/>
      <c r="N750" s="566"/>
      <c r="O750" s="566"/>
      <c r="P750" s="566"/>
      <c r="Q750" s="566"/>
      <c r="R750" s="566"/>
      <c r="S750" s="566"/>
      <c r="T750" s="566"/>
      <c r="U750" s="566"/>
      <c r="V750" s="566"/>
      <c r="W750" s="566"/>
      <c r="X750" s="566"/>
      <c r="Y750" s="566"/>
      <c r="Z750" s="566"/>
      <c r="AA750" s="566"/>
      <c r="AB750" s="566"/>
      <c r="AC750" s="566"/>
      <c r="AD750" s="566"/>
      <c r="AE750" s="566"/>
      <c r="AF750" s="566"/>
      <c r="AG750" s="566"/>
      <c r="AH750" s="566"/>
      <c r="AI750" s="566"/>
      <c r="AJ750" s="566"/>
      <c r="AK750" s="566"/>
      <c r="AL750" s="566"/>
      <c r="AM750" s="566"/>
      <c r="AN750" s="566"/>
      <c r="AO750" s="566"/>
    </row>
    <row r="751" spans="2:41" x14ac:dyDescent="0.15">
      <c r="B751" s="567">
        <v>-13</v>
      </c>
      <c r="C751" s="566"/>
      <c r="D751" s="566"/>
      <c r="E751" s="566"/>
      <c r="F751" s="566"/>
      <c r="G751" s="566"/>
      <c r="H751" s="566"/>
      <c r="I751" s="566"/>
      <c r="J751" s="566"/>
      <c r="K751" s="566"/>
      <c r="L751" s="566"/>
      <c r="M751" s="566"/>
      <c r="N751" s="566"/>
      <c r="O751" s="566"/>
      <c r="P751" s="566"/>
      <c r="Q751" s="566"/>
      <c r="R751" s="566"/>
      <c r="S751" s="566"/>
      <c r="T751" s="566"/>
      <c r="U751" s="566"/>
      <c r="V751" s="566"/>
      <c r="W751" s="566"/>
      <c r="X751" s="566"/>
      <c r="Y751" s="566"/>
      <c r="Z751" s="566"/>
      <c r="AA751" s="566"/>
      <c r="AB751" s="566"/>
      <c r="AC751" s="566"/>
      <c r="AD751" s="566"/>
      <c r="AE751" s="566"/>
      <c r="AF751" s="566"/>
      <c r="AG751" s="566"/>
      <c r="AH751" s="566"/>
      <c r="AI751" s="566"/>
      <c r="AJ751" s="566"/>
      <c r="AK751" s="566"/>
      <c r="AL751" s="566"/>
      <c r="AM751" s="566"/>
      <c r="AN751" s="566"/>
      <c r="AO751" s="566"/>
    </row>
    <row r="752" spans="2:41" x14ac:dyDescent="0.15">
      <c r="B752" s="567">
        <v>-12</v>
      </c>
      <c r="C752" s="566"/>
      <c r="D752" s="566"/>
      <c r="E752" s="566"/>
      <c r="F752" s="566"/>
      <c r="G752" s="566"/>
      <c r="H752" s="566"/>
      <c r="I752" s="566"/>
      <c r="J752" s="566"/>
      <c r="K752" s="566"/>
      <c r="L752" s="566"/>
      <c r="M752" s="566"/>
      <c r="N752" s="566"/>
      <c r="O752" s="566"/>
      <c r="P752" s="566"/>
      <c r="Q752" s="566"/>
      <c r="R752" s="566"/>
      <c r="S752" s="566"/>
      <c r="T752" s="566"/>
      <c r="U752" s="566"/>
      <c r="V752" s="566"/>
      <c r="W752" s="566"/>
      <c r="X752" s="566"/>
      <c r="Y752" s="566"/>
      <c r="Z752" s="566"/>
      <c r="AA752" s="566"/>
      <c r="AB752" s="566"/>
      <c r="AC752" s="566"/>
      <c r="AD752" s="566"/>
      <c r="AE752" s="566"/>
      <c r="AF752" s="566"/>
      <c r="AG752" s="566"/>
      <c r="AH752" s="566"/>
      <c r="AI752" s="566"/>
      <c r="AJ752" s="566"/>
      <c r="AK752" s="566"/>
      <c r="AL752" s="566"/>
      <c r="AM752" s="566"/>
      <c r="AN752" s="566"/>
      <c r="AO752" s="566"/>
    </row>
    <row r="753" spans="2:41" x14ac:dyDescent="0.15">
      <c r="B753" s="567">
        <v>-11</v>
      </c>
      <c r="C753" s="566"/>
      <c r="D753" s="566"/>
      <c r="E753" s="566"/>
      <c r="F753" s="566"/>
      <c r="G753" s="566"/>
      <c r="H753" s="566"/>
      <c r="I753" s="566"/>
      <c r="J753" s="566"/>
      <c r="K753" s="566"/>
      <c r="L753" s="566"/>
      <c r="M753" s="566"/>
      <c r="N753" s="566"/>
      <c r="O753" s="566"/>
      <c r="P753" s="566"/>
      <c r="Q753" s="566"/>
      <c r="R753" s="566"/>
      <c r="S753" s="566"/>
      <c r="T753" s="566"/>
      <c r="U753" s="566"/>
      <c r="V753" s="566"/>
      <c r="W753" s="566"/>
      <c r="X753" s="566"/>
      <c r="Y753" s="566"/>
      <c r="Z753" s="566"/>
      <c r="AA753" s="566"/>
      <c r="AB753" s="566"/>
      <c r="AC753" s="566"/>
      <c r="AD753" s="566"/>
      <c r="AE753" s="566"/>
      <c r="AF753" s="566"/>
      <c r="AG753" s="566"/>
      <c r="AH753" s="566"/>
      <c r="AI753" s="566"/>
      <c r="AJ753" s="566"/>
      <c r="AK753" s="566"/>
      <c r="AL753" s="566"/>
      <c r="AM753" s="566"/>
      <c r="AN753" s="566"/>
      <c r="AO753" s="566"/>
    </row>
    <row r="754" spans="2:41" x14ac:dyDescent="0.15">
      <c r="B754" s="567">
        <v>-10</v>
      </c>
      <c r="C754" s="566"/>
      <c r="D754" s="566"/>
      <c r="E754" s="566"/>
      <c r="F754" s="566"/>
      <c r="G754" s="566"/>
      <c r="H754" s="566"/>
      <c r="I754" s="566"/>
      <c r="J754" s="566"/>
      <c r="K754" s="566"/>
      <c r="L754" s="566"/>
      <c r="M754" s="566"/>
      <c r="N754" s="566"/>
      <c r="O754" s="566"/>
      <c r="P754" s="566"/>
      <c r="Q754" s="566"/>
      <c r="R754" s="566"/>
      <c r="S754" s="566"/>
      <c r="T754" s="566"/>
      <c r="U754" s="566"/>
      <c r="V754" s="566"/>
      <c r="W754" s="566"/>
      <c r="X754" s="566"/>
      <c r="Y754" s="566"/>
      <c r="Z754" s="566"/>
      <c r="AA754" s="566"/>
      <c r="AB754" s="566"/>
      <c r="AC754" s="566"/>
      <c r="AD754" s="566"/>
      <c r="AE754" s="566"/>
      <c r="AF754" s="566"/>
      <c r="AG754" s="566"/>
      <c r="AH754" s="566"/>
      <c r="AI754" s="566"/>
      <c r="AJ754" s="566"/>
      <c r="AK754" s="566"/>
      <c r="AL754" s="566"/>
      <c r="AM754" s="566"/>
      <c r="AN754" s="566"/>
      <c r="AO754" s="566"/>
    </row>
    <row r="755" spans="2:41" x14ac:dyDescent="0.15">
      <c r="B755" s="567">
        <v>-9</v>
      </c>
      <c r="C755" s="566"/>
      <c r="D755" s="566"/>
      <c r="E755" s="566"/>
      <c r="F755" s="566"/>
      <c r="G755" s="566"/>
      <c r="H755" s="566"/>
      <c r="I755" s="566"/>
      <c r="J755" s="566"/>
      <c r="K755" s="566"/>
      <c r="L755" s="566"/>
      <c r="M755" s="566"/>
      <c r="N755" s="566"/>
      <c r="O755" s="566"/>
      <c r="P755" s="566"/>
      <c r="Q755" s="566"/>
      <c r="R755" s="566"/>
      <c r="S755" s="566"/>
      <c r="T755" s="566"/>
      <c r="U755" s="566"/>
      <c r="V755" s="566"/>
      <c r="W755" s="566"/>
      <c r="X755" s="566"/>
      <c r="Y755" s="566"/>
      <c r="Z755" s="566"/>
      <c r="AA755" s="566"/>
      <c r="AB755" s="566"/>
      <c r="AC755" s="566"/>
      <c r="AD755" s="566"/>
      <c r="AE755" s="566"/>
      <c r="AF755" s="566"/>
      <c r="AG755" s="566"/>
      <c r="AH755" s="566"/>
      <c r="AI755" s="566"/>
      <c r="AJ755" s="566"/>
      <c r="AK755" s="566"/>
      <c r="AL755" s="566"/>
      <c r="AM755" s="566"/>
      <c r="AN755" s="566"/>
      <c r="AO755" s="566"/>
    </row>
    <row r="756" spans="2:41" x14ac:dyDescent="0.15">
      <c r="B756" s="567">
        <v>-8</v>
      </c>
      <c r="C756" s="566"/>
      <c r="D756" s="566"/>
      <c r="E756" s="566"/>
      <c r="F756" s="566"/>
      <c r="G756" s="566"/>
      <c r="H756" s="566"/>
      <c r="I756" s="566"/>
      <c r="J756" s="566"/>
      <c r="K756" s="566"/>
      <c r="L756" s="566"/>
      <c r="M756" s="566"/>
      <c r="N756" s="566"/>
      <c r="O756" s="566"/>
      <c r="P756" s="566"/>
      <c r="Q756" s="566"/>
      <c r="R756" s="566"/>
      <c r="S756" s="566"/>
      <c r="T756" s="566"/>
      <c r="U756" s="566"/>
      <c r="V756" s="566"/>
      <c r="W756" s="566"/>
      <c r="X756" s="566"/>
      <c r="Y756" s="566"/>
      <c r="Z756" s="566"/>
      <c r="AA756" s="566"/>
      <c r="AB756" s="566"/>
      <c r="AC756" s="566"/>
      <c r="AD756" s="566"/>
      <c r="AE756" s="566"/>
      <c r="AF756" s="566"/>
      <c r="AG756" s="566"/>
      <c r="AH756" s="566"/>
      <c r="AI756" s="566"/>
      <c r="AJ756" s="566"/>
      <c r="AK756" s="566"/>
      <c r="AL756" s="566"/>
      <c r="AM756" s="566"/>
      <c r="AN756" s="566"/>
      <c r="AO756" s="566"/>
    </row>
    <row r="757" spans="2:41" x14ac:dyDescent="0.15">
      <c r="B757" s="567">
        <v>-7</v>
      </c>
      <c r="C757" s="566"/>
      <c r="D757" s="566"/>
      <c r="E757" s="566"/>
      <c r="F757" s="566"/>
      <c r="G757" s="566"/>
      <c r="H757" s="566"/>
      <c r="I757" s="566"/>
      <c r="J757" s="566"/>
      <c r="K757" s="566"/>
      <c r="L757" s="566"/>
      <c r="M757" s="566"/>
      <c r="N757" s="566"/>
      <c r="O757" s="566"/>
      <c r="P757" s="566"/>
      <c r="Q757" s="566"/>
      <c r="R757" s="566"/>
      <c r="S757" s="566"/>
      <c r="T757" s="566"/>
      <c r="U757" s="566"/>
      <c r="V757" s="566"/>
      <c r="W757" s="566"/>
      <c r="X757" s="566"/>
      <c r="Y757" s="566"/>
      <c r="Z757" s="566"/>
      <c r="AA757" s="566"/>
      <c r="AB757" s="566"/>
      <c r="AC757" s="566"/>
      <c r="AD757" s="566"/>
      <c r="AE757" s="566"/>
      <c r="AF757" s="566"/>
      <c r="AG757" s="566"/>
      <c r="AH757" s="566"/>
      <c r="AI757" s="566"/>
      <c r="AJ757" s="566"/>
      <c r="AK757" s="566"/>
      <c r="AL757" s="566"/>
      <c r="AM757" s="566"/>
      <c r="AN757" s="566"/>
      <c r="AO757" s="566"/>
    </row>
    <row r="758" spans="2:41" x14ac:dyDescent="0.15">
      <c r="B758" s="567">
        <v>-6</v>
      </c>
      <c r="C758" s="566"/>
      <c r="D758" s="566"/>
      <c r="E758" s="566"/>
      <c r="F758" s="566"/>
      <c r="G758" s="566"/>
      <c r="H758" s="566"/>
      <c r="I758" s="566"/>
      <c r="J758" s="566"/>
      <c r="K758" s="566"/>
      <c r="L758" s="566"/>
      <c r="M758" s="566"/>
      <c r="N758" s="566"/>
      <c r="O758" s="566"/>
      <c r="P758" s="566"/>
      <c r="Q758" s="566"/>
      <c r="R758" s="566"/>
      <c r="S758" s="566"/>
      <c r="T758" s="566"/>
      <c r="U758" s="566"/>
      <c r="V758" s="566"/>
      <c r="W758" s="566"/>
      <c r="X758" s="566"/>
      <c r="Y758" s="566"/>
      <c r="Z758" s="566"/>
      <c r="AA758" s="566"/>
      <c r="AB758" s="566"/>
      <c r="AC758" s="566"/>
      <c r="AD758" s="566"/>
      <c r="AE758" s="566"/>
      <c r="AF758" s="566"/>
      <c r="AG758" s="566"/>
      <c r="AH758" s="566"/>
      <c r="AI758" s="566"/>
      <c r="AJ758" s="566"/>
      <c r="AK758" s="566"/>
      <c r="AL758" s="566"/>
      <c r="AM758" s="566"/>
      <c r="AN758" s="566"/>
      <c r="AO758" s="566"/>
    </row>
    <row r="759" spans="2:41" x14ac:dyDescent="0.15">
      <c r="B759" s="567">
        <v>-5</v>
      </c>
      <c r="C759" s="566"/>
      <c r="D759" s="566"/>
      <c r="E759" s="566"/>
      <c r="F759" s="566"/>
      <c r="G759" s="566"/>
      <c r="H759" s="566"/>
      <c r="I759" s="566"/>
      <c r="J759" s="566"/>
      <c r="K759" s="566"/>
      <c r="L759" s="566"/>
      <c r="M759" s="566"/>
      <c r="N759" s="566"/>
      <c r="O759" s="566"/>
      <c r="P759" s="566"/>
      <c r="Q759" s="566"/>
      <c r="R759" s="566"/>
      <c r="S759" s="566"/>
      <c r="T759" s="566"/>
      <c r="U759" s="566"/>
      <c r="V759" s="566"/>
      <c r="W759" s="566"/>
      <c r="X759" s="566"/>
      <c r="Y759" s="566"/>
      <c r="Z759" s="566"/>
      <c r="AA759" s="566"/>
      <c r="AB759" s="566"/>
      <c r="AC759" s="566"/>
      <c r="AD759" s="566"/>
      <c r="AE759" s="566"/>
      <c r="AF759" s="566"/>
      <c r="AG759" s="566"/>
      <c r="AH759" s="566"/>
      <c r="AI759" s="566"/>
      <c r="AJ759" s="566"/>
      <c r="AK759" s="566"/>
      <c r="AL759" s="566"/>
      <c r="AM759" s="566"/>
      <c r="AN759" s="566"/>
      <c r="AO759" s="566"/>
    </row>
    <row r="760" spans="2:41" x14ac:dyDescent="0.15">
      <c r="B760" s="567">
        <v>-4</v>
      </c>
      <c r="C760" s="566"/>
      <c r="D760" s="566"/>
      <c r="E760" s="566"/>
      <c r="F760" s="566"/>
      <c r="G760" s="566"/>
      <c r="H760" s="566"/>
      <c r="I760" s="566"/>
      <c r="J760" s="566"/>
      <c r="K760" s="566"/>
      <c r="L760" s="566"/>
      <c r="M760" s="566"/>
      <c r="N760" s="566"/>
      <c r="O760" s="566"/>
      <c r="P760" s="566"/>
      <c r="Q760" s="566"/>
      <c r="R760" s="566"/>
      <c r="S760" s="566"/>
      <c r="T760" s="566"/>
      <c r="U760" s="566"/>
      <c r="V760" s="566"/>
      <c r="W760" s="566"/>
      <c r="X760" s="566"/>
      <c r="Y760" s="566"/>
      <c r="Z760" s="566"/>
      <c r="AA760" s="566"/>
      <c r="AB760" s="566"/>
      <c r="AC760" s="566"/>
      <c r="AD760" s="566"/>
      <c r="AE760" s="566"/>
      <c r="AF760" s="566"/>
      <c r="AG760" s="566"/>
      <c r="AH760" s="566"/>
      <c r="AI760" s="566"/>
      <c r="AJ760" s="566"/>
      <c r="AK760" s="566"/>
      <c r="AL760" s="566"/>
      <c r="AM760" s="566"/>
      <c r="AN760" s="566"/>
      <c r="AO760" s="566"/>
    </row>
    <row r="761" spans="2:41" x14ac:dyDescent="0.15">
      <c r="B761" s="567">
        <v>-3</v>
      </c>
      <c r="C761" s="566"/>
      <c r="D761" s="566"/>
      <c r="E761" s="566"/>
      <c r="F761" s="566"/>
      <c r="G761" s="566"/>
      <c r="H761" s="566"/>
      <c r="I761" s="566"/>
      <c r="J761" s="566"/>
      <c r="K761" s="566"/>
      <c r="L761" s="566"/>
      <c r="M761" s="566"/>
      <c r="N761" s="566"/>
      <c r="O761" s="566"/>
      <c r="P761" s="566"/>
      <c r="Q761" s="566"/>
      <c r="R761" s="566"/>
      <c r="S761" s="566"/>
      <c r="T761" s="566"/>
      <c r="U761" s="566"/>
      <c r="V761" s="566"/>
      <c r="W761" s="566"/>
      <c r="X761" s="566"/>
      <c r="Y761" s="566"/>
      <c r="Z761" s="566"/>
      <c r="AA761" s="566"/>
      <c r="AB761" s="566"/>
      <c r="AC761" s="566"/>
      <c r="AD761" s="566"/>
      <c r="AE761" s="566"/>
      <c r="AF761" s="566"/>
      <c r="AG761" s="566"/>
      <c r="AH761" s="566"/>
      <c r="AI761" s="566"/>
      <c r="AJ761" s="566"/>
      <c r="AK761" s="566"/>
      <c r="AL761" s="566"/>
      <c r="AM761" s="566"/>
      <c r="AN761" s="566"/>
      <c r="AO761" s="566"/>
    </row>
    <row r="762" spans="2:41" x14ac:dyDescent="0.15">
      <c r="B762" s="567">
        <v>-2</v>
      </c>
      <c r="C762" s="566"/>
      <c r="D762" s="566"/>
      <c r="E762" s="566"/>
      <c r="F762" s="566"/>
      <c r="G762" s="566"/>
      <c r="H762" s="566"/>
      <c r="I762" s="566"/>
      <c r="J762" s="566"/>
      <c r="K762" s="566"/>
      <c r="L762" s="566"/>
      <c r="M762" s="566"/>
      <c r="N762" s="566"/>
      <c r="O762" s="566"/>
      <c r="P762" s="566"/>
      <c r="Q762" s="566"/>
      <c r="R762" s="566"/>
      <c r="S762" s="566"/>
      <c r="T762" s="566"/>
      <c r="U762" s="566"/>
      <c r="V762" s="566"/>
      <c r="W762" s="566"/>
      <c r="X762" s="566"/>
      <c r="Y762" s="566"/>
      <c r="Z762" s="566"/>
      <c r="AA762" s="566"/>
      <c r="AB762" s="566"/>
      <c r="AC762" s="566"/>
      <c r="AD762" s="566"/>
      <c r="AE762" s="566"/>
      <c r="AF762" s="566"/>
      <c r="AG762" s="566"/>
      <c r="AH762" s="566"/>
      <c r="AI762" s="566"/>
      <c r="AJ762" s="566"/>
      <c r="AK762" s="566"/>
      <c r="AL762" s="566"/>
      <c r="AM762" s="566"/>
      <c r="AN762" s="566"/>
      <c r="AO762" s="566"/>
    </row>
    <row r="763" spans="2:41" x14ac:dyDescent="0.15">
      <c r="B763" s="567">
        <v>-1</v>
      </c>
      <c r="C763" s="566"/>
      <c r="D763" s="566"/>
      <c r="E763" s="566"/>
      <c r="F763" s="566"/>
      <c r="G763" s="566"/>
      <c r="H763" s="566"/>
      <c r="I763" s="566"/>
      <c r="J763" s="566"/>
      <c r="K763" s="566"/>
      <c r="L763" s="566"/>
      <c r="M763" s="566"/>
      <c r="N763" s="566"/>
      <c r="O763" s="566"/>
      <c r="P763" s="566"/>
      <c r="Q763" s="566"/>
      <c r="R763" s="566"/>
      <c r="S763" s="566"/>
      <c r="T763" s="566"/>
      <c r="U763" s="566"/>
      <c r="V763" s="566"/>
      <c r="W763" s="566"/>
      <c r="X763" s="566"/>
      <c r="Y763" s="566"/>
      <c r="Z763" s="566"/>
      <c r="AA763" s="566"/>
      <c r="AB763" s="566"/>
      <c r="AC763" s="566"/>
      <c r="AD763" s="566"/>
      <c r="AE763" s="566"/>
      <c r="AF763" s="566"/>
      <c r="AG763" s="566"/>
      <c r="AH763" s="566"/>
      <c r="AI763" s="566"/>
      <c r="AJ763" s="566"/>
      <c r="AK763" s="566"/>
      <c r="AL763" s="566"/>
      <c r="AM763" s="566"/>
      <c r="AN763" s="566"/>
      <c r="AO763" s="566"/>
    </row>
    <row r="764" spans="2:41" x14ac:dyDescent="0.15">
      <c r="B764" s="567">
        <v>0</v>
      </c>
      <c r="C764" s="566"/>
      <c r="D764" s="566"/>
      <c r="E764" s="566"/>
      <c r="F764" s="566"/>
      <c r="G764" s="566"/>
      <c r="H764" s="566"/>
      <c r="I764" s="566"/>
      <c r="J764" s="566"/>
      <c r="K764" s="566"/>
      <c r="L764" s="566"/>
      <c r="M764" s="566"/>
      <c r="N764" s="566"/>
      <c r="O764" s="566"/>
      <c r="P764" s="566"/>
      <c r="Q764" s="566"/>
      <c r="R764" s="566"/>
      <c r="S764" s="566"/>
      <c r="T764" s="566"/>
      <c r="U764" s="566"/>
      <c r="V764" s="566"/>
      <c r="W764" s="566"/>
      <c r="X764" s="566"/>
      <c r="Y764" s="566"/>
      <c r="Z764" s="566"/>
      <c r="AA764" s="566"/>
      <c r="AB764" s="566"/>
      <c r="AC764" s="566"/>
      <c r="AD764" s="566"/>
      <c r="AE764" s="566"/>
      <c r="AF764" s="566"/>
      <c r="AG764" s="566"/>
      <c r="AH764" s="566"/>
      <c r="AI764" s="566"/>
      <c r="AJ764" s="566"/>
      <c r="AK764" s="566"/>
      <c r="AL764" s="566"/>
      <c r="AM764" s="566"/>
      <c r="AN764" s="566"/>
      <c r="AO764" s="566"/>
    </row>
    <row r="765" spans="2:41" x14ac:dyDescent="0.15">
      <c r="B765" s="567">
        <v>1</v>
      </c>
      <c r="C765" s="566"/>
      <c r="D765" s="566"/>
      <c r="E765" s="566"/>
      <c r="F765" s="566"/>
      <c r="G765" s="566"/>
      <c r="H765" s="566"/>
      <c r="I765" s="566"/>
      <c r="J765" s="566"/>
      <c r="K765" s="566"/>
      <c r="L765" s="566"/>
      <c r="M765" s="566"/>
      <c r="N765" s="566"/>
      <c r="O765" s="566"/>
      <c r="P765" s="566"/>
      <c r="Q765" s="566"/>
      <c r="R765" s="566"/>
      <c r="S765" s="566"/>
      <c r="T765" s="566"/>
      <c r="U765" s="566"/>
      <c r="V765" s="566"/>
      <c r="W765" s="566"/>
      <c r="X765" s="566"/>
      <c r="Y765" s="566"/>
      <c r="Z765" s="566"/>
      <c r="AA765" s="566"/>
      <c r="AB765" s="566"/>
      <c r="AC765" s="566"/>
      <c r="AD765" s="566"/>
      <c r="AE765" s="566"/>
      <c r="AF765" s="566"/>
      <c r="AG765" s="566"/>
      <c r="AH765" s="566"/>
      <c r="AI765" s="566"/>
      <c r="AJ765" s="566"/>
      <c r="AK765" s="566"/>
      <c r="AL765" s="566"/>
      <c r="AM765" s="566"/>
      <c r="AN765" s="566"/>
      <c r="AO765" s="566"/>
    </row>
    <row r="766" spans="2:41" x14ac:dyDescent="0.15">
      <c r="B766" s="567">
        <v>2</v>
      </c>
      <c r="C766" s="566"/>
      <c r="D766" s="566"/>
      <c r="E766" s="566"/>
      <c r="F766" s="566"/>
      <c r="G766" s="566"/>
      <c r="H766" s="566"/>
      <c r="I766" s="566"/>
      <c r="J766" s="566"/>
      <c r="K766" s="566"/>
      <c r="L766" s="566"/>
      <c r="M766" s="566"/>
      <c r="N766" s="566"/>
      <c r="O766" s="566"/>
      <c r="P766" s="566"/>
      <c r="Q766" s="566"/>
      <c r="R766" s="566"/>
      <c r="S766" s="566"/>
      <c r="T766" s="566"/>
      <c r="U766" s="566"/>
      <c r="V766" s="566"/>
      <c r="W766" s="566"/>
      <c r="X766" s="566"/>
      <c r="Y766" s="566"/>
      <c r="Z766" s="566"/>
      <c r="AA766" s="566"/>
      <c r="AB766" s="566"/>
      <c r="AC766" s="566"/>
      <c r="AD766" s="566"/>
      <c r="AE766" s="566"/>
      <c r="AF766" s="566"/>
      <c r="AG766" s="566"/>
      <c r="AH766" s="566"/>
      <c r="AI766" s="566"/>
      <c r="AJ766" s="566"/>
      <c r="AK766" s="566"/>
      <c r="AL766" s="566"/>
      <c r="AM766" s="566"/>
      <c r="AN766" s="566"/>
      <c r="AO766" s="566"/>
    </row>
    <row r="767" spans="2:41" x14ac:dyDescent="0.15">
      <c r="B767" s="567">
        <v>3</v>
      </c>
      <c r="C767" s="566"/>
      <c r="D767" s="566"/>
      <c r="E767" s="566"/>
      <c r="F767" s="566"/>
      <c r="G767" s="566"/>
      <c r="H767" s="566"/>
      <c r="I767" s="566"/>
      <c r="J767" s="566"/>
      <c r="K767" s="566"/>
      <c r="L767" s="566"/>
      <c r="M767" s="566"/>
      <c r="N767" s="566"/>
      <c r="O767" s="566"/>
      <c r="P767" s="566"/>
      <c r="Q767" s="566"/>
      <c r="R767" s="566"/>
      <c r="S767" s="566"/>
      <c r="T767" s="566"/>
      <c r="U767" s="566"/>
      <c r="V767" s="566"/>
      <c r="W767" s="566"/>
      <c r="X767" s="566"/>
      <c r="Y767" s="566"/>
      <c r="Z767" s="566"/>
      <c r="AA767" s="566"/>
      <c r="AB767" s="566"/>
      <c r="AC767" s="566"/>
      <c r="AD767" s="566"/>
      <c r="AE767" s="566"/>
      <c r="AF767" s="566"/>
      <c r="AG767" s="566"/>
      <c r="AH767" s="566"/>
      <c r="AI767" s="566"/>
      <c r="AJ767" s="566"/>
      <c r="AK767" s="566"/>
      <c r="AL767" s="566"/>
      <c r="AM767" s="566"/>
      <c r="AN767" s="566"/>
      <c r="AO767" s="566"/>
    </row>
    <row r="768" spans="2:41" x14ac:dyDescent="0.15">
      <c r="B768" s="567">
        <v>4</v>
      </c>
      <c r="C768" s="566"/>
      <c r="D768" s="566"/>
      <c r="E768" s="566"/>
      <c r="F768" s="566"/>
      <c r="G768" s="566"/>
      <c r="H768" s="566"/>
      <c r="I768" s="566"/>
      <c r="J768" s="566"/>
      <c r="K768" s="566"/>
      <c r="L768" s="566"/>
      <c r="M768" s="566"/>
      <c r="N768" s="566"/>
      <c r="O768" s="566"/>
      <c r="P768" s="566"/>
      <c r="Q768" s="566"/>
      <c r="R768" s="566"/>
      <c r="S768" s="566"/>
      <c r="T768" s="566"/>
      <c r="U768" s="566"/>
      <c r="V768" s="566"/>
      <c r="W768" s="566"/>
      <c r="X768" s="566"/>
      <c r="Y768" s="566"/>
      <c r="Z768" s="566"/>
      <c r="AA768" s="566"/>
      <c r="AB768" s="566"/>
      <c r="AC768" s="566"/>
      <c r="AD768" s="566"/>
      <c r="AE768" s="566"/>
      <c r="AF768" s="566"/>
      <c r="AG768" s="566"/>
      <c r="AH768" s="566"/>
      <c r="AI768" s="566"/>
      <c r="AJ768" s="566"/>
      <c r="AK768" s="566"/>
      <c r="AL768" s="566"/>
      <c r="AM768" s="566"/>
      <c r="AN768" s="566"/>
      <c r="AO768" s="566"/>
    </row>
    <row r="769" spans="2:41" x14ac:dyDescent="0.15">
      <c r="B769" s="567">
        <v>5</v>
      </c>
      <c r="C769" s="566"/>
      <c r="D769" s="566"/>
      <c r="E769" s="566"/>
      <c r="F769" s="566"/>
      <c r="G769" s="566"/>
      <c r="H769" s="566"/>
      <c r="I769" s="566"/>
      <c r="J769" s="566"/>
      <c r="K769" s="566"/>
      <c r="L769" s="566"/>
      <c r="M769" s="566"/>
      <c r="N769" s="566"/>
      <c r="O769" s="566"/>
      <c r="P769" s="566"/>
      <c r="Q769" s="566"/>
      <c r="R769" s="566"/>
      <c r="S769" s="566"/>
      <c r="T769" s="566"/>
      <c r="U769" s="566"/>
      <c r="V769" s="566"/>
      <c r="W769" s="566"/>
      <c r="X769" s="566"/>
      <c r="Y769" s="566"/>
      <c r="Z769" s="566"/>
      <c r="AA769" s="566"/>
      <c r="AB769" s="566"/>
      <c r="AC769" s="566"/>
      <c r="AD769" s="566"/>
      <c r="AE769" s="566"/>
      <c r="AF769" s="566"/>
      <c r="AG769" s="566"/>
      <c r="AH769" s="566"/>
      <c r="AI769" s="566"/>
      <c r="AJ769" s="566"/>
      <c r="AK769" s="566"/>
      <c r="AL769" s="566"/>
      <c r="AM769" s="566"/>
      <c r="AN769" s="566"/>
      <c r="AO769" s="566"/>
    </row>
    <row r="770" spans="2:41" x14ac:dyDescent="0.15">
      <c r="B770" s="567">
        <v>6</v>
      </c>
      <c r="C770" s="566"/>
      <c r="D770" s="566"/>
      <c r="E770" s="566"/>
      <c r="F770" s="566"/>
      <c r="G770" s="566"/>
      <c r="H770" s="566"/>
      <c r="I770" s="566"/>
      <c r="J770" s="566"/>
      <c r="K770" s="566"/>
      <c r="L770" s="566"/>
      <c r="M770" s="566"/>
      <c r="N770" s="566"/>
      <c r="O770" s="566"/>
      <c r="P770" s="566"/>
      <c r="Q770" s="566"/>
      <c r="R770" s="566"/>
      <c r="S770" s="566"/>
      <c r="T770" s="566"/>
      <c r="U770" s="566"/>
      <c r="V770" s="566"/>
      <c r="W770" s="566"/>
      <c r="X770" s="566"/>
      <c r="Y770" s="566"/>
      <c r="Z770" s="566"/>
      <c r="AA770" s="566"/>
      <c r="AB770" s="566"/>
      <c r="AC770" s="566"/>
      <c r="AD770" s="566"/>
      <c r="AE770" s="566"/>
      <c r="AF770" s="566"/>
      <c r="AG770" s="566"/>
      <c r="AH770" s="566"/>
      <c r="AI770" s="566"/>
      <c r="AJ770" s="566"/>
      <c r="AK770" s="566"/>
      <c r="AL770" s="566"/>
      <c r="AM770" s="566"/>
      <c r="AN770" s="566"/>
      <c r="AO770" s="566"/>
    </row>
    <row r="771" spans="2:41" x14ac:dyDescent="0.15">
      <c r="B771" s="567">
        <v>7</v>
      </c>
      <c r="C771" s="566"/>
      <c r="D771" s="566"/>
      <c r="E771" s="566"/>
      <c r="F771" s="566"/>
      <c r="G771" s="566"/>
      <c r="H771" s="566"/>
      <c r="I771" s="566"/>
      <c r="J771" s="566"/>
      <c r="K771" s="566"/>
      <c r="L771" s="566"/>
      <c r="M771" s="566"/>
      <c r="N771" s="566"/>
      <c r="O771" s="566"/>
      <c r="P771" s="566"/>
      <c r="Q771" s="566"/>
      <c r="R771" s="566"/>
      <c r="S771" s="566"/>
      <c r="T771" s="566"/>
      <c r="U771" s="566"/>
      <c r="V771" s="566"/>
      <c r="W771" s="566"/>
      <c r="X771" s="566"/>
      <c r="Y771" s="566"/>
      <c r="Z771" s="566"/>
      <c r="AA771" s="566"/>
      <c r="AB771" s="566"/>
      <c r="AC771" s="566"/>
      <c r="AD771" s="566"/>
      <c r="AE771" s="566"/>
      <c r="AF771" s="566"/>
      <c r="AG771" s="566"/>
      <c r="AH771" s="566"/>
      <c r="AI771" s="566"/>
      <c r="AJ771" s="566"/>
      <c r="AK771" s="566"/>
      <c r="AL771" s="566"/>
      <c r="AM771" s="566"/>
      <c r="AN771" s="566"/>
      <c r="AO771" s="566"/>
    </row>
    <row r="772" spans="2:41" x14ac:dyDescent="0.15">
      <c r="B772" s="567">
        <v>8</v>
      </c>
      <c r="C772" s="566"/>
      <c r="D772" s="566"/>
      <c r="E772" s="566"/>
      <c r="F772" s="566"/>
      <c r="G772" s="566"/>
      <c r="H772" s="566"/>
      <c r="I772" s="566"/>
      <c r="J772" s="566"/>
      <c r="K772" s="566"/>
      <c r="L772" s="566"/>
      <c r="M772" s="566"/>
      <c r="N772" s="566"/>
      <c r="O772" s="566"/>
      <c r="P772" s="566"/>
      <c r="Q772" s="566"/>
      <c r="R772" s="566"/>
      <c r="S772" s="566"/>
      <c r="T772" s="566"/>
      <c r="U772" s="566"/>
      <c r="V772" s="566"/>
      <c r="W772" s="566"/>
      <c r="X772" s="566"/>
      <c r="Y772" s="566"/>
      <c r="Z772" s="566"/>
      <c r="AA772" s="566"/>
      <c r="AB772" s="566"/>
      <c r="AC772" s="566"/>
      <c r="AD772" s="566"/>
      <c r="AE772" s="566"/>
      <c r="AF772" s="566"/>
      <c r="AG772" s="566"/>
      <c r="AH772" s="566"/>
      <c r="AI772" s="566"/>
      <c r="AJ772" s="566"/>
      <c r="AK772" s="566"/>
      <c r="AL772" s="566"/>
      <c r="AM772" s="566"/>
      <c r="AN772" s="566"/>
      <c r="AO772" s="566"/>
    </row>
    <row r="773" spans="2:41" x14ac:dyDescent="0.15">
      <c r="B773" s="567">
        <v>9</v>
      </c>
      <c r="C773" s="566"/>
      <c r="D773" s="566"/>
      <c r="E773" s="566"/>
      <c r="F773" s="566"/>
      <c r="G773" s="566"/>
      <c r="H773" s="566"/>
      <c r="I773" s="566"/>
      <c r="J773" s="566"/>
      <c r="K773" s="566"/>
      <c r="L773" s="566"/>
      <c r="M773" s="566"/>
      <c r="N773" s="566"/>
      <c r="O773" s="566"/>
      <c r="P773" s="566"/>
      <c r="Q773" s="566"/>
      <c r="R773" s="566"/>
      <c r="S773" s="566"/>
      <c r="T773" s="566"/>
      <c r="U773" s="566"/>
      <c r="V773" s="566"/>
      <c r="W773" s="566"/>
      <c r="X773" s="566"/>
      <c r="Y773" s="566"/>
      <c r="Z773" s="566"/>
      <c r="AA773" s="566"/>
      <c r="AB773" s="566"/>
      <c r="AC773" s="566"/>
      <c r="AD773" s="566"/>
      <c r="AE773" s="566"/>
      <c r="AF773" s="566"/>
      <c r="AG773" s="566"/>
      <c r="AH773" s="566"/>
      <c r="AI773" s="566"/>
      <c r="AJ773" s="566"/>
      <c r="AK773" s="566"/>
      <c r="AL773" s="566"/>
      <c r="AM773" s="566"/>
      <c r="AN773" s="566"/>
      <c r="AO773" s="566"/>
    </row>
    <row r="774" spans="2:41" x14ac:dyDescent="0.15">
      <c r="B774" s="567">
        <v>10</v>
      </c>
      <c r="C774" s="566"/>
      <c r="D774" s="566"/>
      <c r="E774" s="566"/>
      <c r="F774" s="566"/>
      <c r="G774" s="566"/>
      <c r="H774" s="566"/>
      <c r="I774" s="566"/>
      <c r="J774" s="566"/>
      <c r="K774" s="566"/>
      <c r="L774" s="566"/>
      <c r="M774" s="566"/>
      <c r="N774" s="566"/>
      <c r="O774" s="566"/>
      <c r="P774" s="566"/>
      <c r="Q774" s="566"/>
      <c r="R774" s="566"/>
      <c r="S774" s="566"/>
      <c r="T774" s="566"/>
      <c r="U774" s="566"/>
      <c r="V774" s="566"/>
      <c r="W774" s="566"/>
      <c r="X774" s="566"/>
      <c r="Y774" s="566"/>
      <c r="Z774" s="566"/>
      <c r="AA774" s="566"/>
      <c r="AB774" s="566"/>
      <c r="AC774" s="566"/>
      <c r="AD774" s="566"/>
      <c r="AE774" s="566"/>
      <c r="AF774" s="566"/>
      <c r="AG774" s="566"/>
      <c r="AH774" s="566"/>
      <c r="AI774" s="566"/>
      <c r="AJ774" s="566"/>
      <c r="AK774" s="566"/>
      <c r="AL774" s="566"/>
      <c r="AM774" s="566"/>
      <c r="AN774" s="566"/>
      <c r="AO774" s="566"/>
    </row>
    <row r="775" spans="2:41" x14ac:dyDescent="0.15">
      <c r="B775" s="567">
        <v>11</v>
      </c>
      <c r="C775" s="566"/>
      <c r="D775" s="566"/>
      <c r="E775" s="566"/>
      <c r="F775" s="566"/>
      <c r="G775" s="566"/>
      <c r="H775" s="566"/>
      <c r="I775" s="566"/>
      <c r="J775" s="566"/>
      <c r="K775" s="566"/>
      <c r="L775" s="566"/>
      <c r="M775" s="566"/>
      <c r="N775" s="566"/>
      <c r="O775" s="566"/>
      <c r="P775" s="566"/>
      <c r="Q775" s="566"/>
      <c r="R775" s="566"/>
      <c r="S775" s="566"/>
      <c r="T775" s="566"/>
      <c r="U775" s="566"/>
      <c r="V775" s="566"/>
      <c r="W775" s="566"/>
      <c r="X775" s="566"/>
      <c r="Y775" s="566"/>
      <c r="Z775" s="566"/>
      <c r="AA775" s="566"/>
      <c r="AB775" s="566"/>
      <c r="AC775" s="566"/>
      <c r="AD775" s="566"/>
      <c r="AE775" s="566"/>
      <c r="AF775" s="566"/>
      <c r="AG775" s="566"/>
      <c r="AH775" s="566"/>
      <c r="AI775" s="566"/>
      <c r="AJ775" s="566"/>
      <c r="AK775" s="566"/>
      <c r="AL775" s="566"/>
      <c r="AM775" s="566"/>
      <c r="AN775" s="566"/>
      <c r="AO775" s="566"/>
    </row>
    <row r="776" spans="2:41" x14ac:dyDescent="0.15">
      <c r="B776" s="567">
        <v>12</v>
      </c>
      <c r="C776" s="566"/>
      <c r="D776" s="566"/>
      <c r="E776" s="566"/>
      <c r="F776" s="566"/>
      <c r="G776" s="566"/>
      <c r="H776" s="566"/>
      <c r="I776" s="566"/>
      <c r="J776" s="566"/>
      <c r="K776" s="566"/>
      <c r="L776" s="566"/>
      <c r="M776" s="566"/>
      <c r="N776" s="566"/>
      <c r="O776" s="566"/>
      <c r="P776" s="566"/>
      <c r="Q776" s="566"/>
      <c r="R776" s="566"/>
      <c r="S776" s="566"/>
      <c r="T776" s="566"/>
      <c r="U776" s="566"/>
      <c r="V776" s="566"/>
      <c r="W776" s="566"/>
      <c r="X776" s="566"/>
      <c r="Y776" s="566"/>
      <c r="Z776" s="566"/>
      <c r="AA776" s="566"/>
      <c r="AB776" s="566"/>
      <c r="AC776" s="566"/>
      <c r="AD776" s="566"/>
      <c r="AE776" s="566"/>
      <c r="AF776" s="566"/>
      <c r="AG776" s="566"/>
      <c r="AH776" s="566"/>
      <c r="AI776" s="566"/>
      <c r="AJ776" s="566"/>
      <c r="AK776" s="566"/>
      <c r="AL776" s="566"/>
      <c r="AM776" s="566"/>
      <c r="AN776" s="566"/>
      <c r="AO776" s="566"/>
    </row>
    <row r="777" spans="2:41" x14ac:dyDescent="0.15">
      <c r="B777" s="567">
        <v>13</v>
      </c>
      <c r="C777" s="566"/>
      <c r="D777" s="566"/>
      <c r="E777" s="566"/>
      <c r="F777" s="566"/>
      <c r="G777" s="566"/>
      <c r="H777" s="566"/>
      <c r="I777" s="566"/>
      <c r="J777" s="566"/>
      <c r="K777" s="566"/>
      <c r="L777" s="566"/>
      <c r="M777" s="566"/>
      <c r="N777" s="566"/>
      <c r="O777" s="566"/>
      <c r="P777" s="566"/>
      <c r="Q777" s="566"/>
      <c r="R777" s="566"/>
      <c r="S777" s="566"/>
      <c r="T777" s="566"/>
      <c r="U777" s="566"/>
      <c r="V777" s="566"/>
      <c r="W777" s="566"/>
      <c r="X777" s="566"/>
      <c r="Y777" s="566"/>
      <c r="Z777" s="566"/>
      <c r="AA777" s="566"/>
      <c r="AB777" s="566"/>
      <c r="AC777" s="566"/>
      <c r="AD777" s="566"/>
      <c r="AE777" s="566"/>
      <c r="AF777" s="566"/>
      <c r="AG777" s="566"/>
      <c r="AH777" s="566"/>
      <c r="AI777" s="566"/>
      <c r="AJ777" s="566"/>
      <c r="AK777" s="566"/>
      <c r="AL777" s="566"/>
      <c r="AM777" s="566"/>
      <c r="AN777" s="566"/>
      <c r="AO777" s="566"/>
    </row>
    <row r="778" spans="2:41" x14ac:dyDescent="0.15">
      <c r="B778" s="567">
        <v>14</v>
      </c>
      <c r="C778" s="566"/>
      <c r="D778" s="566"/>
      <c r="E778" s="566"/>
      <c r="F778" s="566"/>
      <c r="G778" s="566"/>
      <c r="H778" s="566"/>
      <c r="I778" s="566"/>
      <c r="J778" s="566"/>
      <c r="K778" s="566"/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  <c r="V778" s="566"/>
      <c r="W778" s="566"/>
      <c r="X778" s="566"/>
      <c r="Y778" s="566"/>
      <c r="Z778" s="566"/>
      <c r="AA778" s="566"/>
      <c r="AB778" s="566"/>
      <c r="AC778" s="566"/>
      <c r="AD778" s="566"/>
      <c r="AE778" s="566"/>
      <c r="AF778" s="566"/>
      <c r="AG778" s="566"/>
      <c r="AH778" s="566"/>
      <c r="AI778" s="566"/>
      <c r="AJ778" s="566"/>
      <c r="AK778" s="566"/>
      <c r="AL778" s="566"/>
      <c r="AM778" s="566"/>
      <c r="AN778" s="566"/>
      <c r="AO778" s="566"/>
    </row>
    <row r="779" spans="2:41" x14ac:dyDescent="0.15">
      <c r="B779" s="567">
        <v>15</v>
      </c>
      <c r="C779" s="566"/>
      <c r="D779" s="566"/>
      <c r="E779" s="566"/>
      <c r="F779" s="566"/>
      <c r="G779" s="566"/>
      <c r="H779" s="566"/>
      <c r="I779" s="566"/>
      <c r="J779" s="566"/>
      <c r="K779" s="566"/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  <c r="V779" s="566"/>
      <c r="W779" s="566"/>
      <c r="X779" s="566"/>
      <c r="Y779" s="566"/>
      <c r="Z779" s="566"/>
      <c r="AA779" s="566"/>
      <c r="AB779" s="566"/>
      <c r="AC779" s="566"/>
      <c r="AD779" s="566"/>
      <c r="AE779" s="566"/>
      <c r="AF779" s="566"/>
      <c r="AG779" s="566"/>
      <c r="AH779" s="566"/>
      <c r="AI779" s="566"/>
      <c r="AJ779" s="566"/>
      <c r="AK779" s="566"/>
      <c r="AL779" s="566"/>
      <c r="AM779" s="566"/>
      <c r="AN779" s="566"/>
      <c r="AO779" s="566"/>
    </row>
    <row r="780" spans="2:41" x14ac:dyDescent="0.15">
      <c r="B780" s="567">
        <v>16</v>
      </c>
      <c r="C780" s="566"/>
      <c r="D780" s="566"/>
      <c r="E780" s="566"/>
      <c r="F780" s="566"/>
      <c r="G780" s="566"/>
      <c r="H780" s="566"/>
      <c r="I780" s="566"/>
      <c r="J780" s="566"/>
      <c r="K780" s="566"/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  <c r="V780" s="566"/>
      <c r="W780" s="566"/>
      <c r="X780" s="566"/>
      <c r="Y780" s="566"/>
      <c r="Z780" s="566"/>
      <c r="AA780" s="566"/>
      <c r="AB780" s="566"/>
      <c r="AC780" s="566"/>
      <c r="AD780" s="566"/>
      <c r="AE780" s="566"/>
      <c r="AF780" s="566"/>
      <c r="AG780" s="566"/>
      <c r="AH780" s="566"/>
      <c r="AI780" s="566"/>
      <c r="AJ780" s="566"/>
      <c r="AK780" s="566"/>
      <c r="AL780" s="566"/>
      <c r="AM780" s="566"/>
      <c r="AN780" s="566"/>
      <c r="AO780" s="566"/>
    </row>
    <row r="781" spans="2:41" x14ac:dyDescent="0.15">
      <c r="B781" s="567">
        <v>17</v>
      </c>
      <c r="C781" s="566"/>
      <c r="D781" s="566"/>
      <c r="E781" s="566"/>
      <c r="F781" s="566"/>
      <c r="G781" s="566"/>
      <c r="H781" s="566"/>
      <c r="I781" s="566"/>
      <c r="J781" s="566"/>
      <c r="K781" s="566"/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  <c r="V781" s="566"/>
      <c r="W781" s="566"/>
      <c r="X781" s="566"/>
      <c r="Y781" s="566"/>
      <c r="Z781" s="566"/>
      <c r="AA781" s="566"/>
      <c r="AB781" s="566"/>
      <c r="AC781" s="566"/>
      <c r="AD781" s="566"/>
      <c r="AE781" s="566"/>
      <c r="AF781" s="566"/>
      <c r="AG781" s="566"/>
      <c r="AH781" s="566"/>
      <c r="AI781" s="566"/>
      <c r="AJ781" s="566"/>
      <c r="AK781" s="566"/>
      <c r="AL781" s="566"/>
      <c r="AM781" s="566"/>
      <c r="AN781" s="566"/>
      <c r="AO781" s="566"/>
    </row>
    <row r="782" spans="2:41" x14ac:dyDescent="0.15">
      <c r="B782" s="567">
        <v>18</v>
      </c>
      <c r="C782" s="566"/>
      <c r="D782" s="566"/>
      <c r="E782" s="566"/>
      <c r="F782" s="566"/>
      <c r="G782" s="566"/>
      <c r="H782" s="566"/>
      <c r="I782" s="566"/>
      <c r="J782" s="566"/>
      <c r="K782" s="566"/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  <c r="V782" s="566"/>
      <c r="W782" s="566"/>
      <c r="X782" s="566"/>
      <c r="Y782" s="566"/>
      <c r="Z782" s="566"/>
      <c r="AA782" s="566"/>
      <c r="AB782" s="566"/>
      <c r="AC782" s="566"/>
      <c r="AD782" s="566"/>
      <c r="AE782" s="566"/>
      <c r="AF782" s="566"/>
      <c r="AG782" s="566"/>
      <c r="AH782" s="566"/>
      <c r="AI782" s="566"/>
      <c r="AJ782" s="566"/>
      <c r="AK782" s="566"/>
      <c r="AL782" s="566"/>
      <c r="AM782" s="566"/>
      <c r="AN782" s="566"/>
      <c r="AO782" s="566"/>
    </row>
    <row r="783" spans="2:41" x14ac:dyDescent="0.15">
      <c r="B783" s="567">
        <v>19</v>
      </c>
      <c r="C783" s="566"/>
      <c r="D783" s="566"/>
      <c r="E783" s="566"/>
      <c r="F783" s="566"/>
      <c r="G783" s="566"/>
      <c r="H783" s="566"/>
      <c r="I783" s="566"/>
      <c r="J783" s="566"/>
      <c r="K783" s="566"/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  <c r="V783" s="566"/>
      <c r="W783" s="566"/>
      <c r="X783" s="566"/>
      <c r="Y783" s="566"/>
      <c r="Z783" s="566"/>
      <c r="AA783" s="566"/>
      <c r="AB783" s="566"/>
      <c r="AC783" s="566"/>
      <c r="AD783" s="566"/>
      <c r="AE783" s="566"/>
      <c r="AF783" s="566"/>
      <c r="AG783" s="566"/>
      <c r="AH783" s="566"/>
      <c r="AI783" s="566"/>
      <c r="AJ783" s="566"/>
      <c r="AK783" s="566"/>
      <c r="AL783" s="566"/>
      <c r="AM783" s="566"/>
      <c r="AN783" s="566"/>
      <c r="AO783" s="566"/>
    </row>
    <row r="784" spans="2:41" x14ac:dyDescent="0.15">
      <c r="B784" s="567">
        <v>20</v>
      </c>
      <c r="C784" s="566"/>
      <c r="D784" s="566"/>
      <c r="E784" s="566"/>
      <c r="F784" s="566"/>
      <c r="G784" s="566"/>
      <c r="H784" s="566"/>
      <c r="I784" s="566"/>
      <c r="J784" s="566"/>
      <c r="K784" s="566"/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  <c r="V784" s="566"/>
      <c r="W784" s="566"/>
      <c r="X784" s="566"/>
      <c r="Y784" s="566"/>
      <c r="Z784" s="566"/>
      <c r="AA784" s="566"/>
      <c r="AB784" s="566"/>
      <c r="AC784" s="566"/>
      <c r="AD784" s="566"/>
      <c r="AE784" s="566"/>
      <c r="AF784" s="566"/>
      <c r="AG784" s="566"/>
      <c r="AH784" s="566"/>
      <c r="AI784" s="566"/>
      <c r="AJ784" s="566"/>
      <c r="AK784" s="566"/>
      <c r="AL784" s="566"/>
      <c r="AM784" s="566"/>
      <c r="AN784" s="566"/>
      <c r="AO784" s="566"/>
    </row>
    <row r="785" spans="2:41" x14ac:dyDescent="0.15">
      <c r="B785" s="567">
        <v>21</v>
      </c>
      <c r="C785" s="566"/>
      <c r="D785" s="566"/>
      <c r="E785" s="566"/>
      <c r="F785" s="566"/>
      <c r="G785" s="566"/>
      <c r="H785" s="566"/>
      <c r="I785" s="566"/>
      <c r="J785" s="566"/>
      <c r="K785" s="566"/>
      <c r="L785" s="566"/>
      <c r="M785" s="566"/>
      <c r="N785" s="566"/>
      <c r="O785" s="566"/>
      <c r="P785" s="566"/>
      <c r="Q785" s="566"/>
      <c r="R785" s="566"/>
      <c r="S785" s="566"/>
      <c r="T785" s="566"/>
      <c r="U785" s="566"/>
      <c r="V785" s="566"/>
      <c r="W785" s="566"/>
      <c r="X785" s="566"/>
      <c r="Y785" s="566"/>
      <c r="Z785" s="566"/>
      <c r="AA785" s="566"/>
      <c r="AB785" s="566"/>
      <c r="AC785" s="566"/>
      <c r="AD785" s="566"/>
      <c r="AE785" s="566"/>
      <c r="AF785" s="566"/>
      <c r="AG785" s="566"/>
      <c r="AH785" s="566"/>
      <c r="AI785" s="566"/>
      <c r="AJ785" s="566"/>
      <c r="AK785" s="566"/>
      <c r="AL785" s="566"/>
      <c r="AM785" s="566"/>
      <c r="AN785" s="566"/>
      <c r="AO785" s="566"/>
    </row>
    <row r="786" spans="2:41" x14ac:dyDescent="0.15">
      <c r="B786" s="567">
        <v>22</v>
      </c>
      <c r="C786" s="566"/>
      <c r="D786" s="566"/>
      <c r="E786" s="566"/>
      <c r="F786" s="566"/>
      <c r="G786" s="566"/>
      <c r="H786" s="566"/>
      <c r="I786" s="566"/>
      <c r="J786" s="566"/>
      <c r="K786" s="566"/>
      <c r="L786" s="566"/>
      <c r="M786" s="566"/>
      <c r="N786" s="566"/>
      <c r="O786" s="566"/>
      <c r="P786" s="566"/>
      <c r="Q786" s="566"/>
      <c r="R786" s="566"/>
      <c r="S786" s="566"/>
      <c r="T786" s="566"/>
      <c r="U786" s="566"/>
      <c r="V786" s="566"/>
      <c r="W786" s="566"/>
      <c r="X786" s="566"/>
      <c r="Y786" s="566"/>
      <c r="Z786" s="566"/>
      <c r="AA786" s="566"/>
      <c r="AB786" s="566"/>
      <c r="AC786" s="566"/>
      <c r="AD786" s="566"/>
      <c r="AE786" s="566"/>
      <c r="AF786" s="566"/>
      <c r="AG786" s="566"/>
      <c r="AH786" s="566"/>
      <c r="AI786" s="566"/>
      <c r="AJ786" s="566"/>
      <c r="AK786" s="566"/>
      <c r="AL786" s="566"/>
      <c r="AM786" s="566"/>
      <c r="AN786" s="566"/>
      <c r="AO786" s="566"/>
    </row>
    <row r="787" spans="2:41" x14ac:dyDescent="0.15">
      <c r="B787" s="567">
        <v>23</v>
      </c>
      <c r="C787" s="566"/>
      <c r="D787" s="566"/>
      <c r="E787" s="566"/>
      <c r="F787" s="566"/>
      <c r="G787" s="566"/>
      <c r="H787" s="566"/>
      <c r="I787" s="566"/>
      <c r="J787" s="566"/>
      <c r="K787" s="566"/>
      <c r="L787" s="566"/>
      <c r="M787" s="566"/>
      <c r="N787" s="566"/>
      <c r="O787" s="566"/>
      <c r="P787" s="566"/>
      <c r="Q787" s="566"/>
      <c r="R787" s="566"/>
      <c r="S787" s="566"/>
      <c r="T787" s="566"/>
      <c r="U787" s="566"/>
      <c r="V787" s="566"/>
      <c r="W787" s="566"/>
      <c r="X787" s="566"/>
      <c r="Y787" s="566"/>
      <c r="Z787" s="566"/>
      <c r="AA787" s="566"/>
      <c r="AB787" s="566"/>
      <c r="AC787" s="566"/>
      <c r="AD787" s="566"/>
      <c r="AE787" s="566"/>
      <c r="AF787" s="566"/>
      <c r="AG787" s="566"/>
      <c r="AH787" s="566"/>
      <c r="AI787" s="566"/>
      <c r="AJ787" s="566"/>
      <c r="AK787" s="566"/>
      <c r="AL787" s="566"/>
      <c r="AM787" s="566"/>
      <c r="AN787" s="566"/>
      <c r="AO787" s="566"/>
    </row>
    <row r="788" spans="2:41" x14ac:dyDescent="0.15">
      <c r="B788" s="567">
        <v>24</v>
      </c>
      <c r="C788" s="566"/>
      <c r="D788" s="566"/>
      <c r="E788" s="566"/>
      <c r="F788" s="566"/>
      <c r="G788" s="566"/>
      <c r="H788" s="566"/>
      <c r="I788" s="566"/>
      <c r="J788" s="566"/>
      <c r="K788" s="566"/>
      <c r="L788" s="566"/>
      <c r="M788" s="566"/>
      <c r="N788" s="566"/>
      <c r="O788" s="566"/>
      <c r="P788" s="566"/>
      <c r="Q788" s="566"/>
      <c r="R788" s="566"/>
      <c r="S788" s="566"/>
      <c r="T788" s="566"/>
      <c r="U788" s="566"/>
      <c r="V788" s="566"/>
      <c r="W788" s="566"/>
      <c r="X788" s="566"/>
      <c r="Y788" s="566"/>
      <c r="Z788" s="566"/>
      <c r="AA788" s="566"/>
      <c r="AB788" s="566"/>
      <c r="AC788" s="566"/>
      <c r="AD788" s="566"/>
      <c r="AE788" s="566"/>
      <c r="AF788" s="566"/>
      <c r="AG788" s="566"/>
      <c r="AH788" s="566"/>
      <c r="AI788" s="566"/>
      <c r="AJ788" s="566"/>
      <c r="AK788" s="566"/>
      <c r="AL788" s="566"/>
      <c r="AM788" s="566"/>
      <c r="AN788" s="566"/>
      <c r="AO788" s="566"/>
    </row>
    <row r="789" spans="2:41" x14ac:dyDescent="0.15">
      <c r="B789" s="567">
        <v>25</v>
      </c>
      <c r="C789" s="566"/>
      <c r="D789" s="566"/>
      <c r="E789" s="566"/>
      <c r="F789" s="566"/>
      <c r="G789" s="566"/>
      <c r="H789" s="566"/>
      <c r="I789" s="566"/>
      <c r="J789" s="566"/>
      <c r="K789" s="566"/>
      <c r="L789" s="566"/>
      <c r="M789" s="566"/>
      <c r="N789" s="566"/>
      <c r="O789" s="566"/>
      <c r="P789" s="566"/>
      <c r="Q789" s="566"/>
      <c r="R789" s="566"/>
      <c r="S789" s="566"/>
      <c r="T789" s="566"/>
      <c r="U789" s="566"/>
      <c r="V789" s="566"/>
      <c r="W789" s="566"/>
      <c r="X789" s="566"/>
      <c r="Y789" s="566"/>
      <c r="Z789" s="566"/>
      <c r="AA789" s="566"/>
      <c r="AB789" s="566"/>
      <c r="AC789" s="566"/>
      <c r="AD789" s="566"/>
      <c r="AE789" s="566"/>
      <c r="AF789" s="566"/>
      <c r="AG789" s="566"/>
      <c r="AH789" s="566"/>
      <c r="AI789" s="566"/>
      <c r="AJ789" s="566"/>
      <c r="AK789" s="566"/>
      <c r="AL789" s="566"/>
      <c r="AM789" s="566"/>
      <c r="AN789" s="566"/>
      <c r="AO789" s="566"/>
    </row>
    <row r="790" spans="2:41" x14ac:dyDescent="0.15">
      <c r="B790" s="567">
        <v>26</v>
      </c>
      <c r="C790" s="566"/>
      <c r="D790" s="566"/>
      <c r="E790" s="566"/>
      <c r="F790" s="566"/>
      <c r="G790" s="566"/>
      <c r="H790" s="566"/>
      <c r="I790" s="566"/>
      <c r="J790" s="566"/>
      <c r="K790" s="566"/>
      <c r="L790" s="566"/>
      <c r="M790" s="566"/>
      <c r="N790" s="566"/>
      <c r="O790" s="566"/>
      <c r="P790" s="566"/>
      <c r="Q790" s="566"/>
      <c r="R790" s="566"/>
      <c r="S790" s="566"/>
      <c r="T790" s="566"/>
      <c r="U790" s="566"/>
      <c r="V790" s="566"/>
      <c r="W790" s="566"/>
      <c r="X790" s="566"/>
      <c r="Y790" s="566"/>
      <c r="Z790" s="566"/>
      <c r="AA790" s="566"/>
      <c r="AB790" s="566"/>
      <c r="AC790" s="566"/>
      <c r="AD790" s="566"/>
      <c r="AE790" s="566"/>
      <c r="AF790" s="566"/>
      <c r="AG790" s="566"/>
      <c r="AH790" s="566"/>
      <c r="AI790" s="566"/>
      <c r="AJ790" s="566"/>
      <c r="AK790" s="566"/>
      <c r="AL790" s="566"/>
      <c r="AM790" s="566"/>
      <c r="AN790" s="566"/>
      <c r="AO790" s="566"/>
    </row>
    <row r="791" spans="2:41" x14ac:dyDescent="0.15">
      <c r="B791" s="567">
        <v>27</v>
      </c>
      <c r="C791" s="566"/>
      <c r="D791" s="566"/>
      <c r="E791" s="566"/>
      <c r="F791" s="566"/>
      <c r="G791" s="566"/>
      <c r="H791" s="566"/>
      <c r="I791" s="566"/>
      <c r="J791" s="566"/>
      <c r="K791" s="566"/>
      <c r="L791" s="566"/>
      <c r="M791" s="566"/>
      <c r="N791" s="566"/>
      <c r="O791" s="566"/>
      <c r="P791" s="566"/>
      <c r="Q791" s="566"/>
      <c r="R791" s="566"/>
      <c r="S791" s="566"/>
      <c r="T791" s="566"/>
      <c r="U791" s="566"/>
      <c r="V791" s="566"/>
      <c r="W791" s="566"/>
      <c r="X791" s="566"/>
      <c r="Y791" s="566"/>
      <c r="Z791" s="566"/>
      <c r="AA791" s="566"/>
      <c r="AB791" s="566"/>
      <c r="AC791" s="566"/>
      <c r="AD791" s="566"/>
      <c r="AE791" s="566"/>
      <c r="AF791" s="566"/>
      <c r="AG791" s="566"/>
      <c r="AH791" s="566"/>
      <c r="AI791" s="566"/>
      <c r="AJ791" s="566"/>
      <c r="AK791" s="566"/>
      <c r="AL791" s="566"/>
      <c r="AM791" s="566"/>
      <c r="AN791" s="566"/>
      <c r="AO791" s="566"/>
    </row>
    <row r="792" spans="2:41" x14ac:dyDescent="0.15">
      <c r="B792" s="567">
        <v>28</v>
      </c>
      <c r="C792" s="566"/>
      <c r="D792" s="566"/>
      <c r="E792" s="566"/>
      <c r="F792" s="566"/>
      <c r="G792" s="566"/>
      <c r="H792" s="566"/>
      <c r="I792" s="566"/>
      <c r="J792" s="566"/>
      <c r="K792" s="566"/>
      <c r="L792" s="566"/>
      <c r="M792" s="566"/>
      <c r="N792" s="566"/>
      <c r="O792" s="566"/>
      <c r="P792" s="566"/>
      <c r="Q792" s="566"/>
      <c r="R792" s="566"/>
      <c r="S792" s="566"/>
      <c r="T792" s="566"/>
      <c r="U792" s="566"/>
      <c r="V792" s="566"/>
      <c r="W792" s="566"/>
      <c r="X792" s="566"/>
      <c r="Y792" s="566"/>
      <c r="Z792" s="566"/>
      <c r="AA792" s="566"/>
      <c r="AB792" s="566"/>
      <c r="AC792" s="566"/>
      <c r="AD792" s="566"/>
      <c r="AE792" s="566"/>
      <c r="AF792" s="566"/>
      <c r="AG792" s="566"/>
      <c r="AH792" s="566"/>
      <c r="AI792" s="566"/>
      <c r="AJ792" s="566"/>
      <c r="AK792" s="566"/>
      <c r="AL792" s="566"/>
      <c r="AM792" s="566"/>
      <c r="AN792" s="566"/>
      <c r="AO792" s="566"/>
    </row>
    <row r="793" spans="2:41" x14ac:dyDescent="0.15">
      <c r="B793" s="567">
        <v>29</v>
      </c>
      <c r="C793" s="566"/>
      <c r="D793" s="566"/>
      <c r="E793" s="566"/>
      <c r="F793" s="566"/>
      <c r="G793" s="566"/>
      <c r="H793" s="566"/>
      <c r="I793" s="566"/>
      <c r="J793" s="566"/>
      <c r="K793" s="566"/>
      <c r="L793" s="566"/>
      <c r="M793" s="566"/>
      <c r="N793" s="566"/>
      <c r="O793" s="566"/>
      <c r="P793" s="566"/>
      <c r="Q793" s="566"/>
      <c r="R793" s="566"/>
      <c r="S793" s="566"/>
      <c r="T793" s="566"/>
      <c r="U793" s="566"/>
      <c r="V793" s="566"/>
      <c r="W793" s="566"/>
      <c r="X793" s="566"/>
      <c r="Y793" s="566"/>
      <c r="Z793" s="566"/>
      <c r="AA793" s="566"/>
      <c r="AB793" s="566"/>
      <c r="AC793" s="566"/>
      <c r="AD793" s="566"/>
      <c r="AE793" s="566"/>
      <c r="AF793" s="566"/>
      <c r="AG793" s="566"/>
      <c r="AH793" s="566"/>
      <c r="AI793" s="566"/>
      <c r="AJ793" s="566"/>
      <c r="AK793" s="566"/>
      <c r="AL793" s="566"/>
      <c r="AM793" s="566"/>
      <c r="AN793" s="566"/>
      <c r="AO793" s="566"/>
    </row>
    <row r="794" spans="2:41" x14ac:dyDescent="0.15">
      <c r="B794" s="567">
        <v>30</v>
      </c>
      <c r="C794" s="566"/>
      <c r="D794" s="566"/>
      <c r="E794" s="566"/>
      <c r="F794" s="566"/>
      <c r="G794" s="566"/>
      <c r="H794" s="566"/>
      <c r="I794" s="566"/>
      <c r="J794" s="566"/>
      <c r="K794" s="566"/>
      <c r="L794" s="566"/>
      <c r="M794" s="566"/>
      <c r="N794" s="566"/>
      <c r="O794" s="566"/>
      <c r="P794" s="566"/>
      <c r="Q794" s="566"/>
      <c r="R794" s="566"/>
      <c r="S794" s="566"/>
      <c r="T794" s="566"/>
      <c r="U794" s="566"/>
      <c r="V794" s="566"/>
      <c r="W794" s="566"/>
      <c r="X794" s="566"/>
      <c r="Y794" s="566"/>
      <c r="Z794" s="566"/>
      <c r="AA794" s="566"/>
      <c r="AB794" s="566"/>
      <c r="AC794" s="566"/>
      <c r="AD794" s="566"/>
      <c r="AE794" s="566"/>
      <c r="AF794" s="566"/>
      <c r="AG794" s="566"/>
      <c r="AH794" s="566"/>
      <c r="AI794" s="566"/>
      <c r="AJ794" s="566"/>
      <c r="AK794" s="566"/>
      <c r="AL794" s="566"/>
      <c r="AM794" s="566"/>
      <c r="AN794" s="566"/>
      <c r="AO794" s="566"/>
    </row>
    <row r="795" spans="2:41" x14ac:dyDescent="0.15">
      <c r="B795" s="567">
        <v>31</v>
      </c>
      <c r="C795" s="566"/>
      <c r="D795" s="566"/>
      <c r="E795" s="566"/>
      <c r="F795" s="566"/>
      <c r="G795" s="566"/>
      <c r="H795" s="566"/>
      <c r="I795" s="566"/>
      <c r="J795" s="566"/>
      <c r="K795" s="566"/>
      <c r="L795" s="566"/>
      <c r="M795" s="566"/>
      <c r="N795" s="566"/>
      <c r="O795" s="566"/>
      <c r="P795" s="566"/>
      <c r="Q795" s="566"/>
      <c r="R795" s="566"/>
      <c r="S795" s="566"/>
      <c r="T795" s="566"/>
      <c r="U795" s="566"/>
      <c r="V795" s="566"/>
      <c r="W795" s="566"/>
      <c r="X795" s="566"/>
      <c r="Y795" s="566"/>
      <c r="Z795" s="566"/>
      <c r="AA795" s="566"/>
      <c r="AB795" s="566"/>
      <c r="AC795" s="566"/>
      <c r="AD795" s="566"/>
      <c r="AE795" s="566"/>
      <c r="AF795" s="566"/>
      <c r="AG795" s="566"/>
      <c r="AH795" s="566"/>
      <c r="AI795" s="566"/>
      <c r="AJ795" s="566"/>
      <c r="AK795" s="566"/>
      <c r="AL795" s="566"/>
      <c r="AM795" s="566"/>
      <c r="AN795" s="566"/>
      <c r="AO795" s="566"/>
    </row>
    <row r="796" spans="2:41" x14ac:dyDescent="0.15">
      <c r="B796" s="567">
        <v>32</v>
      </c>
      <c r="C796" s="566"/>
      <c r="D796" s="566"/>
      <c r="E796" s="566"/>
      <c r="F796" s="566"/>
      <c r="G796" s="566"/>
      <c r="H796" s="566"/>
      <c r="I796" s="566"/>
      <c r="J796" s="566"/>
      <c r="K796" s="566"/>
      <c r="L796" s="566"/>
      <c r="M796" s="566"/>
      <c r="N796" s="566"/>
      <c r="O796" s="566"/>
      <c r="P796" s="566"/>
      <c r="Q796" s="566"/>
      <c r="R796" s="566"/>
      <c r="S796" s="566"/>
      <c r="T796" s="566"/>
      <c r="U796" s="566"/>
      <c r="V796" s="566"/>
      <c r="W796" s="566"/>
      <c r="X796" s="566"/>
      <c r="Y796" s="566"/>
      <c r="Z796" s="566"/>
      <c r="AA796" s="566"/>
      <c r="AB796" s="566"/>
      <c r="AC796" s="566"/>
      <c r="AD796" s="566"/>
      <c r="AE796" s="566"/>
      <c r="AF796" s="566"/>
      <c r="AG796" s="566"/>
      <c r="AH796" s="566"/>
      <c r="AI796" s="566"/>
      <c r="AJ796" s="566"/>
      <c r="AK796" s="566"/>
      <c r="AL796" s="566"/>
      <c r="AM796" s="566"/>
      <c r="AN796" s="566"/>
      <c r="AO796" s="566"/>
    </row>
    <row r="797" spans="2:41" x14ac:dyDescent="0.15">
      <c r="B797" s="567">
        <v>33</v>
      </c>
      <c r="C797" s="566"/>
      <c r="D797" s="566"/>
      <c r="E797" s="566"/>
      <c r="F797" s="566"/>
      <c r="G797" s="566"/>
      <c r="H797" s="566"/>
      <c r="I797" s="566"/>
      <c r="J797" s="566"/>
      <c r="K797" s="566"/>
      <c r="L797" s="566"/>
      <c r="M797" s="566"/>
      <c r="N797" s="566"/>
      <c r="O797" s="566"/>
      <c r="P797" s="566"/>
      <c r="Q797" s="566"/>
      <c r="R797" s="566"/>
      <c r="S797" s="566"/>
      <c r="T797" s="566"/>
      <c r="U797" s="566"/>
      <c r="V797" s="566"/>
      <c r="W797" s="566"/>
      <c r="X797" s="566"/>
      <c r="Y797" s="566"/>
      <c r="Z797" s="566"/>
      <c r="AA797" s="566"/>
      <c r="AB797" s="566"/>
      <c r="AC797" s="566"/>
      <c r="AD797" s="566"/>
      <c r="AE797" s="566"/>
      <c r="AF797" s="566"/>
      <c r="AG797" s="566"/>
      <c r="AH797" s="566"/>
      <c r="AI797" s="566"/>
      <c r="AJ797" s="566"/>
      <c r="AK797" s="566"/>
      <c r="AL797" s="566"/>
      <c r="AM797" s="566"/>
      <c r="AN797" s="566"/>
      <c r="AO797" s="566"/>
    </row>
    <row r="798" spans="2:41" x14ac:dyDescent="0.15">
      <c r="B798" s="567">
        <v>34</v>
      </c>
      <c r="C798" s="566"/>
      <c r="D798" s="566"/>
      <c r="E798" s="566"/>
      <c r="F798" s="566"/>
      <c r="G798" s="566"/>
      <c r="H798" s="566"/>
      <c r="I798" s="566"/>
      <c r="J798" s="566"/>
      <c r="K798" s="566"/>
      <c r="L798" s="566"/>
      <c r="M798" s="566"/>
      <c r="N798" s="566"/>
      <c r="O798" s="566"/>
      <c r="P798" s="566"/>
      <c r="Q798" s="566"/>
      <c r="R798" s="566"/>
      <c r="S798" s="566"/>
      <c r="T798" s="566"/>
      <c r="U798" s="566"/>
      <c r="V798" s="566"/>
      <c r="W798" s="566"/>
      <c r="X798" s="566"/>
      <c r="Y798" s="566"/>
      <c r="Z798" s="566"/>
      <c r="AA798" s="566"/>
      <c r="AB798" s="566"/>
      <c r="AC798" s="566"/>
      <c r="AD798" s="566"/>
      <c r="AE798" s="566"/>
      <c r="AF798" s="566"/>
      <c r="AG798" s="566"/>
      <c r="AH798" s="566"/>
      <c r="AI798" s="566"/>
      <c r="AJ798" s="566"/>
      <c r="AK798" s="566"/>
      <c r="AL798" s="566"/>
      <c r="AM798" s="566"/>
      <c r="AN798" s="566"/>
      <c r="AO798" s="566"/>
    </row>
    <row r="799" spans="2:41" x14ac:dyDescent="0.15">
      <c r="B799" s="567">
        <v>35</v>
      </c>
      <c r="C799" s="566"/>
      <c r="D799" s="566"/>
      <c r="E799" s="566"/>
      <c r="F799" s="566"/>
      <c r="G799" s="566"/>
      <c r="H799" s="566"/>
      <c r="I799" s="566"/>
      <c r="J799" s="566"/>
      <c r="K799" s="566"/>
      <c r="L799" s="566"/>
      <c r="M799" s="566"/>
      <c r="N799" s="566"/>
      <c r="O799" s="566"/>
      <c r="P799" s="566"/>
      <c r="Q799" s="566"/>
      <c r="R799" s="566"/>
      <c r="S799" s="566"/>
      <c r="T799" s="566"/>
      <c r="U799" s="566"/>
      <c r="V799" s="566"/>
      <c r="W799" s="566"/>
      <c r="X799" s="566"/>
      <c r="Y799" s="566"/>
      <c r="Z799" s="566"/>
      <c r="AA799" s="566"/>
      <c r="AB799" s="566"/>
      <c r="AC799" s="566"/>
      <c r="AD799" s="566"/>
      <c r="AE799" s="566"/>
      <c r="AF799" s="566"/>
      <c r="AG799" s="566"/>
      <c r="AH799" s="566"/>
      <c r="AI799" s="566"/>
      <c r="AJ799" s="566"/>
      <c r="AK799" s="566"/>
      <c r="AL799" s="566"/>
      <c r="AM799" s="566"/>
      <c r="AN799" s="566"/>
      <c r="AO799" s="566"/>
    </row>
    <row r="800" spans="2:41" x14ac:dyDescent="0.15">
      <c r="B800" s="567">
        <v>36</v>
      </c>
      <c r="C800" s="566"/>
      <c r="D800" s="566"/>
      <c r="E800" s="566"/>
      <c r="F800" s="566"/>
      <c r="G800" s="566"/>
      <c r="H800" s="566"/>
      <c r="I800" s="566"/>
      <c r="J800" s="566"/>
      <c r="K800" s="566"/>
      <c r="L800" s="566"/>
      <c r="M800" s="566"/>
      <c r="N800" s="566"/>
      <c r="O800" s="566"/>
      <c r="P800" s="566"/>
      <c r="Q800" s="566"/>
      <c r="R800" s="566"/>
      <c r="S800" s="566"/>
      <c r="T800" s="566"/>
      <c r="U800" s="566"/>
      <c r="V800" s="566"/>
      <c r="W800" s="566"/>
      <c r="X800" s="566"/>
      <c r="Y800" s="566"/>
      <c r="Z800" s="566"/>
      <c r="AA800" s="566"/>
      <c r="AB800" s="566"/>
      <c r="AC800" s="566"/>
      <c r="AD800" s="566"/>
      <c r="AE800" s="566"/>
      <c r="AF800" s="566"/>
      <c r="AG800" s="566"/>
      <c r="AH800" s="566"/>
      <c r="AI800" s="566"/>
      <c r="AJ800" s="566"/>
      <c r="AK800" s="566"/>
      <c r="AL800" s="566"/>
      <c r="AM800" s="566"/>
      <c r="AN800" s="566"/>
      <c r="AO800" s="566"/>
    </row>
    <row r="801" spans="2:41" x14ac:dyDescent="0.15">
      <c r="B801" s="567">
        <v>37</v>
      </c>
      <c r="C801" s="566"/>
      <c r="D801" s="566"/>
      <c r="E801" s="566"/>
      <c r="F801" s="566"/>
      <c r="G801" s="566"/>
      <c r="H801" s="566"/>
      <c r="I801" s="566"/>
      <c r="J801" s="566"/>
      <c r="K801" s="566"/>
      <c r="L801" s="566"/>
      <c r="M801" s="566"/>
      <c r="N801" s="566"/>
      <c r="O801" s="566"/>
      <c r="P801" s="566"/>
      <c r="Q801" s="566"/>
      <c r="R801" s="566"/>
      <c r="S801" s="566"/>
      <c r="T801" s="566"/>
      <c r="U801" s="566"/>
      <c r="V801" s="566"/>
      <c r="W801" s="566"/>
      <c r="X801" s="566"/>
      <c r="Y801" s="566"/>
      <c r="Z801" s="566"/>
      <c r="AA801" s="566"/>
      <c r="AB801" s="566"/>
      <c r="AC801" s="566"/>
      <c r="AD801" s="566"/>
      <c r="AE801" s="566"/>
      <c r="AF801" s="566"/>
      <c r="AG801" s="566"/>
      <c r="AH801" s="566"/>
      <c r="AI801" s="566"/>
      <c r="AJ801" s="566"/>
      <c r="AK801" s="566"/>
      <c r="AL801" s="566"/>
      <c r="AM801" s="566"/>
      <c r="AN801" s="566"/>
      <c r="AO801" s="566"/>
    </row>
    <row r="802" spans="2:41" x14ac:dyDescent="0.15">
      <c r="B802" s="567">
        <v>38</v>
      </c>
      <c r="C802" s="566"/>
      <c r="D802" s="566"/>
      <c r="E802" s="566"/>
      <c r="F802" s="566"/>
      <c r="G802" s="566"/>
      <c r="H802" s="566"/>
      <c r="I802" s="566"/>
      <c r="J802" s="566"/>
      <c r="K802" s="566"/>
      <c r="L802" s="566"/>
      <c r="M802" s="566"/>
      <c r="N802" s="566"/>
      <c r="O802" s="566"/>
      <c r="P802" s="566"/>
      <c r="Q802" s="566"/>
      <c r="R802" s="566"/>
      <c r="S802" s="566"/>
      <c r="T802" s="566"/>
      <c r="U802" s="566"/>
      <c r="V802" s="566"/>
      <c r="W802" s="566"/>
      <c r="X802" s="566"/>
      <c r="Y802" s="566"/>
      <c r="Z802" s="566"/>
      <c r="AA802" s="566"/>
      <c r="AB802" s="566"/>
      <c r="AC802" s="566"/>
      <c r="AD802" s="566"/>
      <c r="AE802" s="566"/>
      <c r="AF802" s="566"/>
      <c r="AG802" s="566"/>
      <c r="AH802" s="566"/>
      <c r="AI802" s="566"/>
      <c r="AJ802" s="566"/>
      <c r="AK802" s="566"/>
      <c r="AL802" s="566"/>
      <c r="AM802" s="566"/>
      <c r="AN802" s="566"/>
      <c r="AO802" s="566"/>
    </row>
    <row r="803" spans="2:41" x14ac:dyDescent="0.15">
      <c r="B803" s="567">
        <v>39</v>
      </c>
      <c r="C803" s="566"/>
      <c r="D803" s="566"/>
      <c r="E803" s="566"/>
      <c r="F803" s="566"/>
      <c r="G803" s="566"/>
      <c r="H803" s="566"/>
      <c r="I803" s="566"/>
      <c r="J803" s="566"/>
      <c r="K803" s="566"/>
      <c r="L803" s="566"/>
      <c r="M803" s="566"/>
      <c r="N803" s="566"/>
      <c r="O803" s="566"/>
      <c r="P803" s="566"/>
      <c r="Q803" s="566"/>
      <c r="R803" s="566"/>
      <c r="S803" s="566"/>
      <c r="T803" s="566"/>
      <c r="U803" s="566"/>
      <c r="V803" s="566"/>
      <c r="W803" s="566"/>
      <c r="X803" s="566"/>
      <c r="Y803" s="566"/>
      <c r="Z803" s="566"/>
      <c r="AA803" s="566"/>
      <c r="AB803" s="566"/>
      <c r="AC803" s="566"/>
      <c r="AD803" s="566"/>
      <c r="AE803" s="566"/>
      <c r="AF803" s="566"/>
      <c r="AG803" s="566"/>
      <c r="AH803" s="566"/>
      <c r="AI803" s="566"/>
      <c r="AJ803" s="566"/>
      <c r="AK803" s="566"/>
      <c r="AL803" s="566"/>
      <c r="AM803" s="566"/>
      <c r="AN803" s="566"/>
      <c r="AO803" s="566"/>
    </row>
    <row r="804" spans="2:41" x14ac:dyDescent="0.15">
      <c r="B804" s="568">
        <v>40</v>
      </c>
      <c r="C804" s="566"/>
      <c r="D804" s="566"/>
      <c r="E804" s="566"/>
      <c r="F804" s="566"/>
      <c r="G804" s="566"/>
      <c r="H804" s="566"/>
      <c r="I804" s="566"/>
      <c r="J804" s="566"/>
      <c r="K804" s="566"/>
      <c r="L804" s="566"/>
      <c r="M804" s="566"/>
      <c r="N804" s="566"/>
      <c r="O804" s="566"/>
      <c r="P804" s="566"/>
      <c r="Q804" s="566"/>
      <c r="R804" s="566"/>
      <c r="S804" s="566"/>
      <c r="T804" s="566"/>
      <c r="U804" s="566"/>
      <c r="V804" s="566"/>
      <c r="W804" s="566"/>
      <c r="X804" s="566"/>
      <c r="Y804" s="566"/>
      <c r="Z804" s="566"/>
      <c r="AA804" s="566"/>
      <c r="AB804" s="566"/>
      <c r="AC804" s="566"/>
      <c r="AD804" s="566"/>
      <c r="AE804" s="566"/>
      <c r="AF804" s="566"/>
      <c r="AG804" s="566"/>
      <c r="AH804" s="566"/>
      <c r="AI804" s="566"/>
      <c r="AJ804" s="566"/>
      <c r="AK804" s="566"/>
      <c r="AL804" s="566"/>
      <c r="AM804" s="566"/>
      <c r="AN804" s="566"/>
      <c r="AO804" s="566"/>
    </row>
    <row r="813" spans="2:41" s="563" customFormat="1" ht="14" x14ac:dyDescent="0.15">
      <c r="B813" s="560" t="str" cm="1">
        <f t="array" ref="B813:AO813">TRANSPOSE('Syötä kaupungit KIRJASTOLINKIT!'!$K$1:$K$40)</f>
        <v>MAA 10</v>
      </c>
      <c r="C813" s="564">
        <v>0</v>
      </c>
      <c r="D813" s="564">
        <v>0</v>
      </c>
      <c r="E813" s="564">
        <v>0</v>
      </c>
      <c r="F813" s="564">
        <v>0</v>
      </c>
      <c r="G813" s="564">
        <v>0</v>
      </c>
      <c r="H813" s="564">
        <v>0</v>
      </c>
      <c r="I813" s="564">
        <v>0</v>
      </c>
      <c r="J813" s="564">
        <v>0</v>
      </c>
      <c r="K813" s="564">
        <v>0</v>
      </c>
      <c r="L813" s="564">
        <v>0</v>
      </c>
      <c r="M813" s="564">
        <v>0</v>
      </c>
      <c r="N813" s="564">
        <v>0</v>
      </c>
      <c r="O813" s="564">
        <v>0</v>
      </c>
      <c r="P813" s="564">
        <v>0</v>
      </c>
      <c r="Q813" s="564">
        <v>0</v>
      </c>
      <c r="R813" s="564">
        <v>0</v>
      </c>
      <c r="S813" s="564">
        <v>0</v>
      </c>
      <c r="T813" s="564">
        <v>0</v>
      </c>
      <c r="U813" s="564">
        <v>0</v>
      </c>
      <c r="V813" s="564">
        <v>0</v>
      </c>
      <c r="W813" s="564">
        <v>0</v>
      </c>
      <c r="X813" s="564">
        <v>0</v>
      </c>
      <c r="Y813" s="564">
        <v>0</v>
      </c>
      <c r="Z813" s="564">
        <v>0</v>
      </c>
      <c r="AA813" s="564">
        <v>0</v>
      </c>
      <c r="AB813" s="564">
        <v>0</v>
      </c>
      <c r="AC813" s="564">
        <v>0</v>
      </c>
      <c r="AD813" s="564">
        <v>0</v>
      </c>
      <c r="AE813" s="564">
        <v>0</v>
      </c>
      <c r="AF813" s="564">
        <v>0</v>
      </c>
      <c r="AG813" s="564">
        <v>0</v>
      </c>
      <c r="AH813" s="564">
        <v>0</v>
      </c>
      <c r="AI813" s="564">
        <v>0</v>
      </c>
      <c r="AJ813" s="564">
        <v>0</v>
      </c>
      <c r="AK813" s="564">
        <v>0</v>
      </c>
      <c r="AL813" s="564">
        <v>0</v>
      </c>
      <c r="AM813" s="564">
        <v>0</v>
      </c>
      <c r="AN813" s="564">
        <v>0</v>
      </c>
      <c r="AO813" s="564">
        <v>0</v>
      </c>
    </row>
    <row r="814" spans="2:41" x14ac:dyDescent="0.15">
      <c r="B814" s="565">
        <v>-40</v>
      </c>
      <c r="C814" s="566"/>
      <c r="D814" s="566"/>
      <c r="E814" s="566"/>
      <c r="F814" s="566"/>
      <c r="G814" s="566"/>
      <c r="H814" s="566"/>
      <c r="I814" s="566"/>
      <c r="J814" s="566"/>
      <c r="K814" s="566"/>
      <c r="L814" s="566"/>
      <c r="M814" s="566"/>
      <c r="N814" s="566"/>
      <c r="O814" s="566"/>
      <c r="P814" s="566"/>
      <c r="Q814" s="566"/>
      <c r="R814" s="566"/>
      <c r="S814" s="566"/>
      <c r="T814" s="566"/>
      <c r="U814" s="566"/>
      <c r="V814" s="566"/>
      <c r="W814" s="566"/>
      <c r="X814" s="566"/>
      <c r="Y814" s="566"/>
      <c r="Z814" s="566"/>
      <c r="AA814" s="566"/>
      <c r="AB814" s="566"/>
      <c r="AC814" s="566"/>
      <c r="AD814" s="566"/>
      <c r="AE814" s="566"/>
      <c r="AF814" s="566"/>
      <c r="AG814" s="566"/>
      <c r="AH814" s="566"/>
      <c r="AI814" s="566"/>
      <c r="AJ814" s="566"/>
      <c r="AK814" s="566"/>
      <c r="AL814" s="566"/>
      <c r="AM814" s="566"/>
      <c r="AN814" s="566"/>
      <c r="AO814" s="566"/>
    </row>
    <row r="815" spans="2:41" x14ac:dyDescent="0.15">
      <c r="B815" s="567">
        <v>-39</v>
      </c>
      <c r="C815" s="566"/>
      <c r="D815" s="566"/>
      <c r="E815" s="566"/>
      <c r="F815" s="566"/>
      <c r="G815" s="566"/>
      <c r="H815" s="566"/>
      <c r="I815" s="566"/>
      <c r="J815" s="566"/>
      <c r="K815" s="566"/>
      <c r="L815" s="566"/>
      <c r="M815" s="566"/>
      <c r="N815" s="566"/>
      <c r="O815" s="566"/>
      <c r="P815" s="566"/>
      <c r="Q815" s="566"/>
      <c r="R815" s="566"/>
      <c r="S815" s="566"/>
      <c r="T815" s="566"/>
      <c r="U815" s="566"/>
      <c r="V815" s="566"/>
      <c r="W815" s="566"/>
      <c r="X815" s="566"/>
      <c r="Y815" s="566"/>
      <c r="Z815" s="566"/>
      <c r="AA815" s="566"/>
      <c r="AB815" s="566"/>
      <c r="AC815" s="566"/>
      <c r="AD815" s="566"/>
      <c r="AE815" s="566"/>
      <c r="AF815" s="566"/>
      <c r="AG815" s="566"/>
      <c r="AH815" s="566"/>
      <c r="AI815" s="566"/>
      <c r="AJ815" s="566"/>
      <c r="AK815" s="566"/>
      <c r="AL815" s="566"/>
      <c r="AM815" s="566"/>
      <c r="AN815" s="566"/>
      <c r="AO815" s="566"/>
    </row>
    <row r="816" spans="2:41" x14ac:dyDescent="0.15">
      <c r="B816" s="567">
        <v>-38</v>
      </c>
      <c r="C816" s="566"/>
      <c r="D816" s="566"/>
      <c r="E816" s="566"/>
      <c r="F816" s="566"/>
      <c r="G816" s="566"/>
      <c r="H816" s="566"/>
      <c r="I816" s="566"/>
      <c r="J816" s="566"/>
      <c r="K816" s="566"/>
      <c r="L816" s="566"/>
      <c r="M816" s="566"/>
      <c r="N816" s="566"/>
      <c r="O816" s="566"/>
      <c r="P816" s="566"/>
      <c r="Q816" s="566"/>
      <c r="R816" s="566"/>
      <c r="S816" s="566"/>
      <c r="T816" s="566"/>
      <c r="U816" s="566"/>
      <c r="V816" s="566"/>
      <c r="W816" s="566"/>
      <c r="X816" s="566"/>
      <c r="Y816" s="566"/>
      <c r="Z816" s="566"/>
      <c r="AA816" s="566"/>
      <c r="AB816" s="566"/>
      <c r="AC816" s="566"/>
      <c r="AD816" s="566"/>
      <c r="AE816" s="566"/>
      <c r="AF816" s="566"/>
      <c r="AG816" s="566"/>
      <c r="AH816" s="566"/>
      <c r="AI816" s="566"/>
      <c r="AJ816" s="566"/>
      <c r="AK816" s="566"/>
      <c r="AL816" s="566"/>
      <c r="AM816" s="566"/>
      <c r="AN816" s="566"/>
      <c r="AO816" s="566"/>
    </row>
    <row r="817" spans="2:41" x14ac:dyDescent="0.15">
      <c r="B817" s="567">
        <v>-37</v>
      </c>
      <c r="C817" s="566"/>
      <c r="D817" s="566"/>
      <c r="E817" s="566"/>
      <c r="F817" s="566"/>
      <c r="G817" s="566"/>
      <c r="H817" s="566"/>
      <c r="I817" s="566"/>
      <c r="J817" s="566"/>
      <c r="K817" s="566"/>
      <c r="L817" s="566"/>
      <c r="M817" s="566"/>
      <c r="N817" s="566"/>
      <c r="O817" s="566"/>
      <c r="P817" s="566"/>
      <c r="Q817" s="566"/>
      <c r="R817" s="566"/>
      <c r="S817" s="566"/>
      <c r="T817" s="566"/>
      <c r="U817" s="566"/>
      <c r="V817" s="566"/>
      <c r="W817" s="566"/>
      <c r="X817" s="566"/>
      <c r="Y817" s="566"/>
      <c r="Z817" s="566"/>
      <c r="AA817" s="566"/>
      <c r="AB817" s="566"/>
      <c r="AC817" s="566"/>
      <c r="AD817" s="566"/>
      <c r="AE817" s="566"/>
      <c r="AF817" s="566"/>
      <c r="AG817" s="566"/>
      <c r="AH817" s="566"/>
      <c r="AI817" s="566"/>
      <c r="AJ817" s="566"/>
      <c r="AK817" s="566"/>
      <c r="AL817" s="566"/>
      <c r="AM817" s="566"/>
      <c r="AN817" s="566"/>
      <c r="AO817" s="566"/>
    </row>
    <row r="818" spans="2:41" x14ac:dyDescent="0.15">
      <c r="B818" s="567">
        <v>-36</v>
      </c>
      <c r="C818" s="566"/>
      <c r="D818" s="566"/>
      <c r="E818" s="566"/>
      <c r="F818" s="566"/>
      <c r="G818" s="566"/>
      <c r="H818" s="566"/>
      <c r="I818" s="566"/>
      <c r="J818" s="566"/>
      <c r="K818" s="566"/>
      <c r="L818" s="566"/>
      <c r="M818" s="566"/>
      <c r="N818" s="566"/>
      <c r="O818" s="566"/>
      <c r="P818" s="566"/>
      <c r="Q818" s="566"/>
      <c r="R818" s="566"/>
      <c r="S818" s="566"/>
      <c r="T818" s="566"/>
      <c r="U818" s="566"/>
      <c r="V818" s="566"/>
      <c r="W818" s="566"/>
      <c r="X818" s="566"/>
      <c r="Y818" s="566"/>
      <c r="Z818" s="566"/>
      <c r="AA818" s="566"/>
      <c r="AB818" s="566"/>
      <c r="AC818" s="566"/>
      <c r="AD818" s="566"/>
      <c r="AE818" s="566"/>
      <c r="AF818" s="566"/>
      <c r="AG818" s="566"/>
      <c r="AH818" s="566"/>
      <c r="AI818" s="566"/>
      <c r="AJ818" s="566"/>
      <c r="AK818" s="566"/>
      <c r="AL818" s="566"/>
      <c r="AM818" s="566"/>
      <c r="AN818" s="566"/>
      <c r="AO818" s="566"/>
    </row>
    <row r="819" spans="2:41" x14ac:dyDescent="0.15">
      <c r="B819" s="567">
        <v>-35</v>
      </c>
      <c r="C819" s="566"/>
      <c r="D819" s="566"/>
      <c r="E819" s="566"/>
      <c r="F819" s="566"/>
      <c r="G819" s="566"/>
      <c r="H819" s="566"/>
      <c r="I819" s="566"/>
      <c r="J819" s="566"/>
      <c r="K819" s="566"/>
      <c r="L819" s="566"/>
      <c r="M819" s="566"/>
      <c r="N819" s="566"/>
      <c r="O819" s="566"/>
      <c r="P819" s="566"/>
      <c r="Q819" s="566"/>
      <c r="R819" s="566"/>
      <c r="S819" s="566"/>
      <c r="T819" s="566"/>
      <c r="U819" s="566"/>
      <c r="V819" s="566"/>
      <c r="W819" s="566"/>
      <c r="X819" s="566"/>
      <c r="Y819" s="566"/>
      <c r="Z819" s="566"/>
      <c r="AA819" s="566"/>
      <c r="AB819" s="566"/>
      <c r="AC819" s="566"/>
      <c r="AD819" s="566"/>
      <c r="AE819" s="566"/>
      <c r="AF819" s="566"/>
      <c r="AG819" s="566"/>
      <c r="AH819" s="566"/>
      <c r="AI819" s="566"/>
      <c r="AJ819" s="566"/>
      <c r="AK819" s="566"/>
      <c r="AL819" s="566"/>
      <c r="AM819" s="566"/>
      <c r="AN819" s="566"/>
      <c r="AO819" s="566"/>
    </row>
    <row r="820" spans="2:41" x14ac:dyDescent="0.15">
      <c r="B820" s="567">
        <v>-34</v>
      </c>
      <c r="C820" s="566"/>
      <c r="D820" s="566"/>
      <c r="E820" s="566"/>
      <c r="F820" s="566"/>
      <c r="G820" s="566"/>
      <c r="H820" s="566"/>
      <c r="I820" s="566"/>
      <c r="J820" s="566"/>
      <c r="K820" s="566"/>
      <c r="L820" s="566"/>
      <c r="M820" s="566"/>
      <c r="N820" s="566"/>
      <c r="O820" s="566"/>
      <c r="P820" s="566"/>
      <c r="Q820" s="566"/>
      <c r="R820" s="566"/>
      <c r="S820" s="566"/>
      <c r="T820" s="566"/>
      <c r="U820" s="566"/>
      <c r="V820" s="566"/>
      <c r="W820" s="566"/>
      <c r="X820" s="566"/>
      <c r="Y820" s="566"/>
      <c r="Z820" s="566"/>
      <c r="AA820" s="566"/>
      <c r="AB820" s="566"/>
      <c r="AC820" s="566"/>
      <c r="AD820" s="566"/>
      <c r="AE820" s="566"/>
      <c r="AF820" s="566"/>
      <c r="AG820" s="566"/>
      <c r="AH820" s="566"/>
      <c r="AI820" s="566"/>
      <c r="AJ820" s="566"/>
      <c r="AK820" s="566"/>
      <c r="AL820" s="566"/>
      <c r="AM820" s="566"/>
      <c r="AN820" s="566"/>
      <c r="AO820" s="566"/>
    </row>
    <row r="821" spans="2:41" x14ac:dyDescent="0.15">
      <c r="B821" s="567">
        <v>-33</v>
      </c>
      <c r="C821" s="566"/>
      <c r="D821" s="566"/>
      <c r="E821" s="566"/>
      <c r="F821" s="566"/>
      <c r="G821" s="566"/>
      <c r="H821" s="566"/>
      <c r="I821" s="566"/>
      <c r="J821" s="566"/>
      <c r="K821" s="566"/>
      <c r="L821" s="566"/>
      <c r="M821" s="566"/>
      <c r="N821" s="566"/>
      <c r="O821" s="566"/>
      <c r="P821" s="566"/>
      <c r="Q821" s="566"/>
      <c r="R821" s="566"/>
      <c r="S821" s="566"/>
      <c r="T821" s="566"/>
      <c r="U821" s="566"/>
      <c r="V821" s="566"/>
      <c r="W821" s="566"/>
      <c r="X821" s="566"/>
      <c r="Y821" s="566"/>
      <c r="Z821" s="566"/>
      <c r="AA821" s="566"/>
      <c r="AB821" s="566"/>
      <c r="AC821" s="566"/>
      <c r="AD821" s="566"/>
      <c r="AE821" s="566"/>
      <c r="AF821" s="566"/>
      <c r="AG821" s="566"/>
      <c r="AH821" s="566"/>
      <c r="AI821" s="566"/>
      <c r="AJ821" s="566"/>
      <c r="AK821" s="566"/>
      <c r="AL821" s="566"/>
      <c r="AM821" s="566"/>
      <c r="AN821" s="566"/>
      <c r="AO821" s="566"/>
    </row>
    <row r="822" spans="2:41" x14ac:dyDescent="0.15">
      <c r="B822" s="567">
        <v>-32</v>
      </c>
      <c r="C822" s="566"/>
      <c r="D822" s="566"/>
      <c r="E822" s="566"/>
      <c r="F822" s="566"/>
      <c r="G822" s="566"/>
      <c r="H822" s="566"/>
      <c r="I822" s="566"/>
      <c r="J822" s="566"/>
      <c r="K822" s="566"/>
      <c r="L822" s="566"/>
      <c r="M822" s="566"/>
      <c r="N822" s="566"/>
      <c r="O822" s="566"/>
      <c r="P822" s="566"/>
      <c r="Q822" s="566"/>
      <c r="R822" s="566"/>
      <c r="S822" s="566"/>
      <c r="T822" s="566"/>
      <c r="U822" s="566"/>
      <c r="V822" s="566"/>
      <c r="W822" s="566"/>
      <c r="X822" s="566"/>
      <c r="Y822" s="566"/>
      <c r="Z822" s="566"/>
      <c r="AA822" s="566"/>
      <c r="AB822" s="566"/>
      <c r="AC822" s="566"/>
      <c r="AD822" s="566"/>
      <c r="AE822" s="566"/>
      <c r="AF822" s="566"/>
      <c r="AG822" s="566"/>
      <c r="AH822" s="566"/>
      <c r="AI822" s="566"/>
      <c r="AJ822" s="566"/>
      <c r="AK822" s="566"/>
      <c r="AL822" s="566"/>
      <c r="AM822" s="566"/>
      <c r="AN822" s="566"/>
      <c r="AO822" s="566"/>
    </row>
    <row r="823" spans="2:41" x14ac:dyDescent="0.15">
      <c r="B823" s="567">
        <v>-31</v>
      </c>
      <c r="C823" s="566"/>
      <c r="D823" s="566"/>
      <c r="E823" s="566"/>
      <c r="F823" s="566"/>
      <c r="G823" s="566"/>
      <c r="H823" s="566"/>
      <c r="I823" s="566"/>
      <c r="J823" s="566"/>
      <c r="K823" s="566"/>
      <c r="L823" s="566"/>
      <c r="M823" s="566"/>
      <c r="N823" s="566"/>
      <c r="O823" s="566"/>
      <c r="P823" s="566"/>
      <c r="Q823" s="566"/>
      <c r="R823" s="566"/>
      <c r="S823" s="566"/>
      <c r="T823" s="566"/>
      <c r="U823" s="566"/>
      <c r="V823" s="566"/>
      <c r="W823" s="566"/>
      <c r="X823" s="566"/>
      <c r="Y823" s="566"/>
      <c r="Z823" s="566"/>
      <c r="AA823" s="566"/>
      <c r="AB823" s="566"/>
      <c r="AC823" s="566"/>
      <c r="AD823" s="566"/>
      <c r="AE823" s="566"/>
      <c r="AF823" s="566"/>
      <c r="AG823" s="566"/>
      <c r="AH823" s="566"/>
      <c r="AI823" s="566"/>
      <c r="AJ823" s="566"/>
      <c r="AK823" s="566"/>
      <c r="AL823" s="566"/>
      <c r="AM823" s="566"/>
      <c r="AN823" s="566"/>
      <c r="AO823" s="566"/>
    </row>
    <row r="824" spans="2:41" x14ac:dyDescent="0.15">
      <c r="B824" s="567">
        <v>-30</v>
      </c>
      <c r="C824" s="566"/>
      <c r="D824" s="566"/>
      <c r="E824" s="566"/>
      <c r="F824" s="566"/>
      <c r="G824" s="566"/>
      <c r="H824" s="566"/>
      <c r="I824" s="566"/>
      <c r="J824" s="566"/>
      <c r="K824" s="566"/>
      <c r="L824" s="566"/>
      <c r="M824" s="566"/>
      <c r="N824" s="566"/>
      <c r="O824" s="566"/>
      <c r="P824" s="566"/>
      <c r="Q824" s="566"/>
      <c r="R824" s="566"/>
      <c r="S824" s="566"/>
      <c r="T824" s="566"/>
      <c r="U824" s="566"/>
      <c r="V824" s="566"/>
      <c r="W824" s="566"/>
      <c r="X824" s="566"/>
      <c r="Y824" s="566"/>
      <c r="Z824" s="566"/>
      <c r="AA824" s="566"/>
      <c r="AB824" s="566"/>
      <c r="AC824" s="566"/>
      <c r="AD824" s="566"/>
      <c r="AE824" s="566"/>
      <c r="AF824" s="566"/>
      <c r="AG824" s="566"/>
      <c r="AH824" s="566"/>
      <c r="AI824" s="566"/>
      <c r="AJ824" s="566"/>
      <c r="AK824" s="566"/>
      <c r="AL824" s="566"/>
      <c r="AM824" s="566"/>
      <c r="AN824" s="566"/>
      <c r="AO824" s="566"/>
    </row>
    <row r="825" spans="2:41" x14ac:dyDescent="0.15">
      <c r="B825" s="567">
        <v>-29</v>
      </c>
      <c r="C825" s="566"/>
      <c r="D825" s="566"/>
      <c r="E825" s="566"/>
      <c r="F825" s="566"/>
      <c r="G825" s="566"/>
      <c r="H825" s="566"/>
      <c r="I825" s="566"/>
      <c r="J825" s="566"/>
      <c r="K825" s="566"/>
      <c r="L825" s="566"/>
      <c r="M825" s="566"/>
      <c r="N825" s="566"/>
      <c r="O825" s="566"/>
      <c r="P825" s="566"/>
      <c r="Q825" s="566"/>
      <c r="R825" s="566"/>
      <c r="S825" s="566"/>
      <c r="T825" s="566"/>
      <c r="U825" s="566"/>
      <c r="V825" s="566"/>
      <c r="W825" s="566"/>
      <c r="X825" s="566"/>
      <c r="Y825" s="566"/>
      <c r="Z825" s="566"/>
      <c r="AA825" s="566"/>
      <c r="AB825" s="566"/>
      <c r="AC825" s="566"/>
      <c r="AD825" s="566"/>
      <c r="AE825" s="566"/>
      <c r="AF825" s="566"/>
      <c r="AG825" s="566"/>
      <c r="AH825" s="566"/>
      <c r="AI825" s="566"/>
      <c r="AJ825" s="566"/>
      <c r="AK825" s="566"/>
      <c r="AL825" s="566"/>
      <c r="AM825" s="566"/>
      <c r="AN825" s="566"/>
      <c r="AO825" s="566"/>
    </row>
    <row r="826" spans="2:41" x14ac:dyDescent="0.15">
      <c r="B826" s="567">
        <v>-28</v>
      </c>
      <c r="C826" s="566"/>
      <c r="D826" s="566"/>
      <c r="E826" s="566"/>
      <c r="F826" s="566"/>
      <c r="G826" s="566"/>
      <c r="H826" s="566"/>
      <c r="I826" s="566"/>
      <c r="J826" s="566"/>
      <c r="K826" s="566"/>
      <c r="L826" s="566"/>
      <c r="M826" s="566"/>
      <c r="N826" s="566"/>
      <c r="O826" s="566"/>
      <c r="P826" s="566"/>
      <c r="Q826" s="566"/>
      <c r="R826" s="566"/>
      <c r="S826" s="566"/>
      <c r="T826" s="566"/>
      <c r="U826" s="566"/>
      <c r="V826" s="566"/>
      <c r="W826" s="566"/>
      <c r="X826" s="566"/>
      <c r="Y826" s="566"/>
      <c r="Z826" s="566"/>
      <c r="AA826" s="566"/>
      <c r="AB826" s="566"/>
      <c r="AC826" s="566"/>
      <c r="AD826" s="566"/>
      <c r="AE826" s="566"/>
      <c r="AF826" s="566"/>
      <c r="AG826" s="566"/>
      <c r="AH826" s="566"/>
      <c r="AI826" s="566"/>
      <c r="AJ826" s="566"/>
      <c r="AK826" s="566"/>
      <c r="AL826" s="566"/>
      <c r="AM826" s="566"/>
      <c r="AN826" s="566"/>
      <c r="AO826" s="566"/>
    </row>
    <row r="827" spans="2:41" x14ac:dyDescent="0.15">
      <c r="B827" s="567">
        <v>-27</v>
      </c>
      <c r="C827" s="566"/>
      <c r="D827" s="566"/>
      <c r="E827" s="566"/>
      <c r="F827" s="566"/>
      <c r="G827" s="566"/>
      <c r="H827" s="566"/>
      <c r="I827" s="566"/>
      <c r="J827" s="566"/>
      <c r="K827" s="566"/>
      <c r="L827" s="566"/>
      <c r="M827" s="566"/>
      <c r="N827" s="566"/>
      <c r="O827" s="566"/>
      <c r="P827" s="566"/>
      <c r="Q827" s="566"/>
      <c r="R827" s="566"/>
      <c r="S827" s="566"/>
      <c r="T827" s="566"/>
      <c r="U827" s="566"/>
      <c r="V827" s="566"/>
      <c r="W827" s="566"/>
      <c r="X827" s="566"/>
      <c r="Y827" s="566"/>
      <c r="Z827" s="566"/>
      <c r="AA827" s="566"/>
      <c r="AB827" s="566"/>
      <c r="AC827" s="566"/>
      <c r="AD827" s="566"/>
      <c r="AE827" s="566"/>
      <c r="AF827" s="566"/>
      <c r="AG827" s="566"/>
      <c r="AH827" s="566"/>
      <c r="AI827" s="566"/>
      <c r="AJ827" s="566"/>
      <c r="AK827" s="566"/>
      <c r="AL827" s="566"/>
      <c r="AM827" s="566"/>
      <c r="AN827" s="566"/>
      <c r="AO827" s="566"/>
    </row>
    <row r="828" spans="2:41" x14ac:dyDescent="0.15">
      <c r="B828" s="567">
        <v>-26</v>
      </c>
      <c r="C828" s="566"/>
      <c r="D828" s="566"/>
      <c r="E828" s="566"/>
      <c r="F828" s="566"/>
      <c r="G828" s="566"/>
      <c r="H828" s="566"/>
      <c r="I828" s="566"/>
      <c r="J828" s="566"/>
      <c r="K828" s="566"/>
      <c r="L828" s="566"/>
      <c r="M828" s="566"/>
      <c r="N828" s="566"/>
      <c r="O828" s="566"/>
      <c r="P828" s="566"/>
      <c r="Q828" s="566"/>
      <c r="R828" s="566"/>
      <c r="S828" s="566"/>
      <c r="T828" s="566"/>
      <c r="U828" s="566"/>
      <c r="V828" s="566"/>
      <c r="W828" s="566"/>
      <c r="X828" s="566"/>
      <c r="Y828" s="566"/>
      <c r="Z828" s="566"/>
      <c r="AA828" s="566"/>
      <c r="AB828" s="566"/>
      <c r="AC828" s="566"/>
      <c r="AD828" s="566"/>
      <c r="AE828" s="566"/>
      <c r="AF828" s="566"/>
      <c r="AG828" s="566"/>
      <c r="AH828" s="566"/>
      <c r="AI828" s="566"/>
      <c r="AJ828" s="566"/>
      <c r="AK828" s="566"/>
      <c r="AL828" s="566"/>
      <c r="AM828" s="566"/>
      <c r="AN828" s="566"/>
      <c r="AO828" s="566"/>
    </row>
    <row r="829" spans="2:41" x14ac:dyDescent="0.15">
      <c r="B829" s="567">
        <v>-25</v>
      </c>
      <c r="C829" s="566"/>
      <c r="D829" s="566"/>
      <c r="E829" s="566"/>
      <c r="F829" s="566"/>
      <c r="G829" s="566"/>
      <c r="H829" s="566"/>
      <c r="I829" s="566"/>
      <c r="J829" s="566"/>
      <c r="K829" s="566"/>
      <c r="L829" s="566"/>
      <c r="M829" s="566"/>
      <c r="N829" s="566"/>
      <c r="O829" s="566"/>
      <c r="P829" s="566"/>
      <c r="Q829" s="566"/>
      <c r="R829" s="566"/>
      <c r="S829" s="566"/>
      <c r="T829" s="566"/>
      <c r="U829" s="566"/>
      <c r="V829" s="566"/>
      <c r="W829" s="566"/>
      <c r="X829" s="566"/>
      <c r="Y829" s="566"/>
      <c r="Z829" s="566"/>
      <c r="AA829" s="566"/>
      <c r="AB829" s="566"/>
      <c r="AC829" s="566"/>
      <c r="AD829" s="566"/>
      <c r="AE829" s="566"/>
      <c r="AF829" s="566"/>
      <c r="AG829" s="566"/>
      <c r="AH829" s="566"/>
      <c r="AI829" s="566"/>
      <c r="AJ829" s="566"/>
      <c r="AK829" s="566"/>
      <c r="AL829" s="566"/>
      <c r="AM829" s="566"/>
      <c r="AN829" s="566"/>
      <c r="AO829" s="566"/>
    </row>
    <row r="830" spans="2:41" x14ac:dyDescent="0.15">
      <c r="B830" s="567">
        <v>-24</v>
      </c>
      <c r="C830" s="566"/>
      <c r="D830" s="566"/>
      <c r="E830" s="566"/>
      <c r="F830" s="566"/>
      <c r="G830" s="566"/>
      <c r="H830" s="566"/>
      <c r="I830" s="566"/>
      <c r="J830" s="566"/>
      <c r="K830" s="566"/>
      <c r="L830" s="566"/>
      <c r="M830" s="566"/>
      <c r="N830" s="566"/>
      <c r="O830" s="566"/>
      <c r="P830" s="566"/>
      <c r="Q830" s="566"/>
      <c r="R830" s="566"/>
      <c r="S830" s="566"/>
      <c r="T830" s="566"/>
      <c r="U830" s="566"/>
      <c r="V830" s="566"/>
      <c r="W830" s="566"/>
      <c r="X830" s="566"/>
      <c r="Y830" s="566"/>
      <c r="Z830" s="566"/>
      <c r="AA830" s="566"/>
      <c r="AB830" s="566"/>
      <c r="AC830" s="566"/>
      <c r="AD830" s="566"/>
      <c r="AE830" s="566"/>
      <c r="AF830" s="566"/>
      <c r="AG830" s="566"/>
      <c r="AH830" s="566"/>
      <c r="AI830" s="566"/>
      <c r="AJ830" s="566"/>
      <c r="AK830" s="566"/>
      <c r="AL830" s="566"/>
      <c r="AM830" s="566"/>
      <c r="AN830" s="566"/>
      <c r="AO830" s="566"/>
    </row>
    <row r="831" spans="2:41" x14ac:dyDescent="0.15">
      <c r="B831" s="567">
        <v>-23</v>
      </c>
      <c r="C831" s="566"/>
      <c r="D831" s="566"/>
      <c r="E831" s="566"/>
      <c r="F831" s="566"/>
      <c r="G831" s="566"/>
      <c r="H831" s="566"/>
      <c r="I831" s="566"/>
      <c r="J831" s="566"/>
      <c r="K831" s="566"/>
      <c r="L831" s="566"/>
      <c r="M831" s="566"/>
      <c r="N831" s="566"/>
      <c r="O831" s="566"/>
      <c r="P831" s="566"/>
      <c r="Q831" s="566"/>
      <c r="R831" s="566"/>
      <c r="S831" s="566"/>
      <c r="T831" s="566"/>
      <c r="U831" s="566"/>
      <c r="V831" s="566"/>
      <c r="W831" s="566"/>
      <c r="X831" s="566"/>
      <c r="Y831" s="566"/>
      <c r="Z831" s="566"/>
      <c r="AA831" s="566"/>
      <c r="AB831" s="566"/>
      <c r="AC831" s="566"/>
      <c r="AD831" s="566"/>
      <c r="AE831" s="566"/>
      <c r="AF831" s="566"/>
      <c r="AG831" s="566"/>
      <c r="AH831" s="566"/>
      <c r="AI831" s="566"/>
      <c r="AJ831" s="566"/>
      <c r="AK831" s="566"/>
      <c r="AL831" s="566"/>
      <c r="AM831" s="566"/>
      <c r="AN831" s="566"/>
      <c r="AO831" s="566"/>
    </row>
    <row r="832" spans="2:41" x14ac:dyDescent="0.15">
      <c r="B832" s="567">
        <v>-22</v>
      </c>
      <c r="C832" s="566"/>
      <c r="D832" s="566"/>
      <c r="E832" s="566"/>
      <c r="F832" s="566"/>
      <c r="G832" s="566"/>
      <c r="H832" s="566"/>
      <c r="I832" s="566"/>
      <c r="J832" s="566"/>
      <c r="K832" s="566"/>
      <c r="L832" s="566"/>
      <c r="M832" s="566"/>
      <c r="N832" s="566"/>
      <c r="O832" s="566"/>
      <c r="P832" s="566"/>
      <c r="Q832" s="566"/>
      <c r="R832" s="566"/>
      <c r="S832" s="566"/>
      <c r="T832" s="566"/>
      <c r="U832" s="566"/>
      <c r="V832" s="566"/>
      <c r="W832" s="566"/>
      <c r="X832" s="566"/>
      <c r="Y832" s="566"/>
      <c r="Z832" s="566"/>
      <c r="AA832" s="566"/>
      <c r="AB832" s="566"/>
      <c r="AC832" s="566"/>
      <c r="AD832" s="566"/>
      <c r="AE832" s="566"/>
      <c r="AF832" s="566"/>
      <c r="AG832" s="566"/>
      <c r="AH832" s="566"/>
      <c r="AI832" s="566"/>
      <c r="AJ832" s="566"/>
      <c r="AK832" s="566"/>
      <c r="AL832" s="566"/>
      <c r="AM832" s="566"/>
      <c r="AN832" s="566"/>
      <c r="AO832" s="566"/>
    </row>
    <row r="833" spans="2:41" x14ac:dyDescent="0.15">
      <c r="B833" s="567">
        <v>-21</v>
      </c>
      <c r="C833" s="566"/>
      <c r="D833" s="566"/>
      <c r="E833" s="566"/>
      <c r="F833" s="566"/>
      <c r="G833" s="566"/>
      <c r="H833" s="566"/>
      <c r="I833" s="566"/>
      <c r="J833" s="566"/>
      <c r="K833" s="566"/>
      <c r="L833" s="566"/>
      <c r="M833" s="566"/>
      <c r="N833" s="566"/>
      <c r="O833" s="566"/>
      <c r="P833" s="566"/>
      <c r="Q833" s="566"/>
      <c r="R833" s="566"/>
      <c r="S833" s="566"/>
      <c r="T833" s="566"/>
      <c r="U833" s="566"/>
      <c r="V833" s="566"/>
      <c r="W833" s="566"/>
      <c r="X833" s="566"/>
      <c r="Y833" s="566"/>
      <c r="Z833" s="566"/>
      <c r="AA833" s="566"/>
      <c r="AB833" s="566"/>
      <c r="AC833" s="566"/>
      <c r="AD833" s="566"/>
      <c r="AE833" s="566"/>
      <c r="AF833" s="566"/>
      <c r="AG833" s="566"/>
      <c r="AH833" s="566"/>
      <c r="AI833" s="566"/>
      <c r="AJ833" s="566"/>
      <c r="AK833" s="566"/>
      <c r="AL833" s="566"/>
      <c r="AM833" s="566"/>
      <c r="AN833" s="566"/>
      <c r="AO833" s="566"/>
    </row>
    <row r="834" spans="2:41" x14ac:dyDescent="0.15">
      <c r="B834" s="567">
        <v>-20</v>
      </c>
      <c r="C834" s="566"/>
      <c r="D834" s="566"/>
      <c r="E834" s="566"/>
      <c r="F834" s="566"/>
      <c r="G834" s="566"/>
      <c r="H834" s="566"/>
      <c r="I834" s="566"/>
      <c r="J834" s="566"/>
      <c r="K834" s="566"/>
      <c r="L834" s="566"/>
      <c r="M834" s="566"/>
      <c r="N834" s="566"/>
      <c r="O834" s="566"/>
      <c r="P834" s="566"/>
      <c r="Q834" s="566"/>
      <c r="R834" s="566"/>
      <c r="S834" s="566"/>
      <c r="T834" s="566"/>
      <c r="U834" s="566"/>
      <c r="V834" s="566"/>
      <c r="W834" s="566"/>
      <c r="X834" s="566"/>
      <c r="Y834" s="566"/>
      <c r="Z834" s="566"/>
      <c r="AA834" s="566"/>
      <c r="AB834" s="566"/>
      <c r="AC834" s="566"/>
      <c r="AD834" s="566"/>
      <c r="AE834" s="566"/>
      <c r="AF834" s="566"/>
      <c r="AG834" s="566"/>
      <c r="AH834" s="566"/>
      <c r="AI834" s="566"/>
      <c r="AJ834" s="566"/>
      <c r="AK834" s="566"/>
      <c r="AL834" s="566"/>
      <c r="AM834" s="566"/>
      <c r="AN834" s="566"/>
      <c r="AO834" s="566"/>
    </row>
    <row r="835" spans="2:41" x14ac:dyDescent="0.15">
      <c r="B835" s="567">
        <v>-19</v>
      </c>
      <c r="C835" s="566"/>
      <c r="D835" s="566"/>
      <c r="E835" s="566"/>
      <c r="F835" s="566"/>
      <c r="G835" s="566"/>
      <c r="H835" s="566"/>
      <c r="I835" s="566"/>
      <c r="J835" s="566"/>
      <c r="K835" s="566"/>
      <c r="L835" s="566"/>
      <c r="M835" s="566"/>
      <c r="N835" s="566"/>
      <c r="O835" s="566"/>
      <c r="P835" s="566"/>
      <c r="Q835" s="566"/>
      <c r="R835" s="566"/>
      <c r="S835" s="566"/>
      <c r="T835" s="566"/>
      <c r="U835" s="566"/>
      <c r="V835" s="566"/>
      <c r="W835" s="566"/>
      <c r="X835" s="566"/>
      <c r="Y835" s="566"/>
      <c r="Z835" s="566"/>
      <c r="AA835" s="566"/>
      <c r="AB835" s="566"/>
      <c r="AC835" s="566"/>
      <c r="AD835" s="566"/>
      <c r="AE835" s="566"/>
      <c r="AF835" s="566"/>
      <c r="AG835" s="566"/>
      <c r="AH835" s="566"/>
      <c r="AI835" s="566"/>
      <c r="AJ835" s="566"/>
      <c r="AK835" s="566"/>
      <c r="AL835" s="566"/>
      <c r="AM835" s="566"/>
      <c r="AN835" s="566"/>
      <c r="AO835" s="566"/>
    </row>
    <row r="836" spans="2:41" x14ac:dyDescent="0.15">
      <c r="B836" s="567">
        <v>-18</v>
      </c>
      <c r="C836" s="566"/>
      <c r="D836" s="566"/>
      <c r="E836" s="566"/>
      <c r="F836" s="566"/>
      <c r="G836" s="566"/>
      <c r="H836" s="566"/>
      <c r="I836" s="566"/>
      <c r="J836" s="566"/>
      <c r="K836" s="566"/>
      <c r="L836" s="566"/>
      <c r="M836" s="566"/>
      <c r="N836" s="566"/>
      <c r="O836" s="566"/>
      <c r="P836" s="566"/>
      <c r="Q836" s="566"/>
      <c r="R836" s="566"/>
      <c r="S836" s="566"/>
      <c r="T836" s="566"/>
      <c r="U836" s="566"/>
      <c r="V836" s="566"/>
      <c r="W836" s="566"/>
      <c r="X836" s="566"/>
      <c r="Y836" s="566"/>
      <c r="Z836" s="566"/>
      <c r="AA836" s="566"/>
      <c r="AB836" s="566"/>
      <c r="AC836" s="566"/>
      <c r="AD836" s="566"/>
      <c r="AE836" s="566"/>
      <c r="AF836" s="566"/>
      <c r="AG836" s="566"/>
      <c r="AH836" s="566"/>
      <c r="AI836" s="566"/>
      <c r="AJ836" s="566"/>
      <c r="AK836" s="566"/>
      <c r="AL836" s="566"/>
      <c r="AM836" s="566"/>
      <c r="AN836" s="566"/>
      <c r="AO836" s="566"/>
    </row>
    <row r="837" spans="2:41" x14ac:dyDescent="0.15">
      <c r="B837" s="567">
        <v>-17</v>
      </c>
      <c r="C837" s="566"/>
      <c r="D837" s="566"/>
      <c r="E837" s="566"/>
      <c r="F837" s="566"/>
      <c r="G837" s="566"/>
      <c r="H837" s="566"/>
      <c r="I837" s="566"/>
      <c r="J837" s="566"/>
      <c r="K837" s="566"/>
      <c r="L837" s="566"/>
      <c r="M837" s="566"/>
      <c r="N837" s="566"/>
      <c r="O837" s="566"/>
      <c r="P837" s="566"/>
      <c r="Q837" s="566"/>
      <c r="R837" s="566"/>
      <c r="S837" s="566"/>
      <c r="T837" s="566"/>
      <c r="U837" s="566"/>
      <c r="V837" s="566"/>
      <c r="W837" s="566"/>
      <c r="X837" s="566"/>
      <c r="Y837" s="566"/>
      <c r="Z837" s="566"/>
      <c r="AA837" s="566"/>
      <c r="AB837" s="566"/>
      <c r="AC837" s="566"/>
      <c r="AD837" s="566"/>
      <c r="AE837" s="566"/>
      <c r="AF837" s="566"/>
      <c r="AG837" s="566"/>
      <c r="AH837" s="566"/>
      <c r="AI837" s="566"/>
      <c r="AJ837" s="566"/>
      <c r="AK837" s="566"/>
      <c r="AL837" s="566"/>
      <c r="AM837" s="566"/>
      <c r="AN837" s="566"/>
      <c r="AO837" s="566"/>
    </row>
    <row r="838" spans="2:41" x14ac:dyDescent="0.15">
      <c r="B838" s="567">
        <v>-16</v>
      </c>
      <c r="C838" s="566"/>
      <c r="D838" s="566"/>
      <c r="E838" s="566"/>
      <c r="F838" s="566"/>
      <c r="G838" s="566"/>
      <c r="H838" s="566"/>
      <c r="I838" s="566"/>
      <c r="J838" s="566"/>
      <c r="K838" s="566"/>
      <c r="L838" s="566"/>
      <c r="M838" s="566"/>
      <c r="N838" s="566"/>
      <c r="O838" s="566"/>
      <c r="P838" s="566"/>
      <c r="Q838" s="566"/>
      <c r="R838" s="566"/>
      <c r="S838" s="566"/>
      <c r="T838" s="566"/>
      <c r="U838" s="566"/>
      <c r="V838" s="566"/>
      <c r="W838" s="566"/>
      <c r="X838" s="566"/>
      <c r="Y838" s="566"/>
      <c r="Z838" s="566"/>
      <c r="AA838" s="566"/>
      <c r="AB838" s="566"/>
      <c r="AC838" s="566"/>
      <c r="AD838" s="566"/>
      <c r="AE838" s="566"/>
      <c r="AF838" s="566"/>
      <c r="AG838" s="566"/>
      <c r="AH838" s="566"/>
      <c r="AI838" s="566"/>
      <c r="AJ838" s="566"/>
      <c r="AK838" s="566"/>
      <c r="AL838" s="566"/>
      <c r="AM838" s="566"/>
      <c r="AN838" s="566"/>
      <c r="AO838" s="566"/>
    </row>
    <row r="839" spans="2:41" x14ac:dyDescent="0.15">
      <c r="B839" s="567">
        <v>-15</v>
      </c>
      <c r="C839" s="566"/>
      <c r="D839" s="566"/>
      <c r="E839" s="566"/>
      <c r="F839" s="566"/>
      <c r="G839" s="566"/>
      <c r="H839" s="566"/>
      <c r="I839" s="566"/>
      <c r="J839" s="566"/>
      <c r="K839" s="566"/>
      <c r="L839" s="566"/>
      <c r="M839" s="566"/>
      <c r="N839" s="566"/>
      <c r="O839" s="566"/>
      <c r="P839" s="566"/>
      <c r="Q839" s="566"/>
      <c r="R839" s="566"/>
      <c r="S839" s="566"/>
      <c r="T839" s="566"/>
      <c r="U839" s="566"/>
      <c r="V839" s="566"/>
      <c r="W839" s="566"/>
      <c r="X839" s="566"/>
      <c r="Y839" s="566"/>
      <c r="Z839" s="566"/>
      <c r="AA839" s="566"/>
      <c r="AB839" s="566"/>
      <c r="AC839" s="566"/>
      <c r="AD839" s="566"/>
      <c r="AE839" s="566"/>
      <c r="AF839" s="566"/>
      <c r="AG839" s="566"/>
      <c r="AH839" s="566"/>
      <c r="AI839" s="566"/>
      <c r="AJ839" s="566"/>
      <c r="AK839" s="566"/>
      <c r="AL839" s="566"/>
      <c r="AM839" s="566"/>
      <c r="AN839" s="566"/>
      <c r="AO839" s="566"/>
    </row>
    <row r="840" spans="2:41" x14ac:dyDescent="0.15">
      <c r="B840" s="567">
        <v>-14</v>
      </c>
      <c r="C840" s="566"/>
      <c r="D840" s="566"/>
      <c r="E840" s="566"/>
      <c r="F840" s="566"/>
      <c r="G840" s="566"/>
      <c r="H840" s="566"/>
      <c r="I840" s="566"/>
      <c r="J840" s="566"/>
      <c r="K840" s="566"/>
      <c r="L840" s="566"/>
      <c r="M840" s="566"/>
      <c r="N840" s="566"/>
      <c r="O840" s="566"/>
      <c r="P840" s="566"/>
      <c r="Q840" s="566"/>
      <c r="R840" s="566"/>
      <c r="S840" s="566"/>
      <c r="T840" s="566"/>
      <c r="U840" s="566"/>
      <c r="V840" s="566"/>
      <c r="W840" s="566"/>
      <c r="X840" s="566"/>
      <c r="Y840" s="566"/>
      <c r="Z840" s="566"/>
      <c r="AA840" s="566"/>
      <c r="AB840" s="566"/>
      <c r="AC840" s="566"/>
      <c r="AD840" s="566"/>
      <c r="AE840" s="566"/>
      <c r="AF840" s="566"/>
      <c r="AG840" s="566"/>
      <c r="AH840" s="566"/>
      <c r="AI840" s="566"/>
      <c r="AJ840" s="566"/>
      <c r="AK840" s="566"/>
      <c r="AL840" s="566"/>
      <c r="AM840" s="566"/>
      <c r="AN840" s="566"/>
      <c r="AO840" s="566"/>
    </row>
    <row r="841" spans="2:41" x14ac:dyDescent="0.15">
      <c r="B841" s="567">
        <v>-13</v>
      </c>
      <c r="C841" s="566"/>
      <c r="D841" s="566"/>
      <c r="E841" s="566"/>
      <c r="F841" s="566"/>
      <c r="G841" s="566"/>
      <c r="H841" s="566"/>
      <c r="I841" s="566"/>
      <c r="J841" s="566"/>
      <c r="K841" s="566"/>
      <c r="L841" s="566"/>
      <c r="M841" s="566"/>
      <c r="N841" s="566"/>
      <c r="O841" s="566"/>
      <c r="P841" s="566"/>
      <c r="Q841" s="566"/>
      <c r="R841" s="566"/>
      <c r="S841" s="566"/>
      <c r="T841" s="566"/>
      <c r="U841" s="566"/>
      <c r="V841" s="566"/>
      <c r="W841" s="566"/>
      <c r="X841" s="566"/>
      <c r="Y841" s="566"/>
      <c r="Z841" s="566"/>
      <c r="AA841" s="566"/>
      <c r="AB841" s="566"/>
      <c r="AC841" s="566"/>
      <c r="AD841" s="566"/>
      <c r="AE841" s="566"/>
      <c r="AF841" s="566"/>
      <c r="AG841" s="566"/>
      <c r="AH841" s="566"/>
      <c r="AI841" s="566"/>
      <c r="AJ841" s="566"/>
      <c r="AK841" s="566"/>
      <c r="AL841" s="566"/>
      <c r="AM841" s="566"/>
      <c r="AN841" s="566"/>
      <c r="AO841" s="566"/>
    </row>
    <row r="842" spans="2:41" x14ac:dyDescent="0.15">
      <c r="B842" s="567">
        <v>-12</v>
      </c>
      <c r="C842" s="566"/>
      <c r="D842" s="566"/>
      <c r="E842" s="566"/>
      <c r="F842" s="566"/>
      <c r="G842" s="566"/>
      <c r="H842" s="566"/>
      <c r="I842" s="566"/>
      <c r="J842" s="566"/>
      <c r="K842" s="566"/>
      <c r="L842" s="566"/>
      <c r="M842" s="566"/>
      <c r="N842" s="566"/>
      <c r="O842" s="566"/>
      <c r="P842" s="566"/>
      <c r="Q842" s="566"/>
      <c r="R842" s="566"/>
      <c r="S842" s="566"/>
      <c r="T842" s="566"/>
      <c r="U842" s="566"/>
      <c r="V842" s="566"/>
      <c r="W842" s="566"/>
      <c r="X842" s="566"/>
      <c r="Y842" s="566"/>
      <c r="Z842" s="566"/>
      <c r="AA842" s="566"/>
      <c r="AB842" s="566"/>
      <c r="AC842" s="566"/>
      <c r="AD842" s="566"/>
      <c r="AE842" s="566"/>
      <c r="AF842" s="566"/>
      <c r="AG842" s="566"/>
      <c r="AH842" s="566"/>
      <c r="AI842" s="566"/>
      <c r="AJ842" s="566"/>
      <c r="AK842" s="566"/>
      <c r="AL842" s="566"/>
      <c r="AM842" s="566"/>
      <c r="AN842" s="566"/>
      <c r="AO842" s="566"/>
    </row>
    <row r="843" spans="2:41" x14ac:dyDescent="0.15">
      <c r="B843" s="567">
        <v>-11</v>
      </c>
      <c r="C843" s="566"/>
      <c r="D843" s="566"/>
      <c r="E843" s="566"/>
      <c r="F843" s="566"/>
      <c r="G843" s="566"/>
      <c r="H843" s="566"/>
      <c r="I843" s="566"/>
      <c r="J843" s="566"/>
      <c r="K843" s="566"/>
      <c r="L843" s="566"/>
      <c r="M843" s="566"/>
      <c r="N843" s="566"/>
      <c r="O843" s="566"/>
      <c r="P843" s="566"/>
      <c r="Q843" s="566"/>
      <c r="R843" s="566"/>
      <c r="S843" s="566"/>
      <c r="T843" s="566"/>
      <c r="U843" s="566"/>
      <c r="V843" s="566"/>
      <c r="W843" s="566"/>
      <c r="X843" s="566"/>
      <c r="Y843" s="566"/>
      <c r="Z843" s="566"/>
      <c r="AA843" s="566"/>
      <c r="AB843" s="566"/>
      <c r="AC843" s="566"/>
      <c r="AD843" s="566"/>
      <c r="AE843" s="566"/>
      <c r="AF843" s="566"/>
      <c r="AG843" s="566"/>
      <c r="AH843" s="566"/>
      <c r="AI843" s="566"/>
      <c r="AJ843" s="566"/>
      <c r="AK843" s="566"/>
      <c r="AL843" s="566"/>
      <c r="AM843" s="566"/>
      <c r="AN843" s="566"/>
      <c r="AO843" s="566"/>
    </row>
    <row r="844" spans="2:41" x14ac:dyDescent="0.15">
      <c r="B844" s="567">
        <v>-10</v>
      </c>
      <c r="C844" s="566"/>
      <c r="D844" s="566"/>
      <c r="E844" s="566"/>
      <c r="F844" s="566"/>
      <c r="G844" s="566"/>
      <c r="H844" s="566"/>
      <c r="I844" s="566"/>
      <c r="J844" s="566"/>
      <c r="K844" s="566"/>
      <c r="L844" s="566"/>
      <c r="M844" s="566"/>
      <c r="N844" s="566"/>
      <c r="O844" s="566"/>
      <c r="P844" s="566"/>
      <c r="Q844" s="566"/>
      <c r="R844" s="566"/>
      <c r="S844" s="566"/>
      <c r="T844" s="566"/>
      <c r="U844" s="566"/>
      <c r="V844" s="566"/>
      <c r="W844" s="566"/>
      <c r="X844" s="566"/>
      <c r="Y844" s="566"/>
      <c r="Z844" s="566"/>
      <c r="AA844" s="566"/>
      <c r="AB844" s="566"/>
      <c r="AC844" s="566"/>
      <c r="AD844" s="566"/>
      <c r="AE844" s="566"/>
      <c r="AF844" s="566"/>
      <c r="AG844" s="566"/>
      <c r="AH844" s="566"/>
      <c r="AI844" s="566"/>
      <c r="AJ844" s="566"/>
      <c r="AK844" s="566"/>
      <c r="AL844" s="566"/>
      <c r="AM844" s="566"/>
      <c r="AN844" s="566"/>
      <c r="AO844" s="566"/>
    </row>
    <row r="845" spans="2:41" x14ac:dyDescent="0.15">
      <c r="B845" s="567">
        <v>-9</v>
      </c>
      <c r="C845" s="566"/>
      <c r="D845" s="566"/>
      <c r="E845" s="566"/>
      <c r="F845" s="566"/>
      <c r="G845" s="566"/>
      <c r="H845" s="566"/>
      <c r="I845" s="566"/>
      <c r="J845" s="566"/>
      <c r="K845" s="566"/>
      <c r="L845" s="566"/>
      <c r="M845" s="566"/>
      <c r="N845" s="566"/>
      <c r="O845" s="566"/>
      <c r="P845" s="566"/>
      <c r="Q845" s="566"/>
      <c r="R845" s="566"/>
      <c r="S845" s="566"/>
      <c r="T845" s="566"/>
      <c r="U845" s="566"/>
      <c r="V845" s="566"/>
      <c r="W845" s="566"/>
      <c r="X845" s="566"/>
      <c r="Y845" s="566"/>
      <c r="Z845" s="566"/>
      <c r="AA845" s="566"/>
      <c r="AB845" s="566"/>
      <c r="AC845" s="566"/>
      <c r="AD845" s="566"/>
      <c r="AE845" s="566"/>
      <c r="AF845" s="566"/>
      <c r="AG845" s="566"/>
      <c r="AH845" s="566"/>
      <c r="AI845" s="566"/>
      <c r="AJ845" s="566"/>
      <c r="AK845" s="566"/>
      <c r="AL845" s="566"/>
      <c r="AM845" s="566"/>
      <c r="AN845" s="566"/>
      <c r="AO845" s="566"/>
    </row>
    <row r="846" spans="2:41" x14ac:dyDescent="0.15">
      <c r="B846" s="567">
        <v>-8</v>
      </c>
      <c r="C846" s="566"/>
      <c r="D846" s="566"/>
      <c r="E846" s="566"/>
      <c r="F846" s="566"/>
      <c r="G846" s="566"/>
      <c r="H846" s="566"/>
      <c r="I846" s="566"/>
      <c r="J846" s="566"/>
      <c r="K846" s="566"/>
      <c r="L846" s="566"/>
      <c r="M846" s="566"/>
      <c r="N846" s="566"/>
      <c r="O846" s="566"/>
      <c r="P846" s="566"/>
      <c r="Q846" s="566"/>
      <c r="R846" s="566"/>
      <c r="S846" s="566"/>
      <c r="T846" s="566"/>
      <c r="U846" s="566"/>
      <c r="V846" s="566"/>
      <c r="W846" s="566"/>
      <c r="X846" s="566"/>
      <c r="Y846" s="566"/>
      <c r="Z846" s="566"/>
      <c r="AA846" s="566"/>
      <c r="AB846" s="566"/>
      <c r="AC846" s="566"/>
      <c r="AD846" s="566"/>
      <c r="AE846" s="566"/>
      <c r="AF846" s="566"/>
      <c r="AG846" s="566"/>
      <c r="AH846" s="566"/>
      <c r="AI846" s="566"/>
      <c r="AJ846" s="566"/>
      <c r="AK846" s="566"/>
      <c r="AL846" s="566"/>
      <c r="AM846" s="566"/>
      <c r="AN846" s="566"/>
      <c r="AO846" s="566"/>
    </row>
    <row r="847" spans="2:41" x14ac:dyDescent="0.15">
      <c r="B847" s="567">
        <v>-7</v>
      </c>
      <c r="C847" s="566"/>
      <c r="D847" s="566"/>
      <c r="E847" s="566"/>
      <c r="F847" s="566"/>
      <c r="G847" s="566"/>
      <c r="H847" s="566"/>
      <c r="I847" s="566"/>
      <c r="J847" s="566"/>
      <c r="K847" s="566"/>
      <c r="L847" s="566"/>
      <c r="M847" s="566"/>
      <c r="N847" s="566"/>
      <c r="O847" s="566"/>
      <c r="P847" s="566"/>
      <c r="Q847" s="566"/>
      <c r="R847" s="566"/>
      <c r="S847" s="566"/>
      <c r="T847" s="566"/>
      <c r="U847" s="566"/>
      <c r="V847" s="566"/>
      <c r="W847" s="566"/>
      <c r="X847" s="566"/>
      <c r="Y847" s="566"/>
      <c r="Z847" s="566"/>
      <c r="AA847" s="566"/>
      <c r="AB847" s="566"/>
      <c r="AC847" s="566"/>
      <c r="AD847" s="566"/>
      <c r="AE847" s="566"/>
      <c r="AF847" s="566"/>
      <c r="AG847" s="566"/>
      <c r="AH847" s="566"/>
      <c r="AI847" s="566"/>
      <c r="AJ847" s="566"/>
      <c r="AK847" s="566"/>
      <c r="AL847" s="566"/>
      <c r="AM847" s="566"/>
      <c r="AN847" s="566"/>
      <c r="AO847" s="566"/>
    </row>
    <row r="848" spans="2:41" x14ac:dyDescent="0.15">
      <c r="B848" s="567">
        <v>-6</v>
      </c>
      <c r="C848" s="566"/>
      <c r="D848" s="566"/>
      <c r="E848" s="566"/>
      <c r="F848" s="566"/>
      <c r="G848" s="566"/>
      <c r="H848" s="566"/>
      <c r="I848" s="566"/>
      <c r="J848" s="566"/>
      <c r="K848" s="566"/>
      <c r="L848" s="566"/>
      <c r="M848" s="566"/>
      <c r="N848" s="566"/>
      <c r="O848" s="566"/>
      <c r="P848" s="566"/>
      <c r="Q848" s="566"/>
      <c r="R848" s="566"/>
      <c r="S848" s="566"/>
      <c r="T848" s="566"/>
      <c r="U848" s="566"/>
      <c r="V848" s="566"/>
      <c r="W848" s="566"/>
      <c r="X848" s="566"/>
      <c r="Y848" s="566"/>
      <c r="Z848" s="566"/>
      <c r="AA848" s="566"/>
      <c r="AB848" s="566"/>
      <c r="AC848" s="566"/>
      <c r="AD848" s="566"/>
      <c r="AE848" s="566"/>
      <c r="AF848" s="566"/>
      <c r="AG848" s="566"/>
      <c r="AH848" s="566"/>
      <c r="AI848" s="566"/>
      <c r="AJ848" s="566"/>
      <c r="AK848" s="566"/>
      <c r="AL848" s="566"/>
      <c r="AM848" s="566"/>
      <c r="AN848" s="566"/>
      <c r="AO848" s="566"/>
    </row>
    <row r="849" spans="2:41" x14ac:dyDescent="0.15">
      <c r="B849" s="567">
        <v>-5</v>
      </c>
      <c r="C849" s="566"/>
      <c r="D849" s="566"/>
      <c r="E849" s="566"/>
      <c r="F849" s="566"/>
      <c r="G849" s="566"/>
      <c r="H849" s="566"/>
      <c r="I849" s="566"/>
      <c r="J849" s="566"/>
      <c r="K849" s="566"/>
      <c r="L849" s="566"/>
      <c r="M849" s="566"/>
      <c r="N849" s="566"/>
      <c r="O849" s="566"/>
      <c r="P849" s="566"/>
      <c r="Q849" s="566"/>
      <c r="R849" s="566"/>
      <c r="S849" s="566"/>
      <c r="T849" s="566"/>
      <c r="U849" s="566"/>
      <c r="V849" s="566"/>
      <c r="W849" s="566"/>
      <c r="X849" s="566"/>
      <c r="Y849" s="566"/>
      <c r="Z849" s="566"/>
      <c r="AA849" s="566"/>
      <c r="AB849" s="566"/>
      <c r="AC849" s="566"/>
      <c r="AD849" s="566"/>
      <c r="AE849" s="566"/>
      <c r="AF849" s="566"/>
      <c r="AG849" s="566"/>
      <c r="AH849" s="566"/>
      <c r="AI849" s="566"/>
      <c r="AJ849" s="566"/>
      <c r="AK849" s="566"/>
      <c r="AL849" s="566"/>
      <c r="AM849" s="566"/>
      <c r="AN849" s="566"/>
      <c r="AO849" s="566"/>
    </row>
    <row r="850" spans="2:41" x14ac:dyDescent="0.15">
      <c r="B850" s="567">
        <v>-4</v>
      </c>
      <c r="C850" s="566"/>
      <c r="D850" s="566"/>
      <c r="E850" s="566"/>
      <c r="F850" s="566"/>
      <c r="G850" s="566"/>
      <c r="H850" s="566"/>
      <c r="I850" s="566"/>
      <c r="J850" s="566"/>
      <c r="K850" s="566"/>
      <c r="L850" s="566"/>
      <c r="M850" s="566"/>
      <c r="N850" s="566"/>
      <c r="O850" s="566"/>
      <c r="P850" s="566"/>
      <c r="Q850" s="566"/>
      <c r="R850" s="566"/>
      <c r="S850" s="566"/>
      <c r="T850" s="566"/>
      <c r="U850" s="566"/>
      <c r="V850" s="566"/>
      <c r="W850" s="566"/>
      <c r="X850" s="566"/>
      <c r="Y850" s="566"/>
      <c r="Z850" s="566"/>
      <c r="AA850" s="566"/>
      <c r="AB850" s="566"/>
      <c r="AC850" s="566"/>
      <c r="AD850" s="566"/>
      <c r="AE850" s="566"/>
      <c r="AF850" s="566"/>
      <c r="AG850" s="566"/>
      <c r="AH850" s="566"/>
      <c r="AI850" s="566"/>
      <c r="AJ850" s="566"/>
      <c r="AK850" s="566"/>
      <c r="AL850" s="566"/>
      <c r="AM850" s="566"/>
      <c r="AN850" s="566"/>
      <c r="AO850" s="566"/>
    </row>
    <row r="851" spans="2:41" x14ac:dyDescent="0.15">
      <c r="B851" s="567">
        <v>-3</v>
      </c>
      <c r="C851" s="566"/>
      <c r="D851" s="566"/>
      <c r="E851" s="566"/>
      <c r="F851" s="566"/>
      <c r="G851" s="566"/>
      <c r="H851" s="566"/>
      <c r="I851" s="566"/>
      <c r="J851" s="566"/>
      <c r="K851" s="566"/>
      <c r="L851" s="566"/>
      <c r="M851" s="566"/>
      <c r="N851" s="566"/>
      <c r="O851" s="566"/>
      <c r="P851" s="566"/>
      <c r="Q851" s="566"/>
      <c r="R851" s="566"/>
      <c r="S851" s="566"/>
      <c r="T851" s="566"/>
      <c r="U851" s="566"/>
      <c r="V851" s="566"/>
      <c r="W851" s="566"/>
      <c r="X851" s="566"/>
      <c r="Y851" s="566"/>
      <c r="Z851" s="566"/>
      <c r="AA851" s="566"/>
      <c r="AB851" s="566"/>
      <c r="AC851" s="566"/>
      <c r="AD851" s="566"/>
      <c r="AE851" s="566"/>
      <c r="AF851" s="566"/>
      <c r="AG851" s="566"/>
      <c r="AH851" s="566"/>
      <c r="AI851" s="566"/>
      <c r="AJ851" s="566"/>
      <c r="AK851" s="566"/>
      <c r="AL851" s="566"/>
      <c r="AM851" s="566"/>
      <c r="AN851" s="566"/>
      <c r="AO851" s="566"/>
    </row>
    <row r="852" spans="2:41" x14ac:dyDescent="0.15">
      <c r="B852" s="567">
        <v>-2</v>
      </c>
      <c r="C852" s="566"/>
      <c r="D852" s="566"/>
      <c r="E852" s="566"/>
      <c r="F852" s="566"/>
      <c r="G852" s="566"/>
      <c r="H852" s="566"/>
      <c r="I852" s="566"/>
      <c r="J852" s="566"/>
      <c r="K852" s="566"/>
      <c r="L852" s="566"/>
      <c r="M852" s="566"/>
      <c r="N852" s="566"/>
      <c r="O852" s="566"/>
      <c r="P852" s="566"/>
      <c r="Q852" s="566"/>
      <c r="R852" s="566"/>
      <c r="S852" s="566"/>
      <c r="T852" s="566"/>
      <c r="U852" s="566"/>
      <c r="V852" s="566"/>
      <c r="W852" s="566"/>
      <c r="X852" s="566"/>
      <c r="Y852" s="566"/>
      <c r="Z852" s="566"/>
      <c r="AA852" s="566"/>
      <c r="AB852" s="566"/>
      <c r="AC852" s="566"/>
      <c r="AD852" s="566"/>
      <c r="AE852" s="566"/>
      <c r="AF852" s="566"/>
      <c r="AG852" s="566"/>
      <c r="AH852" s="566"/>
      <c r="AI852" s="566"/>
      <c r="AJ852" s="566"/>
      <c r="AK852" s="566"/>
      <c r="AL852" s="566"/>
      <c r="AM852" s="566"/>
      <c r="AN852" s="566"/>
      <c r="AO852" s="566"/>
    </row>
    <row r="853" spans="2:41" x14ac:dyDescent="0.15">
      <c r="B853" s="567">
        <v>-1</v>
      </c>
      <c r="C853" s="566"/>
      <c r="D853" s="566"/>
      <c r="E853" s="566"/>
      <c r="F853" s="566"/>
      <c r="G853" s="566"/>
      <c r="H853" s="566"/>
      <c r="I853" s="566"/>
      <c r="J853" s="566"/>
      <c r="K853" s="566"/>
      <c r="L853" s="566"/>
      <c r="M853" s="566"/>
      <c r="N853" s="566"/>
      <c r="O853" s="566"/>
      <c r="P853" s="566"/>
      <c r="Q853" s="566"/>
      <c r="R853" s="566"/>
      <c r="S853" s="566"/>
      <c r="T853" s="566"/>
      <c r="U853" s="566"/>
      <c r="V853" s="566"/>
      <c r="W853" s="566"/>
      <c r="X853" s="566"/>
      <c r="Y853" s="566"/>
      <c r="Z853" s="566"/>
      <c r="AA853" s="566"/>
      <c r="AB853" s="566"/>
      <c r="AC853" s="566"/>
      <c r="AD853" s="566"/>
      <c r="AE853" s="566"/>
      <c r="AF853" s="566"/>
      <c r="AG853" s="566"/>
      <c r="AH853" s="566"/>
      <c r="AI853" s="566"/>
      <c r="AJ853" s="566"/>
      <c r="AK853" s="566"/>
      <c r="AL853" s="566"/>
      <c r="AM853" s="566"/>
      <c r="AN853" s="566"/>
      <c r="AO853" s="566"/>
    </row>
    <row r="854" spans="2:41" x14ac:dyDescent="0.15">
      <c r="B854" s="567">
        <v>0</v>
      </c>
      <c r="C854" s="566"/>
      <c r="D854" s="566"/>
      <c r="E854" s="566"/>
      <c r="F854" s="566"/>
      <c r="G854" s="566"/>
      <c r="H854" s="566"/>
      <c r="I854" s="566"/>
      <c r="J854" s="566"/>
      <c r="K854" s="566"/>
      <c r="L854" s="566"/>
      <c r="M854" s="566"/>
      <c r="N854" s="566"/>
      <c r="O854" s="566"/>
      <c r="P854" s="566"/>
      <c r="Q854" s="566"/>
      <c r="R854" s="566"/>
      <c r="S854" s="566"/>
      <c r="T854" s="566"/>
      <c r="U854" s="566"/>
      <c r="V854" s="566"/>
      <c r="W854" s="566"/>
      <c r="X854" s="566"/>
      <c r="Y854" s="566"/>
      <c r="Z854" s="566"/>
      <c r="AA854" s="566"/>
      <c r="AB854" s="566"/>
      <c r="AC854" s="566"/>
      <c r="AD854" s="566"/>
      <c r="AE854" s="566"/>
      <c r="AF854" s="566"/>
      <c r="AG854" s="566"/>
      <c r="AH854" s="566"/>
      <c r="AI854" s="566"/>
      <c r="AJ854" s="566"/>
      <c r="AK854" s="566"/>
      <c r="AL854" s="566"/>
      <c r="AM854" s="566"/>
      <c r="AN854" s="566"/>
      <c r="AO854" s="566"/>
    </row>
    <row r="855" spans="2:41" x14ac:dyDescent="0.15">
      <c r="B855" s="567">
        <v>1</v>
      </c>
      <c r="C855" s="566"/>
      <c r="D855" s="566"/>
      <c r="E855" s="566"/>
      <c r="F855" s="566"/>
      <c r="G855" s="566"/>
      <c r="H855" s="566"/>
      <c r="I855" s="566"/>
      <c r="J855" s="566"/>
      <c r="K855" s="566"/>
      <c r="L855" s="566"/>
      <c r="M855" s="566"/>
      <c r="N855" s="566"/>
      <c r="O855" s="566"/>
      <c r="P855" s="566"/>
      <c r="Q855" s="566"/>
      <c r="R855" s="566"/>
      <c r="S855" s="566"/>
      <c r="T855" s="566"/>
      <c r="U855" s="566"/>
      <c r="V855" s="566"/>
      <c r="W855" s="566"/>
      <c r="X855" s="566"/>
      <c r="Y855" s="566"/>
      <c r="Z855" s="566"/>
      <c r="AA855" s="566"/>
      <c r="AB855" s="566"/>
      <c r="AC855" s="566"/>
      <c r="AD855" s="566"/>
      <c r="AE855" s="566"/>
      <c r="AF855" s="566"/>
      <c r="AG855" s="566"/>
      <c r="AH855" s="566"/>
      <c r="AI855" s="566"/>
      <c r="AJ855" s="566"/>
      <c r="AK855" s="566"/>
      <c r="AL855" s="566"/>
      <c r="AM855" s="566"/>
      <c r="AN855" s="566"/>
      <c r="AO855" s="566"/>
    </row>
    <row r="856" spans="2:41" x14ac:dyDescent="0.15">
      <c r="B856" s="567">
        <v>2</v>
      </c>
      <c r="C856" s="566"/>
      <c r="D856" s="566"/>
      <c r="E856" s="566"/>
      <c r="F856" s="566"/>
      <c r="G856" s="566"/>
      <c r="H856" s="566"/>
      <c r="I856" s="566"/>
      <c r="J856" s="566"/>
      <c r="K856" s="566"/>
      <c r="L856" s="566"/>
      <c r="M856" s="566"/>
      <c r="N856" s="566"/>
      <c r="O856" s="566"/>
      <c r="P856" s="566"/>
      <c r="Q856" s="566"/>
      <c r="R856" s="566"/>
      <c r="S856" s="566"/>
      <c r="T856" s="566"/>
      <c r="U856" s="566"/>
      <c r="V856" s="566"/>
      <c r="W856" s="566"/>
      <c r="X856" s="566"/>
      <c r="Y856" s="566"/>
      <c r="Z856" s="566"/>
      <c r="AA856" s="566"/>
      <c r="AB856" s="566"/>
      <c r="AC856" s="566"/>
      <c r="AD856" s="566"/>
      <c r="AE856" s="566"/>
      <c r="AF856" s="566"/>
      <c r="AG856" s="566"/>
      <c r="AH856" s="566"/>
      <c r="AI856" s="566"/>
      <c r="AJ856" s="566"/>
      <c r="AK856" s="566"/>
      <c r="AL856" s="566"/>
      <c r="AM856" s="566"/>
      <c r="AN856" s="566"/>
      <c r="AO856" s="566"/>
    </row>
    <row r="857" spans="2:41" x14ac:dyDescent="0.15">
      <c r="B857" s="567">
        <v>3</v>
      </c>
      <c r="C857" s="566"/>
      <c r="D857" s="566"/>
      <c r="E857" s="566"/>
      <c r="F857" s="566"/>
      <c r="G857" s="566"/>
      <c r="H857" s="566"/>
      <c r="I857" s="566"/>
      <c r="J857" s="566"/>
      <c r="K857" s="566"/>
      <c r="L857" s="566"/>
      <c r="M857" s="566"/>
      <c r="N857" s="566"/>
      <c r="O857" s="566"/>
      <c r="P857" s="566"/>
      <c r="Q857" s="566"/>
      <c r="R857" s="566"/>
      <c r="S857" s="566"/>
      <c r="T857" s="566"/>
      <c r="U857" s="566"/>
      <c r="V857" s="566"/>
      <c r="W857" s="566"/>
      <c r="X857" s="566"/>
      <c r="Y857" s="566"/>
      <c r="Z857" s="566"/>
      <c r="AA857" s="566"/>
      <c r="AB857" s="566"/>
      <c r="AC857" s="566"/>
      <c r="AD857" s="566"/>
      <c r="AE857" s="566"/>
      <c r="AF857" s="566"/>
      <c r="AG857" s="566"/>
      <c r="AH857" s="566"/>
      <c r="AI857" s="566"/>
      <c r="AJ857" s="566"/>
      <c r="AK857" s="566"/>
      <c r="AL857" s="566"/>
      <c r="AM857" s="566"/>
      <c r="AN857" s="566"/>
      <c r="AO857" s="566"/>
    </row>
    <row r="858" spans="2:41" x14ac:dyDescent="0.15">
      <c r="B858" s="567">
        <v>4</v>
      </c>
      <c r="C858" s="566"/>
      <c r="D858" s="566"/>
      <c r="E858" s="566"/>
      <c r="F858" s="566"/>
      <c r="G858" s="566"/>
      <c r="H858" s="566"/>
      <c r="I858" s="566"/>
      <c r="J858" s="566"/>
      <c r="K858" s="566"/>
      <c r="L858" s="566"/>
      <c r="M858" s="566"/>
      <c r="N858" s="566"/>
      <c r="O858" s="566"/>
      <c r="P858" s="566"/>
      <c r="Q858" s="566"/>
      <c r="R858" s="566"/>
      <c r="S858" s="566"/>
      <c r="T858" s="566"/>
      <c r="U858" s="566"/>
      <c r="V858" s="566"/>
      <c r="W858" s="566"/>
      <c r="X858" s="566"/>
      <c r="Y858" s="566"/>
      <c r="Z858" s="566"/>
      <c r="AA858" s="566"/>
      <c r="AB858" s="566"/>
      <c r="AC858" s="566"/>
      <c r="AD858" s="566"/>
      <c r="AE858" s="566"/>
      <c r="AF858" s="566"/>
      <c r="AG858" s="566"/>
      <c r="AH858" s="566"/>
      <c r="AI858" s="566"/>
      <c r="AJ858" s="566"/>
      <c r="AK858" s="566"/>
      <c r="AL858" s="566"/>
      <c r="AM858" s="566"/>
      <c r="AN858" s="566"/>
      <c r="AO858" s="566"/>
    </row>
    <row r="859" spans="2:41" x14ac:dyDescent="0.15">
      <c r="B859" s="567">
        <v>5</v>
      </c>
      <c r="C859" s="566"/>
      <c r="D859" s="566"/>
      <c r="E859" s="566"/>
      <c r="F859" s="566"/>
      <c r="G859" s="566"/>
      <c r="H859" s="566"/>
      <c r="I859" s="566"/>
      <c r="J859" s="566"/>
      <c r="K859" s="566"/>
      <c r="L859" s="566"/>
      <c r="M859" s="566"/>
      <c r="N859" s="566"/>
      <c r="O859" s="566"/>
      <c r="P859" s="566"/>
      <c r="Q859" s="566"/>
      <c r="R859" s="566"/>
      <c r="S859" s="566"/>
      <c r="T859" s="566"/>
      <c r="U859" s="566"/>
      <c r="V859" s="566"/>
      <c r="W859" s="566"/>
      <c r="X859" s="566"/>
      <c r="Y859" s="566"/>
      <c r="Z859" s="566"/>
      <c r="AA859" s="566"/>
      <c r="AB859" s="566"/>
      <c r="AC859" s="566"/>
      <c r="AD859" s="566"/>
      <c r="AE859" s="566"/>
      <c r="AF859" s="566"/>
      <c r="AG859" s="566"/>
      <c r="AH859" s="566"/>
      <c r="AI859" s="566"/>
      <c r="AJ859" s="566"/>
      <c r="AK859" s="566"/>
      <c r="AL859" s="566"/>
      <c r="AM859" s="566"/>
      <c r="AN859" s="566"/>
      <c r="AO859" s="566"/>
    </row>
    <row r="860" spans="2:41" x14ac:dyDescent="0.15">
      <c r="B860" s="567">
        <v>6</v>
      </c>
      <c r="C860" s="566"/>
      <c r="D860" s="566"/>
      <c r="E860" s="566"/>
      <c r="F860" s="566"/>
      <c r="G860" s="566"/>
      <c r="H860" s="566"/>
      <c r="I860" s="566"/>
      <c r="J860" s="566"/>
      <c r="K860" s="566"/>
      <c r="L860" s="566"/>
      <c r="M860" s="566"/>
      <c r="N860" s="566"/>
      <c r="O860" s="566"/>
      <c r="P860" s="566"/>
      <c r="Q860" s="566"/>
      <c r="R860" s="566"/>
      <c r="S860" s="566"/>
      <c r="T860" s="566"/>
      <c r="U860" s="566"/>
      <c r="V860" s="566"/>
      <c r="W860" s="566"/>
      <c r="X860" s="566"/>
      <c r="Y860" s="566"/>
      <c r="Z860" s="566"/>
      <c r="AA860" s="566"/>
      <c r="AB860" s="566"/>
      <c r="AC860" s="566"/>
      <c r="AD860" s="566"/>
      <c r="AE860" s="566"/>
      <c r="AF860" s="566"/>
      <c r="AG860" s="566"/>
      <c r="AH860" s="566"/>
      <c r="AI860" s="566"/>
      <c r="AJ860" s="566"/>
      <c r="AK860" s="566"/>
      <c r="AL860" s="566"/>
      <c r="AM860" s="566"/>
      <c r="AN860" s="566"/>
      <c r="AO860" s="566"/>
    </row>
    <row r="861" spans="2:41" x14ac:dyDescent="0.15">
      <c r="B861" s="567">
        <v>7</v>
      </c>
      <c r="C861" s="566"/>
      <c r="D861" s="566"/>
      <c r="E861" s="566"/>
      <c r="F861" s="566"/>
      <c r="G861" s="566"/>
      <c r="H861" s="566"/>
      <c r="I861" s="566"/>
      <c r="J861" s="566"/>
      <c r="K861" s="566"/>
      <c r="L861" s="566"/>
      <c r="M861" s="566"/>
      <c r="N861" s="566"/>
      <c r="O861" s="566"/>
      <c r="P861" s="566"/>
      <c r="Q861" s="566"/>
      <c r="R861" s="566"/>
      <c r="S861" s="566"/>
      <c r="T861" s="566"/>
      <c r="U861" s="566"/>
      <c r="V861" s="566"/>
      <c r="W861" s="566"/>
      <c r="X861" s="566"/>
      <c r="Y861" s="566"/>
      <c r="Z861" s="566"/>
      <c r="AA861" s="566"/>
      <c r="AB861" s="566"/>
      <c r="AC861" s="566"/>
      <c r="AD861" s="566"/>
      <c r="AE861" s="566"/>
      <c r="AF861" s="566"/>
      <c r="AG861" s="566"/>
      <c r="AH861" s="566"/>
      <c r="AI861" s="566"/>
      <c r="AJ861" s="566"/>
      <c r="AK861" s="566"/>
      <c r="AL861" s="566"/>
      <c r="AM861" s="566"/>
      <c r="AN861" s="566"/>
      <c r="AO861" s="566"/>
    </row>
    <row r="862" spans="2:41" x14ac:dyDescent="0.15">
      <c r="B862" s="567">
        <v>8</v>
      </c>
      <c r="C862" s="566"/>
      <c r="D862" s="566"/>
      <c r="E862" s="566"/>
      <c r="F862" s="566"/>
      <c r="G862" s="566"/>
      <c r="H862" s="566"/>
      <c r="I862" s="566"/>
      <c r="J862" s="566"/>
      <c r="K862" s="566"/>
      <c r="L862" s="566"/>
      <c r="M862" s="566"/>
      <c r="N862" s="566"/>
      <c r="O862" s="566"/>
      <c r="P862" s="566"/>
      <c r="Q862" s="566"/>
      <c r="R862" s="566"/>
      <c r="S862" s="566"/>
      <c r="T862" s="566"/>
      <c r="U862" s="566"/>
      <c r="V862" s="566"/>
      <c r="W862" s="566"/>
      <c r="X862" s="566"/>
      <c r="Y862" s="566"/>
      <c r="Z862" s="566"/>
      <c r="AA862" s="566"/>
      <c r="AB862" s="566"/>
      <c r="AC862" s="566"/>
      <c r="AD862" s="566"/>
      <c r="AE862" s="566"/>
      <c r="AF862" s="566"/>
      <c r="AG862" s="566"/>
      <c r="AH862" s="566"/>
      <c r="AI862" s="566"/>
      <c r="AJ862" s="566"/>
      <c r="AK862" s="566"/>
      <c r="AL862" s="566"/>
      <c r="AM862" s="566"/>
      <c r="AN862" s="566"/>
      <c r="AO862" s="566"/>
    </row>
    <row r="863" spans="2:41" x14ac:dyDescent="0.15">
      <c r="B863" s="567">
        <v>9</v>
      </c>
      <c r="C863" s="566"/>
      <c r="D863" s="566"/>
      <c r="E863" s="566"/>
      <c r="F863" s="566"/>
      <c r="G863" s="566"/>
      <c r="H863" s="566"/>
      <c r="I863" s="566"/>
      <c r="J863" s="566"/>
      <c r="K863" s="566"/>
      <c r="L863" s="566"/>
      <c r="M863" s="566"/>
      <c r="N863" s="566"/>
      <c r="O863" s="566"/>
      <c r="P863" s="566"/>
      <c r="Q863" s="566"/>
      <c r="R863" s="566"/>
      <c r="S863" s="566"/>
      <c r="T863" s="566"/>
      <c r="U863" s="566"/>
      <c r="V863" s="566"/>
      <c r="W863" s="566"/>
      <c r="X863" s="566"/>
      <c r="Y863" s="566"/>
      <c r="Z863" s="566"/>
      <c r="AA863" s="566"/>
      <c r="AB863" s="566"/>
      <c r="AC863" s="566"/>
      <c r="AD863" s="566"/>
      <c r="AE863" s="566"/>
      <c r="AF863" s="566"/>
      <c r="AG863" s="566"/>
      <c r="AH863" s="566"/>
      <c r="AI863" s="566"/>
      <c r="AJ863" s="566"/>
      <c r="AK863" s="566"/>
      <c r="AL863" s="566"/>
      <c r="AM863" s="566"/>
      <c r="AN863" s="566"/>
      <c r="AO863" s="566"/>
    </row>
    <row r="864" spans="2:41" x14ac:dyDescent="0.15">
      <c r="B864" s="567">
        <v>10</v>
      </c>
      <c r="C864" s="566"/>
      <c r="D864" s="566"/>
      <c r="E864" s="566"/>
      <c r="F864" s="566"/>
      <c r="G864" s="566"/>
      <c r="H864" s="566"/>
      <c r="I864" s="566"/>
      <c r="J864" s="566"/>
      <c r="K864" s="566"/>
      <c r="L864" s="566"/>
      <c r="M864" s="566"/>
      <c r="N864" s="566"/>
      <c r="O864" s="566"/>
      <c r="P864" s="566"/>
      <c r="Q864" s="566"/>
      <c r="R864" s="566"/>
      <c r="S864" s="566"/>
      <c r="T864" s="566"/>
      <c r="U864" s="566"/>
      <c r="V864" s="566"/>
      <c r="W864" s="566"/>
      <c r="X864" s="566"/>
      <c r="Y864" s="566"/>
      <c r="Z864" s="566"/>
      <c r="AA864" s="566"/>
      <c r="AB864" s="566"/>
      <c r="AC864" s="566"/>
      <c r="AD864" s="566"/>
      <c r="AE864" s="566"/>
      <c r="AF864" s="566"/>
      <c r="AG864" s="566"/>
      <c r="AH864" s="566"/>
      <c r="AI864" s="566"/>
      <c r="AJ864" s="566"/>
      <c r="AK864" s="566"/>
      <c r="AL864" s="566"/>
      <c r="AM864" s="566"/>
      <c r="AN864" s="566"/>
      <c r="AO864" s="566"/>
    </row>
    <row r="865" spans="2:41" x14ac:dyDescent="0.15">
      <c r="B865" s="567">
        <v>11</v>
      </c>
      <c r="C865" s="566"/>
      <c r="D865" s="566"/>
      <c r="E865" s="566"/>
      <c r="F865" s="566"/>
      <c r="G865" s="566"/>
      <c r="H865" s="566"/>
      <c r="I865" s="566"/>
      <c r="J865" s="566"/>
      <c r="K865" s="566"/>
      <c r="L865" s="566"/>
      <c r="M865" s="566"/>
      <c r="N865" s="566"/>
      <c r="O865" s="566"/>
      <c r="P865" s="566"/>
      <c r="Q865" s="566"/>
      <c r="R865" s="566"/>
      <c r="S865" s="566"/>
      <c r="T865" s="566"/>
      <c r="U865" s="566"/>
      <c r="V865" s="566"/>
      <c r="W865" s="566"/>
      <c r="X865" s="566"/>
      <c r="Y865" s="566"/>
      <c r="Z865" s="566"/>
      <c r="AA865" s="566"/>
      <c r="AB865" s="566"/>
      <c r="AC865" s="566"/>
      <c r="AD865" s="566"/>
      <c r="AE865" s="566"/>
      <c r="AF865" s="566"/>
      <c r="AG865" s="566"/>
      <c r="AH865" s="566"/>
      <c r="AI865" s="566"/>
      <c r="AJ865" s="566"/>
      <c r="AK865" s="566"/>
      <c r="AL865" s="566"/>
      <c r="AM865" s="566"/>
      <c r="AN865" s="566"/>
      <c r="AO865" s="566"/>
    </row>
    <row r="866" spans="2:41" x14ac:dyDescent="0.15">
      <c r="B866" s="567">
        <v>12</v>
      </c>
      <c r="C866" s="566"/>
      <c r="D866" s="566"/>
      <c r="E866" s="566"/>
      <c r="F866" s="566"/>
      <c r="G866" s="566"/>
      <c r="H866" s="566"/>
      <c r="I866" s="566"/>
      <c r="J866" s="566"/>
      <c r="K866" s="566"/>
      <c r="L866" s="566"/>
      <c r="M866" s="566"/>
      <c r="N866" s="566"/>
      <c r="O866" s="566"/>
      <c r="P866" s="566"/>
      <c r="Q866" s="566"/>
      <c r="R866" s="566"/>
      <c r="S866" s="566"/>
      <c r="T866" s="566"/>
      <c r="U866" s="566"/>
      <c r="V866" s="566"/>
      <c r="W866" s="566"/>
      <c r="X866" s="566"/>
      <c r="Y866" s="566"/>
      <c r="Z866" s="566"/>
      <c r="AA866" s="566"/>
      <c r="AB866" s="566"/>
      <c r="AC866" s="566"/>
      <c r="AD866" s="566"/>
      <c r="AE866" s="566"/>
      <c r="AF866" s="566"/>
      <c r="AG866" s="566"/>
      <c r="AH866" s="566"/>
      <c r="AI866" s="566"/>
      <c r="AJ866" s="566"/>
      <c r="AK866" s="566"/>
      <c r="AL866" s="566"/>
      <c r="AM866" s="566"/>
      <c r="AN866" s="566"/>
      <c r="AO866" s="566"/>
    </row>
    <row r="867" spans="2:41" x14ac:dyDescent="0.15">
      <c r="B867" s="567">
        <v>13</v>
      </c>
      <c r="C867" s="566"/>
      <c r="D867" s="566"/>
      <c r="E867" s="566"/>
      <c r="F867" s="566"/>
      <c r="G867" s="566"/>
      <c r="H867" s="566"/>
      <c r="I867" s="566"/>
      <c r="J867" s="566"/>
      <c r="K867" s="566"/>
      <c r="L867" s="566"/>
      <c r="M867" s="566"/>
      <c r="N867" s="566"/>
      <c r="O867" s="566"/>
      <c r="P867" s="566"/>
      <c r="Q867" s="566"/>
      <c r="R867" s="566"/>
      <c r="S867" s="566"/>
      <c r="T867" s="566"/>
      <c r="U867" s="566"/>
      <c r="V867" s="566"/>
      <c r="W867" s="566"/>
      <c r="X867" s="566"/>
      <c r="Y867" s="566"/>
      <c r="Z867" s="566"/>
      <c r="AA867" s="566"/>
      <c r="AB867" s="566"/>
      <c r="AC867" s="566"/>
      <c r="AD867" s="566"/>
      <c r="AE867" s="566"/>
      <c r="AF867" s="566"/>
      <c r="AG867" s="566"/>
      <c r="AH867" s="566"/>
      <c r="AI867" s="566"/>
      <c r="AJ867" s="566"/>
      <c r="AK867" s="566"/>
      <c r="AL867" s="566"/>
      <c r="AM867" s="566"/>
      <c r="AN867" s="566"/>
      <c r="AO867" s="566"/>
    </row>
    <row r="868" spans="2:41" x14ac:dyDescent="0.15">
      <c r="B868" s="567">
        <v>14</v>
      </c>
      <c r="C868" s="566"/>
      <c r="D868" s="566"/>
      <c r="E868" s="566"/>
      <c r="F868" s="566"/>
      <c r="G868" s="566"/>
      <c r="H868" s="566"/>
      <c r="I868" s="566"/>
      <c r="J868" s="566"/>
      <c r="K868" s="566"/>
      <c r="L868" s="566"/>
      <c r="M868" s="566"/>
      <c r="N868" s="566"/>
      <c r="O868" s="566"/>
      <c r="P868" s="566"/>
      <c r="Q868" s="566"/>
      <c r="R868" s="566"/>
      <c r="S868" s="566"/>
      <c r="T868" s="566"/>
      <c r="U868" s="566"/>
      <c r="V868" s="566"/>
      <c r="W868" s="566"/>
      <c r="X868" s="566"/>
      <c r="Y868" s="566"/>
      <c r="Z868" s="566"/>
      <c r="AA868" s="566"/>
      <c r="AB868" s="566"/>
      <c r="AC868" s="566"/>
      <c r="AD868" s="566"/>
      <c r="AE868" s="566"/>
      <c r="AF868" s="566"/>
      <c r="AG868" s="566"/>
      <c r="AH868" s="566"/>
      <c r="AI868" s="566"/>
      <c r="AJ868" s="566"/>
      <c r="AK868" s="566"/>
      <c r="AL868" s="566"/>
      <c r="AM868" s="566"/>
      <c r="AN868" s="566"/>
      <c r="AO868" s="566"/>
    </row>
    <row r="869" spans="2:41" x14ac:dyDescent="0.15">
      <c r="B869" s="567">
        <v>15</v>
      </c>
      <c r="C869" s="566"/>
      <c r="D869" s="566"/>
      <c r="E869" s="566"/>
      <c r="F869" s="566"/>
      <c r="G869" s="566"/>
      <c r="H869" s="566"/>
      <c r="I869" s="566"/>
      <c r="J869" s="566"/>
      <c r="K869" s="566"/>
      <c r="L869" s="566"/>
      <c r="M869" s="566"/>
      <c r="N869" s="566"/>
      <c r="O869" s="566"/>
      <c r="P869" s="566"/>
      <c r="Q869" s="566"/>
      <c r="R869" s="566"/>
      <c r="S869" s="566"/>
      <c r="T869" s="566"/>
      <c r="U869" s="566"/>
      <c r="V869" s="566"/>
      <c r="W869" s="566"/>
      <c r="X869" s="566"/>
      <c r="Y869" s="566"/>
      <c r="Z869" s="566"/>
      <c r="AA869" s="566"/>
      <c r="AB869" s="566"/>
      <c r="AC869" s="566"/>
      <c r="AD869" s="566"/>
      <c r="AE869" s="566"/>
      <c r="AF869" s="566"/>
      <c r="AG869" s="566"/>
      <c r="AH869" s="566"/>
      <c r="AI869" s="566"/>
      <c r="AJ869" s="566"/>
      <c r="AK869" s="566"/>
      <c r="AL869" s="566"/>
      <c r="AM869" s="566"/>
      <c r="AN869" s="566"/>
      <c r="AO869" s="566"/>
    </row>
    <row r="870" spans="2:41" x14ac:dyDescent="0.15">
      <c r="B870" s="567">
        <v>16</v>
      </c>
      <c r="C870" s="566"/>
      <c r="D870" s="566"/>
      <c r="E870" s="566"/>
      <c r="F870" s="566"/>
      <c r="G870" s="566"/>
      <c r="H870" s="566"/>
      <c r="I870" s="566"/>
      <c r="J870" s="566"/>
      <c r="K870" s="566"/>
      <c r="L870" s="566"/>
      <c r="M870" s="566"/>
      <c r="N870" s="566"/>
      <c r="O870" s="566"/>
      <c r="P870" s="566"/>
      <c r="Q870" s="566"/>
      <c r="R870" s="566"/>
      <c r="S870" s="566"/>
      <c r="T870" s="566"/>
      <c r="U870" s="566"/>
      <c r="V870" s="566"/>
      <c r="W870" s="566"/>
      <c r="X870" s="566"/>
      <c r="Y870" s="566"/>
      <c r="Z870" s="566"/>
      <c r="AA870" s="566"/>
      <c r="AB870" s="566"/>
      <c r="AC870" s="566"/>
      <c r="AD870" s="566"/>
      <c r="AE870" s="566"/>
      <c r="AF870" s="566"/>
      <c r="AG870" s="566"/>
      <c r="AH870" s="566"/>
      <c r="AI870" s="566"/>
      <c r="AJ870" s="566"/>
      <c r="AK870" s="566"/>
      <c r="AL870" s="566"/>
      <c r="AM870" s="566"/>
      <c r="AN870" s="566"/>
      <c r="AO870" s="566"/>
    </row>
    <row r="871" spans="2:41" x14ac:dyDescent="0.15">
      <c r="B871" s="567">
        <v>17</v>
      </c>
      <c r="C871" s="566"/>
      <c r="D871" s="566"/>
      <c r="E871" s="566"/>
      <c r="F871" s="566"/>
      <c r="G871" s="566"/>
      <c r="H871" s="566"/>
      <c r="I871" s="566"/>
      <c r="J871" s="566"/>
      <c r="K871" s="566"/>
      <c r="L871" s="566"/>
      <c r="M871" s="566"/>
      <c r="N871" s="566"/>
      <c r="O871" s="566"/>
      <c r="P871" s="566"/>
      <c r="Q871" s="566"/>
      <c r="R871" s="566"/>
      <c r="S871" s="566"/>
      <c r="T871" s="566"/>
      <c r="U871" s="566"/>
      <c r="V871" s="566"/>
      <c r="W871" s="566"/>
      <c r="X871" s="566"/>
      <c r="Y871" s="566"/>
      <c r="Z871" s="566"/>
      <c r="AA871" s="566"/>
      <c r="AB871" s="566"/>
      <c r="AC871" s="566"/>
      <c r="AD871" s="566"/>
      <c r="AE871" s="566"/>
      <c r="AF871" s="566"/>
      <c r="AG871" s="566"/>
      <c r="AH871" s="566"/>
      <c r="AI871" s="566"/>
      <c r="AJ871" s="566"/>
      <c r="AK871" s="566"/>
      <c r="AL871" s="566"/>
      <c r="AM871" s="566"/>
      <c r="AN871" s="566"/>
      <c r="AO871" s="566"/>
    </row>
    <row r="872" spans="2:41" x14ac:dyDescent="0.15">
      <c r="B872" s="567">
        <v>18</v>
      </c>
      <c r="C872" s="566"/>
      <c r="D872" s="566"/>
      <c r="E872" s="566"/>
      <c r="F872" s="566"/>
      <c r="G872" s="566"/>
      <c r="H872" s="566"/>
      <c r="I872" s="566"/>
      <c r="J872" s="566"/>
      <c r="K872" s="566"/>
      <c r="L872" s="566"/>
      <c r="M872" s="566"/>
      <c r="N872" s="566"/>
      <c r="O872" s="566"/>
      <c r="P872" s="566"/>
      <c r="Q872" s="566"/>
      <c r="R872" s="566"/>
      <c r="S872" s="566"/>
      <c r="T872" s="566"/>
      <c r="U872" s="566"/>
      <c r="V872" s="566"/>
      <c r="W872" s="566"/>
      <c r="X872" s="566"/>
      <c r="Y872" s="566"/>
      <c r="Z872" s="566"/>
      <c r="AA872" s="566"/>
      <c r="AB872" s="566"/>
      <c r="AC872" s="566"/>
      <c r="AD872" s="566"/>
      <c r="AE872" s="566"/>
      <c r="AF872" s="566"/>
      <c r="AG872" s="566"/>
      <c r="AH872" s="566"/>
      <c r="AI872" s="566"/>
      <c r="AJ872" s="566"/>
      <c r="AK872" s="566"/>
      <c r="AL872" s="566"/>
      <c r="AM872" s="566"/>
      <c r="AN872" s="566"/>
      <c r="AO872" s="566"/>
    </row>
    <row r="873" spans="2:41" x14ac:dyDescent="0.15">
      <c r="B873" s="567">
        <v>19</v>
      </c>
      <c r="C873" s="566"/>
      <c r="D873" s="566"/>
      <c r="E873" s="566"/>
      <c r="F873" s="566"/>
      <c r="G873" s="566"/>
      <c r="H873" s="566"/>
      <c r="I873" s="566"/>
      <c r="J873" s="566"/>
      <c r="K873" s="566"/>
      <c r="L873" s="566"/>
      <c r="M873" s="566"/>
      <c r="N873" s="566"/>
      <c r="O873" s="566"/>
      <c r="P873" s="566"/>
      <c r="Q873" s="566"/>
      <c r="R873" s="566"/>
      <c r="S873" s="566"/>
      <c r="T873" s="566"/>
      <c r="U873" s="566"/>
      <c r="V873" s="566"/>
      <c r="W873" s="566"/>
      <c r="X873" s="566"/>
      <c r="Y873" s="566"/>
      <c r="Z873" s="566"/>
      <c r="AA873" s="566"/>
      <c r="AB873" s="566"/>
      <c r="AC873" s="566"/>
      <c r="AD873" s="566"/>
      <c r="AE873" s="566"/>
      <c r="AF873" s="566"/>
      <c r="AG873" s="566"/>
      <c r="AH873" s="566"/>
      <c r="AI873" s="566"/>
      <c r="AJ873" s="566"/>
      <c r="AK873" s="566"/>
      <c r="AL873" s="566"/>
      <c r="AM873" s="566"/>
      <c r="AN873" s="566"/>
      <c r="AO873" s="566"/>
    </row>
    <row r="874" spans="2:41" x14ac:dyDescent="0.15">
      <c r="B874" s="567">
        <v>20</v>
      </c>
      <c r="C874" s="566"/>
      <c r="D874" s="566"/>
      <c r="E874" s="566"/>
      <c r="F874" s="566"/>
      <c r="G874" s="566"/>
      <c r="H874" s="566"/>
      <c r="I874" s="566"/>
      <c r="J874" s="566"/>
      <c r="K874" s="566"/>
      <c r="L874" s="566"/>
      <c r="M874" s="566"/>
      <c r="N874" s="566"/>
      <c r="O874" s="566"/>
      <c r="P874" s="566"/>
      <c r="Q874" s="566"/>
      <c r="R874" s="566"/>
      <c r="S874" s="566"/>
      <c r="T874" s="566"/>
      <c r="U874" s="566"/>
      <c r="V874" s="566"/>
      <c r="W874" s="566"/>
      <c r="X874" s="566"/>
      <c r="Y874" s="566"/>
      <c r="Z874" s="566"/>
      <c r="AA874" s="566"/>
      <c r="AB874" s="566"/>
      <c r="AC874" s="566"/>
      <c r="AD874" s="566"/>
      <c r="AE874" s="566"/>
      <c r="AF874" s="566"/>
      <c r="AG874" s="566"/>
      <c r="AH874" s="566"/>
      <c r="AI874" s="566"/>
      <c r="AJ874" s="566"/>
      <c r="AK874" s="566"/>
      <c r="AL874" s="566"/>
      <c r="AM874" s="566"/>
      <c r="AN874" s="566"/>
      <c r="AO874" s="566"/>
    </row>
    <row r="875" spans="2:41" x14ac:dyDescent="0.15">
      <c r="B875" s="567">
        <v>21</v>
      </c>
      <c r="C875" s="566"/>
      <c r="D875" s="566"/>
      <c r="E875" s="566"/>
      <c r="F875" s="566"/>
      <c r="G875" s="566"/>
      <c r="H875" s="566"/>
      <c r="I875" s="566"/>
      <c r="J875" s="566"/>
      <c r="K875" s="566"/>
      <c r="L875" s="566"/>
      <c r="M875" s="566"/>
      <c r="N875" s="566"/>
      <c r="O875" s="566"/>
      <c r="P875" s="566"/>
      <c r="Q875" s="566"/>
      <c r="R875" s="566"/>
      <c r="S875" s="566"/>
      <c r="T875" s="566"/>
      <c r="U875" s="566"/>
      <c r="V875" s="566"/>
      <c r="W875" s="566"/>
      <c r="X875" s="566"/>
      <c r="Y875" s="566"/>
      <c r="Z875" s="566"/>
      <c r="AA875" s="566"/>
      <c r="AB875" s="566"/>
      <c r="AC875" s="566"/>
      <c r="AD875" s="566"/>
      <c r="AE875" s="566"/>
      <c r="AF875" s="566"/>
      <c r="AG875" s="566"/>
      <c r="AH875" s="566"/>
      <c r="AI875" s="566"/>
      <c r="AJ875" s="566"/>
      <c r="AK875" s="566"/>
      <c r="AL875" s="566"/>
      <c r="AM875" s="566"/>
      <c r="AN875" s="566"/>
      <c r="AO875" s="566"/>
    </row>
    <row r="876" spans="2:41" x14ac:dyDescent="0.15">
      <c r="B876" s="567">
        <v>22</v>
      </c>
      <c r="C876" s="566"/>
      <c r="D876" s="566"/>
      <c r="E876" s="566"/>
      <c r="F876" s="566"/>
      <c r="G876" s="566"/>
      <c r="H876" s="566"/>
      <c r="I876" s="566"/>
      <c r="J876" s="566"/>
      <c r="K876" s="566"/>
      <c r="L876" s="566"/>
      <c r="M876" s="566"/>
      <c r="N876" s="566"/>
      <c r="O876" s="566"/>
      <c r="P876" s="566"/>
      <c r="Q876" s="566"/>
      <c r="R876" s="566"/>
      <c r="S876" s="566"/>
      <c r="T876" s="566"/>
      <c r="U876" s="566"/>
      <c r="V876" s="566"/>
      <c r="W876" s="566"/>
      <c r="X876" s="566"/>
      <c r="Y876" s="566"/>
      <c r="Z876" s="566"/>
      <c r="AA876" s="566"/>
      <c r="AB876" s="566"/>
      <c r="AC876" s="566"/>
      <c r="AD876" s="566"/>
      <c r="AE876" s="566"/>
      <c r="AF876" s="566"/>
      <c r="AG876" s="566"/>
      <c r="AH876" s="566"/>
      <c r="AI876" s="566"/>
      <c r="AJ876" s="566"/>
      <c r="AK876" s="566"/>
      <c r="AL876" s="566"/>
      <c r="AM876" s="566"/>
      <c r="AN876" s="566"/>
      <c r="AO876" s="566"/>
    </row>
    <row r="877" spans="2:41" x14ac:dyDescent="0.15">
      <c r="B877" s="567">
        <v>23</v>
      </c>
      <c r="C877" s="566"/>
      <c r="D877" s="566"/>
      <c r="E877" s="566"/>
      <c r="F877" s="566"/>
      <c r="G877" s="566"/>
      <c r="H877" s="566"/>
      <c r="I877" s="566"/>
      <c r="J877" s="566"/>
      <c r="K877" s="566"/>
      <c r="L877" s="566"/>
      <c r="M877" s="566"/>
      <c r="N877" s="566"/>
      <c r="O877" s="566"/>
      <c r="P877" s="566"/>
      <c r="Q877" s="566"/>
      <c r="R877" s="566"/>
      <c r="S877" s="566"/>
      <c r="T877" s="566"/>
      <c r="U877" s="566"/>
      <c r="V877" s="566"/>
      <c r="W877" s="566"/>
      <c r="X877" s="566"/>
      <c r="Y877" s="566"/>
      <c r="Z877" s="566"/>
      <c r="AA877" s="566"/>
      <c r="AB877" s="566"/>
      <c r="AC877" s="566"/>
      <c r="AD877" s="566"/>
      <c r="AE877" s="566"/>
      <c r="AF877" s="566"/>
      <c r="AG877" s="566"/>
      <c r="AH877" s="566"/>
      <c r="AI877" s="566"/>
      <c r="AJ877" s="566"/>
      <c r="AK877" s="566"/>
      <c r="AL877" s="566"/>
      <c r="AM877" s="566"/>
      <c r="AN877" s="566"/>
      <c r="AO877" s="566"/>
    </row>
    <row r="878" spans="2:41" x14ac:dyDescent="0.15">
      <c r="B878" s="567">
        <v>24</v>
      </c>
      <c r="C878" s="566"/>
      <c r="D878" s="566"/>
      <c r="E878" s="566"/>
      <c r="F878" s="566"/>
      <c r="G878" s="566"/>
      <c r="H878" s="566"/>
      <c r="I878" s="566"/>
      <c r="J878" s="566"/>
      <c r="K878" s="566"/>
      <c r="L878" s="566"/>
      <c r="M878" s="566"/>
      <c r="N878" s="566"/>
      <c r="O878" s="566"/>
      <c r="P878" s="566"/>
      <c r="Q878" s="566"/>
      <c r="R878" s="566"/>
      <c r="S878" s="566"/>
      <c r="T878" s="566"/>
      <c r="U878" s="566"/>
      <c r="V878" s="566"/>
      <c r="W878" s="566"/>
      <c r="X878" s="566"/>
      <c r="Y878" s="566"/>
      <c r="Z878" s="566"/>
      <c r="AA878" s="566"/>
      <c r="AB878" s="566"/>
      <c r="AC878" s="566"/>
      <c r="AD878" s="566"/>
      <c r="AE878" s="566"/>
      <c r="AF878" s="566"/>
      <c r="AG878" s="566"/>
      <c r="AH878" s="566"/>
      <c r="AI878" s="566"/>
      <c r="AJ878" s="566"/>
      <c r="AK878" s="566"/>
      <c r="AL878" s="566"/>
      <c r="AM878" s="566"/>
      <c r="AN878" s="566"/>
      <c r="AO878" s="566"/>
    </row>
    <row r="879" spans="2:41" x14ac:dyDescent="0.15">
      <c r="B879" s="567">
        <v>25</v>
      </c>
      <c r="C879" s="566"/>
      <c r="D879" s="566"/>
      <c r="E879" s="566"/>
      <c r="F879" s="566"/>
      <c r="G879" s="566"/>
      <c r="H879" s="566"/>
      <c r="I879" s="566"/>
      <c r="J879" s="566"/>
      <c r="K879" s="566"/>
      <c r="L879" s="566"/>
      <c r="M879" s="566"/>
      <c r="N879" s="566"/>
      <c r="O879" s="566"/>
      <c r="P879" s="566"/>
      <c r="Q879" s="566"/>
      <c r="R879" s="566"/>
      <c r="S879" s="566"/>
      <c r="T879" s="566"/>
      <c r="U879" s="566"/>
      <c r="V879" s="566"/>
      <c r="W879" s="566"/>
      <c r="X879" s="566"/>
      <c r="Y879" s="566"/>
      <c r="Z879" s="566"/>
      <c r="AA879" s="566"/>
      <c r="AB879" s="566"/>
      <c r="AC879" s="566"/>
      <c r="AD879" s="566"/>
      <c r="AE879" s="566"/>
      <c r="AF879" s="566"/>
      <c r="AG879" s="566"/>
      <c r="AH879" s="566"/>
      <c r="AI879" s="566"/>
      <c r="AJ879" s="566"/>
      <c r="AK879" s="566"/>
      <c r="AL879" s="566"/>
      <c r="AM879" s="566"/>
      <c r="AN879" s="566"/>
      <c r="AO879" s="566"/>
    </row>
    <row r="880" spans="2:41" x14ac:dyDescent="0.15">
      <c r="B880" s="567">
        <v>26</v>
      </c>
      <c r="C880" s="566"/>
      <c r="D880" s="566"/>
      <c r="E880" s="566"/>
      <c r="F880" s="566"/>
      <c r="G880" s="566"/>
      <c r="H880" s="566"/>
      <c r="I880" s="566"/>
      <c r="J880" s="566"/>
      <c r="K880" s="566"/>
      <c r="L880" s="566"/>
      <c r="M880" s="566"/>
      <c r="N880" s="566"/>
      <c r="O880" s="566"/>
      <c r="P880" s="566"/>
      <c r="Q880" s="566"/>
      <c r="R880" s="566"/>
      <c r="S880" s="566"/>
      <c r="T880" s="566"/>
      <c r="U880" s="566"/>
      <c r="V880" s="566"/>
      <c r="W880" s="566"/>
      <c r="X880" s="566"/>
      <c r="Y880" s="566"/>
      <c r="Z880" s="566"/>
      <c r="AA880" s="566"/>
      <c r="AB880" s="566"/>
      <c r="AC880" s="566"/>
      <c r="AD880" s="566"/>
      <c r="AE880" s="566"/>
      <c r="AF880" s="566"/>
      <c r="AG880" s="566"/>
      <c r="AH880" s="566"/>
      <c r="AI880" s="566"/>
      <c r="AJ880" s="566"/>
      <c r="AK880" s="566"/>
      <c r="AL880" s="566"/>
      <c r="AM880" s="566"/>
      <c r="AN880" s="566"/>
      <c r="AO880" s="566"/>
    </row>
    <row r="881" spans="2:41" x14ac:dyDescent="0.15">
      <c r="B881" s="567">
        <v>27</v>
      </c>
      <c r="C881" s="566"/>
      <c r="D881" s="566"/>
      <c r="E881" s="566"/>
      <c r="F881" s="566"/>
      <c r="G881" s="566"/>
      <c r="H881" s="566"/>
      <c r="I881" s="566"/>
      <c r="J881" s="566"/>
      <c r="K881" s="566"/>
      <c r="L881" s="566"/>
      <c r="M881" s="566"/>
      <c r="N881" s="566"/>
      <c r="O881" s="566"/>
      <c r="P881" s="566"/>
      <c r="Q881" s="566"/>
      <c r="R881" s="566"/>
      <c r="S881" s="566"/>
      <c r="T881" s="566"/>
      <c r="U881" s="566"/>
      <c r="V881" s="566"/>
      <c r="W881" s="566"/>
      <c r="X881" s="566"/>
      <c r="Y881" s="566"/>
      <c r="Z881" s="566"/>
      <c r="AA881" s="566"/>
      <c r="AB881" s="566"/>
      <c r="AC881" s="566"/>
      <c r="AD881" s="566"/>
      <c r="AE881" s="566"/>
      <c r="AF881" s="566"/>
      <c r="AG881" s="566"/>
      <c r="AH881" s="566"/>
      <c r="AI881" s="566"/>
      <c r="AJ881" s="566"/>
      <c r="AK881" s="566"/>
      <c r="AL881" s="566"/>
      <c r="AM881" s="566"/>
      <c r="AN881" s="566"/>
      <c r="AO881" s="566"/>
    </row>
    <row r="882" spans="2:41" x14ac:dyDescent="0.15">
      <c r="B882" s="567">
        <v>28</v>
      </c>
      <c r="C882" s="566"/>
      <c r="D882" s="566"/>
      <c r="E882" s="566"/>
      <c r="F882" s="566"/>
      <c r="G882" s="566"/>
      <c r="H882" s="566"/>
      <c r="I882" s="566"/>
      <c r="J882" s="566"/>
      <c r="K882" s="566"/>
      <c r="L882" s="566"/>
      <c r="M882" s="566"/>
      <c r="N882" s="566"/>
      <c r="O882" s="566"/>
      <c r="P882" s="566"/>
      <c r="Q882" s="566"/>
      <c r="R882" s="566"/>
      <c r="S882" s="566"/>
      <c r="T882" s="566"/>
      <c r="U882" s="566"/>
      <c r="V882" s="566"/>
      <c r="W882" s="566"/>
      <c r="X882" s="566"/>
      <c r="Y882" s="566"/>
      <c r="Z882" s="566"/>
      <c r="AA882" s="566"/>
      <c r="AB882" s="566"/>
      <c r="AC882" s="566"/>
      <c r="AD882" s="566"/>
      <c r="AE882" s="566"/>
      <c r="AF882" s="566"/>
      <c r="AG882" s="566"/>
      <c r="AH882" s="566"/>
      <c r="AI882" s="566"/>
      <c r="AJ882" s="566"/>
      <c r="AK882" s="566"/>
      <c r="AL882" s="566"/>
      <c r="AM882" s="566"/>
      <c r="AN882" s="566"/>
      <c r="AO882" s="566"/>
    </row>
    <row r="883" spans="2:41" x14ac:dyDescent="0.15">
      <c r="B883" s="567">
        <v>29</v>
      </c>
      <c r="C883" s="566"/>
      <c r="D883" s="566"/>
      <c r="E883" s="566"/>
      <c r="F883" s="566"/>
      <c r="G883" s="566"/>
      <c r="H883" s="566"/>
      <c r="I883" s="566"/>
      <c r="J883" s="566"/>
      <c r="K883" s="566"/>
      <c r="L883" s="566"/>
      <c r="M883" s="566"/>
      <c r="N883" s="566"/>
      <c r="O883" s="566"/>
      <c r="P883" s="566"/>
      <c r="Q883" s="566"/>
      <c r="R883" s="566"/>
      <c r="S883" s="566"/>
      <c r="T883" s="566"/>
      <c r="U883" s="566"/>
      <c r="V883" s="566"/>
      <c r="W883" s="566"/>
      <c r="X883" s="566"/>
      <c r="Y883" s="566"/>
      <c r="Z883" s="566"/>
      <c r="AA883" s="566"/>
      <c r="AB883" s="566"/>
      <c r="AC883" s="566"/>
      <c r="AD883" s="566"/>
      <c r="AE883" s="566"/>
      <c r="AF883" s="566"/>
      <c r="AG883" s="566"/>
      <c r="AH883" s="566"/>
      <c r="AI883" s="566"/>
      <c r="AJ883" s="566"/>
      <c r="AK883" s="566"/>
      <c r="AL883" s="566"/>
      <c r="AM883" s="566"/>
      <c r="AN883" s="566"/>
      <c r="AO883" s="566"/>
    </row>
    <row r="884" spans="2:41" x14ac:dyDescent="0.15">
      <c r="B884" s="567">
        <v>30</v>
      </c>
      <c r="C884" s="566"/>
      <c r="D884" s="566"/>
      <c r="E884" s="566"/>
      <c r="F884" s="566"/>
      <c r="G884" s="566"/>
      <c r="H884" s="566"/>
      <c r="I884" s="566"/>
      <c r="J884" s="566"/>
      <c r="K884" s="566"/>
      <c r="L884" s="566"/>
      <c r="M884" s="566"/>
      <c r="N884" s="566"/>
      <c r="O884" s="566"/>
      <c r="P884" s="566"/>
      <c r="Q884" s="566"/>
      <c r="R884" s="566"/>
      <c r="S884" s="566"/>
      <c r="T884" s="566"/>
      <c r="U884" s="566"/>
      <c r="V884" s="566"/>
      <c r="W884" s="566"/>
      <c r="X884" s="566"/>
      <c r="Y884" s="566"/>
      <c r="Z884" s="566"/>
      <c r="AA884" s="566"/>
      <c r="AB884" s="566"/>
      <c r="AC884" s="566"/>
      <c r="AD884" s="566"/>
      <c r="AE884" s="566"/>
      <c r="AF884" s="566"/>
      <c r="AG884" s="566"/>
      <c r="AH884" s="566"/>
      <c r="AI884" s="566"/>
      <c r="AJ884" s="566"/>
      <c r="AK884" s="566"/>
      <c r="AL884" s="566"/>
      <c r="AM884" s="566"/>
      <c r="AN884" s="566"/>
      <c r="AO884" s="566"/>
    </row>
    <row r="885" spans="2:41" x14ac:dyDescent="0.15">
      <c r="B885" s="567">
        <v>31</v>
      </c>
      <c r="C885" s="566"/>
      <c r="D885" s="566"/>
      <c r="E885" s="566"/>
      <c r="F885" s="566"/>
      <c r="G885" s="566"/>
      <c r="H885" s="566"/>
      <c r="I885" s="566"/>
      <c r="J885" s="566"/>
      <c r="K885" s="566"/>
      <c r="L885" s="566"/>
      <c r="M885" s="566"/>
      <c r="N885" s="566"/>
      <c r="O885" s="566"/>
      <c r="P885" s="566"/>
      <c r="Q885" s="566"/>
      <c r="R885" s="566"/>
      <c r="S885" s="566"/>
      <c r="T885" s="566"/>
      <c r="U885" s="566"/>
      <c r="V885" s="566"/>
      <c r="W885" s="566"/>
      <c r="X885" s="566"/>
      <c r="Y885" s="566"/>
      <c r="Z885" s="566"/>
      <c r="AA885" s="566"/>
      <c r="AB885" s="566"/>
      <c r="AC885" s="566"/>
      <c r="AD885" s="566"/>
      <c r="AE885" s="566"/>
      <c r="AF885" s="566"/>
      <c r="AG885" s="566"/>
      <c r="AH885" s="566"/>
      <c r="AI885" s="566"/>
      <c r="AJ885" s="566"/>
      <c r="AK885" s="566"/>
      <c r="AL885" s="566"/>
      <c r="AM885" s="566"/>
      <c r="AN885" s="566"/>
      <c r="AO885" s="566"/>
    </row>
    <row r="886" spans="2:41" x14ac:dyDescent="0.15">
      <c r="B886" s="567">
        <v>32</v>
      </c>
      <c r="C886" s="566"/>
      <c r="D886" s="566"/>
      <c r="E886" s="566"/>
      <c r="F886" s="566"/>
      <c r="G886" s="566"/>
      <c r="H886" s="566"/>
      <c r="I886" s="566"/>
      <c r="J886" s="566"/>
      <c r="K886" s="566"/>
      <c r="L886" s="566"/>
      <c r="M886" s="566"/>
      <c r="N886" s="566"/>
      <c r="O886" s="566"/>
      <c r="P886" s="566"/>
      <c r="Q886" s="566"/>
      <c r="R886" s="566"/>
      <c r="S886" s="566"/>
      <c r="T886" s="566"/>
      <c r="U886" s="566"/>
      <c r="V886" s="566"/>
      <c r="W886" s="566"/>
      <c r="X886" s="566"/>
      <c r="Y886" s="566"/>
      <c r="Z886" s="566"/>
      <c r="AA886" s="566"/>
      <c r="AB886" s="566"/>
      <c r="AC886" s="566"/>
      <c r="AD886" s="566"/>
      <c r="AE886" s="566"/>
      <c r="AF886" s="566"/>
      <c r="AG886" s="566"/>
      <c r="AH886" s="566"/>
      <c r="AI886" s="566"/>
      <c r="AJ886" s="566"/>
      <c r="AK886" s="566"/>
      <c r="AL886" s="566"/>
      <c r="AM886" s="566"/>
      <c r="AN886" s="566"/>
      <c r="AO886" s="566"/>
    </row>
    <row r="887" spans="2:41" x14ac:dyDescent="0.15">
      <c r="B887" s="567">
        <v>33</v>
      </c>
      <c r="C887" s="566"/>
      <c r="D887" s="566"/>
      <c r="E887" s="566"/>
      <c r="F887" s="566"/>
      <c r="G887" s="566"/>
      <c r="H887" s="566"/>
      <c r="I887" s="566"/>
      <c r="J887" s="566"/>
      <c r="K887" s="566"/>
      <c r="L887" s="566"/>
      <c r="M887" s="566"/>
      <c r="N887" s="566"/>
      <c r="O887" s="566"/>
      <c r="P887" s="566"/>
      <c r="Q887" s="566"/>
      <c r="R887" s="566"/>
      <c r="S887" s="566"/>
      <c r="T887" s="566"/>
      <c r="U887" s="566"/>
      <c r="V887" s="566"/>
      <c r="W887" s="566"/>
      <c r="X887" s="566"/>
      <c r="Y887" s="566"/>
      <c r="Z887" s="566"/>
      <c r="AA887" s="566"/>
      <c r="AB887" s="566"/>
      <c r="AC887" s="566"/>
      <c r="AD887" s="566"/>
      <c r="AE887" s="566"/>
      <c r="AF887" s="566"/>
      <c r="AG887" s="566"/>
      <c r="AH887" s="566"/>
      <c r="AI887" s="566"/>
      <c r="AJ887" s="566"/>
      <c r="AK887" s="566"/>
      <c r="AL887" s="566"/>
      <c r="AM887" s="566"/>
      <c r="AN887" s="566"/>
      <c r="AO887" s="566"/>
    </row>
    <row r="888" spans="2:41" x14ac:dyDescent="0.15">
      <c r="B888" s="567">
        <v>34</v>
      </c>
      <c r="C888" s="566"/>
      <c r="D888" s="566"/>
      <c r="E888" s="566"/>
      <c r="F888" s="566"/>
      <c r="G888" s="566"/>
      <c r="H888" s="566"/>
      <c r="I888" s="566"/>
      <c r="J888" s="566"/>
      <c r="K888" s="566"/>
      <c r="L888" s="566"/>
      <c r="M888" s="566"/>
      <c r="N888" s="566"/>
      <c r="O888" s="566"/>
      <c r="P888" s="566"/>
      <c r="Q888" s="566"/>
      <c r="R888" s="566"/>
      <c r="S888" s="566"/>
      <c r="T888" s="566"/>
      <c r="U888" s="566"/>
      <c r="V888" s="566"/>
      <c r="W888" s="566"/>
      <c r="X888" s="566"/>
      <c r="Y888" s="566"/>
      <c r="Z888" s="566"/>
      <c r="AA888" s="566"/>
      <c r="AB888" s="566"/>
      <c r="AC888" s="566"/>
      <c r="AD888" s="566"/>
      <c r="AE888" s="566"/>
      <c r="AF888" s="566"/>
      <c r="AG888" s="566"/>
      <c r="AH888" s="566"/>
      <c r="AI888" s="566"/>
      <c r="AJ888" s="566"/>
      <c r="AK888" s="566"/>
      <c r="AL888" s="566"/>
      <c r="AM888" s="566"/>
      <c r="AN888" s="566"/>
      <c r="AO888" s="566"/>
    </row>
    <row r="889" spans="2:41" x14ac:dyDescent="0.15">
      <c r="B889" s="567">
        <v>35</v>
      </c>
      <c r="C889" s="566"/>
      <c r="D889" s="566"/>
      <c r="E889" s="566"/>
      <c r="F889" s="566"/>
      <c r="G889" s="566"/>
      <c r="H889" s="566"/>
      <c r="I889" s="566"/>
      <c r="J889" s="566"/>
      <c r="K889" s="566"/>
      <c r="L889" s="566"/>
      <c r="M889" s="566"/>
      <c r="N889" s="566"/>
      <c r="O889" s="566"/>
      <c r="P889" s="566"/>
      <c r="Q889" s="566"/>
      <c r="R889" s="566"/>
      <c r="S889" s="566"/>
      <c r="T889" s="566"/>
      <c r="U889" s="566"/>
      <c r="V889" s="566"/>
      <c r="W889" s="566"/>
      <c r="X889" s="566"/>
      <c r="Y889" s="566"/>
      <c r="Z889" s="566"/>
      <c r="AA889" s="566"/>
      <c r="AB889" s="566"/>
      <c r="AC889" s="566"/>
      <c r="AD889" s="566"/>
      <c r="AE889" s="566"/>
      <c r="AF889" s="566"/>
      <c r="AG889" s="566"/>
      <c r="AH889" s="566"/>
      <c r="AI889" s="566"/>
      <c r="AJ889" s="566"/>
      <c r="AK889" s="566"/>
      <c r="AL889" s="566"/>
      <c r="AM889" s="566"/>
      <c r="AN889" s="566"/>
      <c r="AO889" s="566"/>
    </row>
    <row r="890" spans="2:41" x14ac:dyDescent="0.15">
      <c r="B890" s="567">
        <v>36</v>
      </c>
      <c r="C890" s="566"/>
      <c r="D890" s="566"/>
      <c r="E890" s="566"/>
      <c r="F890" s="566"/>
      <c r="G890" s="566"/>
      <c r="H890" s="566"/>
      <c r="I890" s="566"/>
      <c r="J890" s="566"/>
      <c r="K890" s="566"/>
      <c r="L890" s="566"/>
      <c r="M890" s="566"/>
      <c r="N890" s="566"/>
      <c r="O890" s="566"/>
      <c r="P890" s="566"/>
      <c r="Q890" s="566"/>
      <c r="R890" s="566"/>
      <c r="S890" s="566"/>
      <c r="T890" s="566"/>
      <c r="U890" s="566"/>
      <c r="V890" s="566"/>
      <c r="W890" s="566"/>
      <c r="X890" s="566"/>
      <c r="Y890" s="566"/>
      <c r="Z890" s="566"/>
      <c r="AA890" s="566"/>
      <c r="AB890" s="566"/>
      <c r="AC890" s="566"/>
      <c r="AD890" s="566"/>
      <c r="AE890" s="566"/>
      <c r="AF890" s="566"/>
      <c r="AG890" s="566"/>
      <c r="AH890" s="566"/>
      <c r="AI890" s="566"/>
      <c r="AJ890" s="566"/>
      <c r="AK890" s="566"/>
      <c r="AL890" s="566"/>
      <c r="AM890" s="566"/>
      <c r="AN890" s="566"/>
      <c r="AO890" s="566"/>
    </row>
    <row r="891" spans="2:41" x14ac:dyDescent="0.15">
      <c r="B891" s="567">
        <v>37</v>
      </c>
      <c r="C891" s="566"/>
      <c r="D891" s="566"/>
      <c r="E891" s="566"/>
      <c r="F891" s="566"/>
      <c r="G891" s="566"/>
      <c r="H891" s="566"/>
      <c r="I891" s="566"/>
      <c r="J891" s="566"/>
      <c r="K891" s="566"/>
      <c r="L891" s="566"/>
      <c r="M891" s="566"/>
      <c r="N891" s="566"/>
      <c r="O891" s="566"/>
      <c r="P891" s="566"/>
      <c r="Q891" s="566"/>
      <c r="R891" s="566"/>
      <c r="S891" s="566"/>
      <c r="T891" s="566"/>
      <c r="U891" s="566"/>
      <c r="V891" s="566"/>
      <c r="W891" s="566"/>
      <c r="X891" s="566"/>
      <c r="Y891" s="566"/>
      <c r="Z891" s="566"/>
      <c r="AA891" s="566"/>
      <c r="AB891" s="566"/>
      <c r="AC891" s="566"/>
      <c r="AD891" s="566"/>
      <c r="AE891" s="566"/>
      <c r="AF891" s="566"/>
      <c r="AG891" s="566"/>
      <c r="AH891" s="566"/>
      <c r="AI891" s="566"/>
      <c r="AJ891" s="566"/>
      <c r="AK891" s="566"/>
      <c r="AL891" s="566"/>
      <c r="AM891" s="566"/>
      <c r="AN891" s="566"/>
      <c r="AO891" s="566"/>
    </row>
    <row r="892" spans="2:41" x14ac:dyDescent="0.15">
      <c r="B892" s="567">
        <v>38</v>
      </c>
      <c r="C892" s="566"/>
      <c r="D892" s="566"/>
      <c r="E892" s="566"/>
      <c r="F892" s="566"/>
      <c r="G892" s="566"/>
      <c r="H892" s="566"/>
      <c r="I892" s="566"/>
      <c r="J892" s="566"/>
      <c r="K892" s="566"/>
      <c r="L892" s="566"/>
      <c r="M892" s="566"/>
      <c r="N892" s="566"/>
      <c r="O892" s="566"/>
      <c r="P892" s="566"/>
      <c r="Q892" s="566"/>
      <c r="R892" s="566"/>
      <c r="S892" s="566"/>
      <c r="T892" s="566"/>
      <c r="U892" s="566"/>
      <c r="V892" s="566"/>
      <c r="W892" s="566"/>
      <c r="X892" s="566"/>
      <c r="Y892" s="566"/>
      <c r="Z892" s="566"/>
      <c r="AA892" s="566"/>
      <c r="AB892" s="566"/>
      <c r="AC892" s="566"/>
      <c r="AD892" s="566"/>
      <c r="AE892" s="566"/>
      <c r="AF892" s="566"/>
      <c r="AG892" s="566"/>
      <c r="AH892" s="566"/>
      <c r="AI892" s="566"/>
      <c r="AJ892" s="566"/>
      <c r="AK892" s="566"/>
      <c r="AL892" s="566"/>
      <c r="AM892" s="566"/>
      <c r="AN892" s="566"/>
      <c r="AO892" s="566"/>
    </row>
    <row r="893" spans="2:41" x14ac:dyDescent="0.15">
      <c r="B893" s="567">
        <v>39</v>
      </c>
      <c r="C893" s="566"/>
      <c r="D893" s="566"/>
      <c r="E893" s="566"/>
      <c r="F893" s="566"/>
      <c r="G893" s="566"/>
      <c r="H893" s="566"/>
      <c r="I893" s="566"/>
      <c r="J893" s="566"/>
      <c r="K893" s="566"/>
      <c r="L893" s="566"/>
      <c r="M893" s="566"/>
      <c r="N893" s="566"/>
      <c r="O893" s="566"/>
      <c r="P893" s="566"/>
      <c r="Q893" s="566"/>
      <c r="R893" s="566"/>
      <c r="S893" s="566"/>
      <c r="T893" s="566"/>
      <c r="U893" s="566"/>
      <c r="V893" s="566"/>
      <c r="W893" s="566"/>
      <c r="X893" s="566"/>
      <c r="Y893" s="566"/>
      <c r="Z893" s="566"/>
      <c r="AA893" s="566"/>
      <c r="AB893" s="566"/>
      <c r="AC893" s="566"/>
      <c r="AD893" s="566"/>
      <c r="AE893" s="566"/>
      <c r="AF893" s="566"/>
      <c r="AG893" s="566"/>
      <c r="AH893" s="566"/>
      <c r="AI893" s="566"/>
      <c r="AJ893" s="566"/>
      <c r="AK893" s="566"/>
      <c r="AL893" s="566"/>
      <c r="AM893" s="566"/>
      <c r="AN893" s="566"/>
      <c r="AO893" s="566"/>
    </row>
    <row r="894" spans="2:41" x14ac:dyDescent="0.15">
      <c r="B894" s="568">
        <v>40</v>
      </c>
      <c r="C894" s="566"/>
      <c r="D894" s="566"/>
      <c r="E894" s="566"/>
      <c r="F894" s="566"/>
      <c r="G894" s="566"/>
      <c r="H894" s="566"/>
      <c r="I894" s="566"/>
      <c r="J894" s="566"/>
      <c r="K894" s="566"/>
      <c r="L894" s="566"/>
      <c r="M894" s="566"/>
      <c r="N894" s="566"/>
      <c r="O894" s="566"/>
      <c r="P894" s="566"/>
      <c r="Q894" s="566"/>
      <c r="R894" s="566"/>
      <c r="S894" s="566"/>
      <c r="T894" s="566"/>
      <c r="U894" s="566"/>
      <c r="V894" s="566"/>
      <c r="W894" s="566"/>
      <c r="X894" s="566"/>
      <c r="Y894" s="566"/>
      <c r="Z894" s="566"/>
      <c r="AA894" s="566"/>
      <c r="AB894" s="566"/>
      <c r="AC894" s="566"/>
      <c r="AD894" s="566"/>
      <c r="AE894" s="566"/>
      <c r="AF894" s="566"/>
      <c r="AG894" s="566"/>
      <c r="AH894" s="566"/>
      <c r="AI894" s="566"/>
      <c r="AJ894" s="566"/>
      <c r="AK894" s="566"/>
      <c r="AL894" s="566"/>
      <c r="AM894" s="566"/>
      <c r="AN894" s="566"/>
      <c r="AO894" s="566"/>
    </row>
    <row r="903" spans="2:41" s="563" customFormat="1" ht="14" x14ac:dyDescent="0.15">
      <c r="B903" s="560" t="str" cm="1">
        <f t="array" ref="B903:AO903">TRANSPOSE('Syötä kaupungit KIRJASTOLINKIT!'!$L$1:$L$40)</f>
        <v>MAA 11</v>
      </c>
      <c r="C903" s="564">
        <v>0</v>
      </c>
      <c r="D903" s="564">
        <v>0</v>
      </c>
      <c r="E903" s="564">
        <v>0</v>
      </c>
      <c r="F903" s="564">
        <v>0</v>
      </c>
      <c r="G903" s="564">
        <v>0</v>
      </c>
      <c r="H903" s="564">
        <v>0</v>
      </c>
      <c r="I903" s="564">
        <v>0</v>
      </c>
      <c r="J903" s="564">
        <v>0</v>
      </c>
      <c r="K903" s="564">
        <v>0</v>
      </c>
      <c r="L903" s="564">
        <v>0</v>
      </c>
      <c r="M903" s="564">
        <v>0</v>
      </c>
      <c r="N903" s="564">
        <v>0</v>
      </c>
      <c r="O903" s="564">
        <v>0</v>
      </c>
      <c r="P903" s="564">
        <v>0</v>
      </c>
      <c r="Q903" s="564">
        <v>0</v>
      </c>
      <c r="R903" s="564">
        <v>0</v>
      </c>
      <c r="S903" s="564">
        <v>0</v>
      </c>
      <c r="T903" s="564">
        <v>0</v>
      </c>
      <c r="U903" s="564">
        <v>0</v>
      </c>
      <c r="V903" s="564">
        <v>0</v>
      </c>
      <c r="W903" s="564">
        <v>0</v>
      </c>
      <c r="X903" s="564">
        <v>0</v>
      </c>
      <c r="Y903" s="564">
        <v>0</v>
      </c>
      <c r="Z903" s="564">
        <v>0</v>
      </c>
      <c r="AA903" s="564">
        <v>0</v>
      </c>
      <c r="AB903" s="564">
        <v>0</v>
      </c>
      <c r="AC903" s="564">
        <v>0</v>
      </c>
      <c r="AD903" s="564">
        <v>0</v>
      </c>
      <c r="AE903" s="564">
        <v>0</v>
      </c>
      <c r="AF903" s="564">
        <v>0</v>
      </c>
      <c r="AG903" s="564">
        <v>0</v>
      </c>
      <c r="AH903" s="564">
        <v>0</v>
      </c>
      <c r="AI903" s="564">
        <v>0</v>
      </c>
      <c r="AJ903" s="564">
        <v>0</v>
      </c>
      <c r="AK903" s="564">
        <v>0</v>
      </c>
      <c r="AL903" s="564">
        <v>0</v>
      </c>
      <c r="AM903" s="564">
        <v>0</v>
      </c>
      <c r="AN903" s="564">
        <v>0</v>
      </c>
      <c r="AO903" s="564">
        <v>0</v>
      </c>
    </row>
    <row r="904" spans="2:41" x14ac:dyDescent="0.15">
      <c r="B904" s="565">
        <v>-40</v>
      </c>
      <c r="C904" s="566"/>
      <c r="D904" s="566"/>
      <c r="E904" s="566"/>
      <c r="F904" s="566"/>
      <c r="G904" s="566"/>
      <c r="H904" s="566"/>
      <c r="I904" s="566"/>
      <c r="J904" s="566"/>
      <c r="K904" s="566"/>
      <c r="L904" s="566"/>
      <c r="M904" s="566"/>
      <c r="N904" s="566"/>
      <c r="O904" s="566"/>
      <c r="P904" s="566"/>
      <c r="Q904" s="566"/>
      <c r="R904" s="566"/>
      <c r="S904" s="566"/>
      <c r="T904" s="566"/>
      <c r="U904" s="566"/>
      <c r="V904" s="566"/>
      <c r="W904" s="566"/>
      <c r="X904" s="566"/>
      <c r="Y904" s="566"/>
      <c r="Z904" s="566"/>
      <c r="AA904" s="566"/>
      <c r="AB904" s="566"/>
      <c r="AC904" s="566"/>
      <c r="AD904" s="566"/>
      <c r="AE904" s="566"/>
      <c r="AF904" s="566"/>
      <c r="AG904" s="566"/>
      <c r="AH904" s="566"/>
      <c r="AI904" s="566"/>
      <c r="AJ904" s="566"/>
      <c r="AK904" s="566"/>
      <c r="AL904" s="566"/>
      <c r="AM904" s="566"/>
      <c r="AN904" s="566"/>
      <c r="AO904" s="566"/>
    </row>
    <row r="905" spans="2:41" x14ac:dyDescent="0.15">
      <c r="B905" s="567">
        <v>-39</v>
      </c>
      <c r="C905" s="566"/>
      <c r="D905" s="566"/>
      <c r="E905" s="566"/>
      <c r="F905" s="566"/>
      <c r="G905" s="566"/>
      <c r="H905" s="566"/>
      <c r="I905" s="566"/>
      <c r="J905" s="566"/>
      <c r="K905" s="566"/>
      <c r="L905" s="566"/>
      <c r="M905" s="566"/>
      <c r="N905" s="566"/>
      <c r="O905" s="566"/>
      <c r="P905" s="566"/>
      <c r="Q905" s="566"/>
      <c r="R905" s="566"/>
      <c r="S905" s="566"/>
      <c r="T905" s="566"/>
      <c r="U905" s="566"/>
      <c r="V905" s="566"/>
      <c r="W905" s="566"/>
      <c r="X905" s="566"/>
      <c r="Y905" s="566"/>
      <c r="Z905" s="566"/>
      <c r="AA905" s="566"/>
      <c r="AB905" s="566"/>
      <c r="AC905" s="566"/>
      <c r="AD905" s="566"/>
      <c r="AE905" s="566"/>
      <c r="AF905" s="566"/>
      <c r="AG905" s="566"/>
      <c r="AH905" s="566"/>
      <c r="AI905" s="566"/>
      <c r="AJ905" s="566"/>
      <c r="AK905" s="566"/>
      <c r="AL905" s="566"/>
      <c r="AM905" s="566"/>
      <c r="AN905" s="566"/>
      <c r="AO905" s="566"/>
    </row>
    <row r="906" spans="2:41" x14ac:dyDescent="0.15">
      <c r="B906" s="567">
        <v>-38</v>
      </c>
      <c r="C906" s="566"/>
      <c r="D906" s="566"/>
      <c r="E906" s="566"/>
      <c r="F906" s="566"/>
      <c r="G906" s="566"/>
      <c r="H906" s="566"/>
      <c r="I906" s="566"/>
      <c r="J906" s="566"/>
      <c r="K906" s="566"/>
      <c r="L906" s="566"/>
      <c r="M906" s="566"/>
      <c r="N906" s="566"/>
      <c r="O906" s="566"/>
      <c r="P906" s="566"/>
      <c r="Q906" s="566"/>
      <c r="R906" s="566"/>
      <c r="S906" s="566"/>
      <c r="T906" s="566"/>
      <c r="U906" s="566"/>
      <c r="V906" s="566"/>
      <c r="W906" s="566"/>
      <c r="X906" s="566"/>
      <c r="Y906" s="566"/>
      <c r="Z906" s="566"/>
      <c r="AA906" s="566"/>
      <c r="AB906" s="566"/>
      <c r="AC906" s="566"/>
      <c r="AD906" s="566"/>
      <c r="AE906" s="566"/>
      <c r="AF906" s="566"/>
      <c r="AG906" s="566"/>
      <c r="AH906" s="566"/>
      <c r="AI906" s="566"/>
      <c r="AJ906" s="566"/>
      <c r="AK906" s="566"/>
      <c r="AL906" s="566"/>
      <c r="AM906" s="566"/>
      <c r="AN906" s="566"/>
      <c r="AO906" s="566"/>
    </row>
    <row r="907" spans="2:41" x14ac:dyDescent="0.15">
      <c r="B907" s="567">
        <v>-37</v>
      </c>
      <c r="C907" s="566"/>
      <c r="D907" s="566"/>
      <c r="E907" s="566"/>
      <c r="F907" s="566"/>
      <c r="G907" s="566"/>
      <c r="H907" s="566"/>
      <c r="I907" s="566"/>
      <c r="J907" s="566"/>
      <c r="K907" s="566"/>
      <c r="L907" s="566"/>
      <c r="M907" s="566"/>
      <c r="N907" s="566"/>
      <c r="O907" s="566"/>
      <c r="P907" s="566"/>
      <c r="Q907" s="566"/>
      <c r="R907" s="566"/>
      <c r="S907" s="566"/>
      <c r="T907" s="566"/>
      <c r="U907" s="566"/>
      <c r="V907" s="566"/>
      <c r="W907" s="566"/>
      <c r="X907" s="566"/>
      <c r="Y907" s="566"/>
      <c r="Z907" s="566"/>
      <c r="AA907" s="566"/>
      <c r="AB907" s="566"/>
      <c r="AC907" s="566"/>
      <c r="AD907" s="566"/>
      <c r="AE907" s="566"/>
      <c r="AF907" s="566"/>
      <c r="AG907" s="566"/>
      <c r="AH907" s="566"/>
      <c r="AI907" s="566"/>
      <c r="AJ907" s="566"/>
      <c r="AK907" s="566"/>
      <c r="AL907" s="566"/>
      <c r="AM907" s="566"/>
      <c r="AN907" s="566"/>
      <c r="AO907" s="566"/>
    </row>
    <row r="908" spans="2:41" x14ac:dyDescent="0.15">
      <c r="B908" s="567">
        <v>-36</v>
      </c>
      <c r="C908" s="566"/>
      <c r="D908" s="566"/>
      <c r="E908" s="566"/>
      <c r="F908" s="566"/>
      <c r="G908" s="566"/>
      <c r="H908" s="566"/>
      <c r="I908" s="566"/>
      <c r="J908" s="566"/>
      <c r="K908" s="566"/>
      <c r="L908" s="566"/>
      <c r="M908" s="566"/>
      <c r="N908" s="566"/>
      <c r="O908" s="566"/>
      <c r="P908" s="566"/>
      <c r="Q908" s="566"/>
      <c r="R908" s="566"/>
      <c r="S908" s="566"/>
      <c r="T908" s="566"/>
      <c r="U908" s="566"/>
      <c r="V908" s="566"/>
      <c r="W908" s="566"/>
      <c r="X908" s="566"/>
      <c r="Y908" s="566"/>
      <c r="Z908" s="566"/>
      <c r="AA908" s="566"/>
      <c r="AB908" s="566"/>
      <c r="AC908" s="566"/>
      <c r="AD908" s="566"/>
      <c r="AE908" s="566"/>
      <c r="AF908" s="566"/>
      <c r="AG908" s="566"/>
      <c r="AH908" s="566"/>
      <c r="AI908" s="566"/>
      <c r="AJ908" s="566"/>
      <c r="AK908" s="566"/>
      <c r="AL908" s="566"/>
      <c r="AM908" s="566"/>
      <c r="AN908" s="566"/>
      <c r="AO908" s="566"/>
    </row>
    <row r="909" spans="2:41" x14ac:dyDescent="0.15">
      <c r="B909" s="567">
        <v>-35</v>
      </c>
      <c r="C909" s="566"/>
      <c r="D909" s="566"/>
      <c r="E909" s="566"/>
      <c r="F909" s="566"/>
      <c r="G909" s="566"/>
      <c r="H909" s="566"/>
      <c r="I909" s="566"/>
      <c r="J909" s="566"/>
      <c r="K909" s="566"/>
      <c r="L909" s="566"/>
      <c r="M909" s="566"/>
      <c r="N909" s="566"/>
      <c r="O909" s="566"/>
      <c r="P909" s="566"/>
      <c r="Q909" s="566"/>
      <c r="R909" s="566"/>
      <c r="S909" s="566"/>
      <c r="T909" s="566"/>
      <c r="U909" s="566"/>
      <c r="V909" s="566"/>
      <c r="W909" s="566"/>
      <c r="X909" s="566"/>
      <c r="Y909" s="566"/>
      <c r="Z909" s="566"/>
      <c r="AA909" s="566"/>
      <c r="AB909" s="566"/>
      <c r="AC909" s="566"/>
      <c r="AD909" s="566"/>
      <c r="AE909" s="566"/>
      <c r="AF909" s="566"/>
      <c r="AG909" s="566"/>
      <c r="AH909" s="566"/>
      <c r="AI909" s="566"/>
      <c r="AJ909" s="566"/>
      <c r="AK909" s="566"/>
      <c r="AL909" s="566"/>
      <c r="AM909" s="566"/>
      <c r="AN909" s="566"/>
      <c r="AO909" s="566"/>
    </row>
    <row r="910" spans="2:41" x14ac:dyDescent="0.15">
      <c r="B910" s="567">
        <v>-34</v>
      </c>
      <c r="C910" s="566"/>
      <c r="D910" s="566"/>
      <c r="E910" s="566"/>
      <c r="F910" s="566"/>
      <c r="G910" s="566"/>
      <c r="H910" s="566"/>
      <c r="I910" s="566"/>
      <c r="J910" s="566"/>
      <c r="K910" s="566"/>
      <c r="L910" s="566"/>
      <c r="M910" s="566"/>
      <c r="N910" s="566"/>
      <c r="O910" s="566"/>
      <c r="P910" s="566"/>
      <c r="Q910" s="566"/>
      <c r="R910" s="566"/>
      <c r="S910" s="566"/>
      <c r="T910" s="566"/>
      <c r="U910" s="566"/>
      <c r="V910" s="566"/>
      <c r="W910" s="566"/>
      <c r="X910" s="566"/>
      <c r="Y910" s="566"/>
      <c r="Z910" s="566"/>
      <c r="AA910" s="566"/>
      <c r="AB910" s="566"/>
      <c r="AC910" s="566"/>
      <c r="AD910" s="566"/>
      <c r="AE910" s="566"/>
      <c r="AF910" s="566"/>
      <c r="AG910" s="566"/>
      <c r="AH910" s="566"/>
      <c r="AI910" s="566"/>
      <c r="AJ910" s="566"/>
      <c r="AK910" s="566"/>
      <c r="AL910" s="566"/>
      <c r="AM910" s="566"/>
      <c r="AN910" s="566"/>
      <c r="AO910" s="566"/>
    </row>
    <row r="911" spans="2:41" x14ac:dyDescent="0.15">
      <c r="B911" s="567">
        <v>-33</v>
      </c>
      <c r="C911" s="566"/>
      <c r="D911" s="566"/>
      <c r="E911" s="566"/>
      <c r="F911" s="566"/>
      <c r="G911" s="566"/>
      <c r="H911" s="566"/>
      <c r="I911" s="566"/>
      <c r="J911" s="566"/>
      <c r="K911" s="566"/>
      <c r="L911" s="566"/>
      <c r="M911" s="566"/>
      <c r="N911" s="566"/>
      <c r="O911" s="566"/>
      <c r="P911" s="566"/>
      <c r="Q911" s="566"/>
      <c r="R911" s="566"/>
      <c r="S911" s="566"/>
      <c r="T911" s="566"/>
      <c r="U911" s="566"/>
      <c r="V911" s="566"/>
      <c r="W911" s="566"/>
      <c r="X911" s="566"/>
      <c r="Y911" s="566"/>
      <c r="Z911" s="566"/>
      <c r="AA911" s="566"/>
      <c r="AB911" s="566"/>
      <c r="AC911" s="566"/>
      <c r="AD911" s="566"/>
      <c r="AE911" s="566"/>
      <c r="AF911" s="566"/>
      <c r="AG911" s="566"/>
      <c r="AH911" s="566"/>
      <c r="AI911" s="566"/>
      <c r="AJ911" s="566"/>
      <c r="AK911" s="566"/>
      <c r="AL911" s="566"/>
      <c r="AM911" s="566"/>
      <c r="AN911" s="566"/>
      <c r="AO911" s="566"/>
    </row>
    <row r="912" spans="2:41" x14ac:dyDescent="0.15">
      <c r="B912" s="567">
        <v>-32</v>
      </c>
      <c r="C912" s="566"/>
      <c r="D912" s="566"/>
      <c r="E912" s="566"/>
      <c r="F912" s="566"/>
      <c r="G912" s="566"/>
      <c r="H912" s="566"/>
      <c r="I912" s="566"/>
      <c r="J912" s="566"/>
      <c r="K912" s="566"/>
      <c r="L912" s="566"/>
      <c r="M912" s="566"/>
      <c r="N912" s="566"/>
      <c r="O912" s="566"/>
      <c r="P912" s="566"/>
      <c r="Q912" s="566"/>
      <c r="R912" s="566"/>
      <c r="S912" s="566"/>
      <c r="T912" s="566"/>
      <c r="U912" s="566"/>
      <c r="V912" s="566"/>
      <c r="W912" s="566"/>
      <c r="X912" s="566"/>
      <c r="Y912" s="566"/>
      <c r="Z912" s="566"/>
      <c r="AA912" s="566"/>
      <c r="AB912" s="566"/>
      <c r="AC912" s="566"/>
      <c r="AD912" s="566"/>
      <c r="AE912" s="566"/>
      <c r="AF912" s="566"/>
      <c r="AG912" s="566"/>
      <c r="AH912" s="566"/>
      <c r="AI912" s="566"/>
      <c r="AJ912" s="566"/>
      <c r="AK912" s="566"/>
      <c r="AL912" s="566"/>
      <c r="AM912" s="566"/>
      <c r="AN912" s="566"/>
      <c r="AO912" s="566"/>
    </row>
    <row r="913" spans="2:41" x14ac:dyDescent="0.15">
      <c r="B913" s="567">
        <v>-31</v>
      </c>
      <c r="C913" s="566"/>
      <c r="D913" s="566"/>
      <c r="E913" s="566"/>
      <c r="F913" s="566"/>
      <c r="G913" s="566"/>
      <c r="H913" s="566"/>
      <c r="I913" s="566"/>
      <c r="J913" s="566"/>
      <c r="K913" s="566"/>
      <c r="L913" s="566"/>
      <c r="M913" s="566"/>
      <c r="N913" s="566"/>
      <c r="O913" s="566"/>
      <c r="P913" s="566"/>
      <c r="Q913" s="566"/>
      <c r="R913" s="566"/>
      <c r="S913" s="566"/>
      <c r="T913" s="566"/>
      <c r="U913" s="566"/>
      <c r="V913" s="566"/>
      <c r="W913" s="566"/>
      <c r="X913" s="566"/>
      <c r="Y913" s="566"/>
      <c r="Z913" s="566"/>
      <c r="AA913" s="566"/>
      <c r="AB913" s="566"/>
      <c r="AC913" s="566"/>
      <c r="AD913" s="566"/>
      <c r="AE913" s="566"/>
      <c r="AF913" s="566"/>
      <c r="AG913" s="566"/>
      <c r="AH913" s="566"/>
      <c r="AI913" s="566"/>
      <c r="AJ913" s="566"/>
      <c r="AK913" s="566"/>
      <c r="AL913" s="566"/>
      <c r="AM913" s="566"/>
      <c r="AN913" s="566"/>
      <c r="AO913" s="566"/>
    </row>
    <row r="914" spans="2:41" x14ac:dyDescent="0.15">
      <c r="B914" s="567">
        <v>-30</v>
      </c>
      <c r="C914" s="566"/>
      <c r="D914" s="566"/>
      <c r="E914" s="566"/>
      <c r="F914" s="566"/>
      <c r="G914" s="566"/>
      <c r="H914" s="566"/>
      <c r="I914" s="566"/>
      <c r="J914" s="566"/>
      <c r="K914" s="566"/>
      <c r="L914" s="566"/>
      <c r="M914" s="566"/>
      <c r="N914" s="566"/>
      <c r="O914" s="566"/>
      <c r="P914" s="566"/>
      <c r="Q914" s="566"/>
      <c r="R914" s="566"/>
      <c r="S914" s="566"/>
      <c r="T914" s="566"/>
      <c r="U914" s="566"/>
      <c r="V914" s="566"/>
      <c r="W914" s="566"/>
      <c r="X914" s="566"/>
      <c r="Y914" s="566"/>
      <c r="Z914" s="566"/>
      <c r="AA914" s="566"/>
      <c r="AB914" s="566"/>
      <c r="AC914" s="566"/>
      <c r="AD914" s="566"/>
      <c r="AE914" s="566"/>
      <c r="AF914" s="566"/>
      <c r="AG914" s="566"/>
      <c r="AH914" s="566"/>
      <c r="AI914" s="566"/>
      <c r="AJ914" s="566"/>
      <c r="AK914" s="566"/>
      <c r="AL914" s="566"/>
      <c r="AM914" s="566"/>
      <c r="AN914" s="566"/>
      <c r="AO914" s="566"/>
    </row>
    <row r="915" spans="2:41" x14ac:dyDescent="0.15">
      <c r="B915" s="567">
        <v>-29</v>
      </c>
      <c r="C915" s="566"/>
      <c r="D915" s="566"/>
      <c r="E915" s="566"/>
      <c r="F915" s="566"/>
      <c r="G915" s="566"/>
      <c r="H915" s="566"/>
      <c r="I915" s="566"/>
      <c r="J915" s="566"/>
      <c r="K915" s="566"/>
      <c r="L915" s="566"/>
      <c r="M915" s="566"/>
      <c r="N915" s="566"/>
      <c r="O915" s="566"/>
      <c r="P915" s="566"/>
      <c r="Q915" s="566"/>
      <c r="R915" s="566"/>
      <c r="S915" s="566"/>
      <c r="T915" s="566"/>
      <c r="U915" s="566"/>
      <c r="V915" s="566"/>
      <c r="W915" s="566"/>
      <c r="X915" s="566"/>
      <c r="Y915" s="566"/>
      <c r="Z915" s="566"/>
      <c r="AA915" s="566"/>
      <c r="AB915" s="566"/>
      <c r="AC915" s="566"/>
      <c r="AD915" s="566"/>
      <c r="AE915" s="566"/>
      <c r="AF915" s="566"/>
      <c r="AG915" s="566"/>
      <c r="AH915" s="566"/>
      <c r="AI915" s="566"/>
      <c r="AJ915" s="566"/>
      <c r="AK915" s="566"/>
      <c r="AL915" s="566"/>
      <c r="AM915" s="566"/>
      <c r="AN915" s="566"/>
      <c r="AO915" s="566"/>
    </row>
    <row r="916" spans="2:41" x14ac:dyDescent="0.15">
      <c r="B916" s="567">
        <v>-28</v>
      </c>
      <c r="C916" s="566"/>
      <c r="D916" s="566"/>
      <c r="E916" s="566"/>
      <c r="F916" s="566"/>
      <c r="G916" s="566"/>
      <c r="H916" s="566"/>
      <c r="I916" s="566"/>
      <c r="J916" s="566"/>
      <c r="K916" s="566"/>
      <c r="L916" s="566"/>
      <c r="M916" s="566"/>
      <c r="N916" s="566"/>
      <c r="O916" s="566"/>
      <c r="P916" s="566"/>
      <c r="Q916" s="566"/>
      <c r="R916" s="566"/>
      <c r="S916" s="566"/>
      <c r="T916" s="566"/>
      <c r="U916" s="566"/>
      <c r="V916" s="566"/>
      <c r="W916" s="566"/>
      <c r="X916" s="566"/>
      <c r="Y916" s="566"/>
      <c r="Z916" s="566"/>
      <c r="AA916" s="566"/>
      <c r="AB916" s="566"/>
      <c r="AC916" s="566"/>
      <c r="AD916" s="566"/>
      <c r="AE916" s="566"/>
      <c r="AF916" s="566"/>
      <c r="AG916" s="566"/>
      <c r="AH916" s="566"/>
      <c r="AI916" s="566"/>
      <c r="AJ916" s="566"/>
      <c r="AK916" s="566"/>
      <c r="AL916" s="566"/>
      <c r="AM916" s="566"/>
      <c r="AN916" s="566"/>
      <c r="AO916" s="566"/>
    </row>
    <row r="917" spans="2:41" x14ac:dyDescent="0.15">
      <c r="B917" s="567">
        <v>-27</v>
      </c>
      <c r="C917" s="566"/>
      <c r="D917" s="566"/>
      <c r="E917" s="566"/>
      <c r="F917" s="566"/>
      <c r="G917" s="566"/>
      <c r="H917" s="566"/>
      <c r="I917" s="566"/>
      <c r="J917" s="566"/>
      <c r="K917" s="566"/>
      <c r="L917" s="566"/>
      <c r="M917" s="566"/>
      <c r="N917" s="566"/>
      <c r="O917" s="566"/>
      <c r="P917" s="566"/>
      <c r="Q917" s="566"/>
      <c r="R917" s="566"/>
      <c r="S917" s="566"/>
      <c r="T917" s="566"/>
      <c r="U917" s="566"/>
      <c r="V917" s="566"/>
      <c r="W917" s="566"/>
      <c r="X917" s="566"/>
      <c r="Y917" s="566"/>
      <c r="Z917" s="566"/>
      <c r="AA917" s="566"/>
      <c r="AB917" s="566"/>
      <c r="AC917" s="566"/>
      <c r="AD917" s="566"/>
      <c r="AE917" s="566"/>
      <c r="AF917" s="566"/>
      <c r="AG917" s="566"/>
      <c r="AH917" s="566"/>
      <c r="AI917" s="566"/>
      <c r="AJ917" s="566"/>
      <c r="AK917" s="566"/>
      <c r="AL917" s="566"/>
      <c r="AM917" s="566"/>
      <c r="AN917" s="566"/>
      <c r="AO917" s="566"/>
    </row>
    <row r="918" spans="2:41" x14ac:dyDescent="0.15">
      <c r="B918" s="567">
        <v>-26</v>
      </c>
      <c r="C918" s="566"/>
      <c r="D918" s="566"/>
      <c r="E918" s="566"/>
      <c r="F918" s="566"/>
      <c r="G918" s="566"/>
      <c r="H918" s="566"/>
      <c r="I918" s="566"/>
      <c r="J918" s="566"/>
      <c r="K918" s="566"/>
      <c r="L918" s="566"/>
      <c r="M918" s="566"/>
      <c r="N918" s="566"/>
      <c r="O918" s="566"/>
      <c r="P918" s="566"/>
      <c r="Q918" s="566"/>
      <c r="R918" s="566"/>
      <c r="S918" s="566"/>
      <c r="T918" s="566"/>
      <c r="U918" s="566"/>
      <c r="V918" s="566"/>
      <c r="W918" s="566"/>
      <c r="X918" s="566"/>
      <c r="Y918" s="566"/>
      <c r="Z918" s="566"/>
      <c r="AA918" s="566"/>
      <c r="AB918" s="566"/>
      <c r="AC918" s="566"/>
      <c r="AD918" s="566"/>
      <c r="AE918" s="566"/>
      <c r="AF918" s="566"/>
      <c r="AG918" s="566"/>
      <c r="AH918" s="566"/>
      <c r="AI918" s="566"/>
      <c r="AJ918" s="566"/>
      <c r="AK918" s="566"/>
      <c r="AL918" s="566"/>
      <c r="AM918" s="566"/>
      <c r="AN918" s="566"/>
      <c r="AO918" s="566"/>
    </row>
    <row r="919" spans="2:41" x14ac:dyDescent="0.15">
      <c r="B919" s="567">
        <v>-25</v>
      </c>
      <c r="C919" s="566"/>
      <c r="D919" s="566"/>
      <c r="E919" s="566"/>
      <c r="F919" s="566"/>
      <c r="G919" s="566"/>
      <c r="H919" s="566"/>
      <c r="I919" s="566"/>
      <c r="J919" s="566"/>
      <c r="K919" s="566"/>
      <c r="L919" s="566"/>
      <c r="M919" s="566"/>
      <c r="N919" s="566"/>
      <c r="O919" s="566"/>
      <c r="P919" s="566"/>
      <c r="Q919" s="566"/>
      <c r="R919" s="566"/>
      <c r="S919" s="566"/>
      <c r="T919" s="566"/>
      <c r="U919" s="566"/>
      <c r="V919" s="566"/>
      <c r="W919" s="566"/>
      <c r="X919" s="566"/>
      <c r="Y919" s="566"/>
      <c r="Z919" s="566"/>
      <c r="AA919" s="566"/>
      <c r="AB919" s="566"/>
      <c r="AC919" s="566"/>
      <c r="AD919" s="566"/>
      <c r="AE919" s="566"/>
      <c r="AF919" s="566"/>
      <c r="AG919" s="566"/>
      <c r="AH919" s="566"/>
      <c r="AI919" s="566"/>
      <c r="AJ919" s="566"/>
      <c r="AK919" s="566"/>
      <c r="AL919" s="566"/>
      <c r="AM919" s="566"/>
      <c r="AN919" s="566"/>
      <c r="AO919" s="566"/>
    </row>
    <row r="920" spans="2:41" x14ac:dyDescent="0.15">
      <c r="B920" s="567">
        <v>-24</v>
      </c>
      <c r="C920" s="566"/>
      <c r="D920" s="566"/>
      <c r="E920" s="566"/>
      <c r="F920" s="566"/>
      <c r="G920" s="566"/>
      <c r="H920" s="566"/>
      <c r="I920" s="566"/>
      <c r="J920" s="566"/>
      <c r="K920" s="566"/>
      <c r="L920" s="566"/>
      <c r="M920" s="566"/>
      <c r="N920" s="566"/>
      <c r="O920" s="566"/>
      <c r="P920" s="566"/>
      <c r="Q920" s="566"/>
      <c r="R920" s="566"/>
      <c r="S920" s="566"/>
      <c r="T920" s="566"/>
      <c r="U920" s="566"/>
      <c r="V920" s="566"/>
      <c r="W920" s="566"/>
      <c r="X920" s="566"/>
      <c r="Y920" s="566"/>
      <c r="Z920" s="566"/>
      <c r="AA920" s="566"/>
      <c r="AB920" s="566"/>
      <c r="AC920" s="566"/>
      <c r="AD920" s="566"/>
      <c r="AE920" s="566"/>
      <c r="AF920" s="566"/>
      <c r="AG920" s="566"/>
      <c r="AH920" s="566"/>
      <c r="AI920" s="566"/>
      <c r="AJ920" s="566"/>
      <c r="AK920" s="566"/>
      <c r="AL920" s="566"/>
      <c r="AM920" s="566"/>
      <c r="AN920" s="566"/>
      <c r="AO920" s="566"/>
    </row>
    <row r="921" spans="2:41" x14ac:dyDescent="0.15">
      <c r="B921" s="567">
        <v>-23</v>
      </c>
      <c r="C921" s="566"/>
      <c r="D921" s="566"/>
      <c r="E921" s="566"/>
      <c r="F921" s="566"/>
      <c r="G921" s="566"/>
      <c r="H921" s="566"/>
      <c r="I921" s="566"/>
      <c r="J921" s="566"/>
      <c r="K921" s="566"/>
      <c r="L921" s="566"/>
      <c r="M921" s="566"/>
      <c r="N921" s="566"/>
      <c r="O921" s="566"/>
      <c r="P921" s="566"/>
      <c r="Q921" s="566"/>
      <c r="R921" s="566"/>
      <c r="S921" s="566"/>
      <c r="T921" s="566"/>
      <c r="U921" s="566"/>
      <c r="V921" s="566"/>
      <c r="W921" s="566"/>
      <c r="X921" s="566"/>
      <c r="Y921" s="566"/>
      <c r="Z921" s="566"/>
      <c r="AA921" s="566"/>
      <c r="AB921" s="566"/>
      <c r="AC921" s="566"/>
      <c r="AD921" s="566"/>
      <c r="AE921" s="566"/>
      <c r="AF921" s="566"/>
      <c r="AG921" s="566"/>
      <c r="AH921" s="566"/>
      <c r="AI921" s="566"/>
      <c r="AJ921" s="566"/>
      <c r="AK921" s="566"/>
      <c r="AL921" s="566"/>
      <c r="AM921" s="566"/>
      <c r="AN921" s="566"/>
      <c r="AO921" s="566"/>
    </row>
    <row r="922" spans="2:41" x14ac:dyDescent="0.15">
      <c r="B922" s="567">
        <v>-22</v>
      </c>
      <c r="C922" s="566"/>
      <c r="D922" s="566"/>
      <c r="E922" s="566"/>
      <c r="F922" s="566"/>
      <c r="G922" s="566"/>
      <c r="H922" s="566"/>
      <c r="I922" s="566"/>
      <c r="J922" s="566"/>
      <c r="K922" s="566"/>
      <c r="L922" s="566"/>
      <c r="M922" s="566"/>
      <c r="N922" s="566"/>
      <c r="O922" s="566"/>
      <c r="P922" s="566"/>
      <c r="Q922" s="566"/>
      <c r="R922" s="566"/>
      <c r="S922" s="566"/>
      <c r="T922" s="566"/>
      <c r="U922" s="566"/>
      <c r="V922" s="566"/>
      <c r="W922" s="566"/>
      <c r="X922" s="566"/>
      <c r="Y922" s="566"/>
      <c r="Z922" s="566"/>
      <c r="AA922" s="566"/>
      <c r="AB922" s="566"/>
      <c r="AC922" s="566"/>
      <c r="AD922" s="566"/>
      <c r="AE922" s="566"/>
      <c r="AF922" s="566"/>
      <c r="AG922" s="566"/>
      <c r="AH922" s="566"/>
      <c r="AI922" s="566"/>
      <c r="AJ922" s="566"/>
      <c r="AK922" s="566"/>
      <c r="AL922" s="566"/>
      <c r="AM922" s="566"/>
      <c r="AN922" s="566"/>
      <c r="AO922" s="566"/>
    </row>
    <row r="923" spans="2:41" x14ac:dyDescent="0.15">
      <c r="B923" s="567">
        <v>-21</v>
      </c>
      <c r="C923" s="566"/>
      <c r="D923" s="566"/>
      <c r="E923" s="566"/>
      <c r="F923" s="566"/>
      <c r="G923" s="566"/>
      <c r="H923" s="566"/>
      <c r="I923" s="566"/>
      <c r="J923" s="566"/>
      <c r="K923" s="566"/>
      <c r="L923" s="566"/>
      <c r="M923" s="566"/>
      <c r="N923" s="566"/>
      <c r="O923" s="566"/>
      <c r="P923" s="566"/>
      <c r="Q923" s="566"/>
      <c r="R923" s="566"/>
      <c r="S923" s="566"/>
      <c r="T923" s="566"/>
      <c r="U923" s="566"/>
      <c r="V923" s="566"/>
      <c r="W923" s="566"/>
      <c r="X923" s="566"/>
      <c r="Y923" s="566"/>
      <c r="Z923" s="566"/>
      <c r="AA923" s="566"/>
      <c r="AB923" s="566"/>
      <c r="AC923" s="566"/>
      <c r="AD923" s="566"/>
      <c r="AE923" s="566"/>
      <c r="AF923" s="566"/>
      <c r="AG923" s="566"/>
      <c r="AH923" s="566"/>
      <c r="AI923" s="566"/>
      <c r="AJ923" s="566"/>
      <c r="AK923" s="566"/>
      <c r="AL923" s="566"/>
      <c r="AM923" s="566"/>
      <c r="AN923" s="566"/>
      <c r="AO923" s="566"/>
    </row>
    <row r="924" spans="2:41" x14ac:dyDescent="0.15">
      <c r="B924" s="567">
        <v>-20</v>
      </c>
      <c r="C924" s="566"/>
      <c r="D924" s="566"/>
      <c r="E924" s="566"/>
      <c r="F924" s="566"/>
      <c r="G924" s="566"/>
      <c r="H924" s="566"/>
      <c r="I924" s="566"/>
      <c r="J924" s="566"/>
      <c r="K924" s="566"/>
      <c r="L924" s="566"/>
      <c r="M924" s="566"/>
      <c r="N924" s="566"/>
      <c r="O924" s="566"/>
      <c r="P924" s="566"/>
      <c r="Q924" s="566"/>
      <c r="R924" s="566"/>
      <c r="S924" s="566"/>
      <c r="T924" s="566"/>
      <c r="U924" s="566"/>
      <c r="V924" s="566"/>
      <c r="W924" s="566"/>
      <c r="X924" s="566"/>
      <c r="Y924" s="566"/>
      <c r="Z924" s="566"/>
      <c r="AA924" s="566"/>
      <c r="AB924" s="566"/>
      <c r="AC924" s="566"/>
      <c r="AD924" s="566"/>
      <c r="AE924" s="566"/>
      <c r="AF924" s="566"/>
      <c r="AG924" s="566"/>
      <c r="AH924" s="566"/>
      <c r="AI924" s="566"/>
      <c r="AJ924" s="566"/>
      <c r="AK924" s="566"/>
      <c r="AL924" s="566"/>
      <c r="AM924" s="566"/>
      <c r="AN924" s="566"/>
      <c r="AO924" s="566"/>
    </row>
    <row r="925" spans="2:41" x14ac:dyDescent="0.15">
      <c r="B925" s="567">
        <v>-19</v>
      </c>
      <c r="C925" s="566"/>
      <c r="D925" s="566"/>
      <c r="E925" s="566"/>
      <c r="F925" s="566"/>
      <c r="G925" s="566"/>
      <c r="H925" s="566"/>
      <c r="I925" s="566"/>
      <c r="J925" s="566"/>
      <c r="K925" s="566"/>
      <c r="L925" s="566"/>
      <c r="M925" s="566"/>
      <c r="N925" s="566"/>
      <c r="O925" s="566"/>
      <c r="P925" s="566"/>
      <c r="Q925" s="566"/>
      <c r="R925" s="566"/>
      <c r="S925" s="566"/>
      <c r="T925" s="566"/>
      <c r="U925" s="566"/>
      <c r="V925" s="566"/>
      <c r="W925" s="566"/>
      <c r="X925" s="566"/>
      <c r="Y925" s="566"/>
      <c r="Z925" s="566"/>
      <c r="AA925" s="566"/>
      <c r="AB925" s="566"/>
      <c r="AC925" s="566"/>
      <c r="AD925" s="566"/>
      <c r="AE925" s="566"/>
      <c r="AF925" s="566"/>
      <c r="AG925" s="566"/>
      <c r="AH925" s="566"/>
      <c r="AI925" s="566"/>
      <c r="AJ925" s="566"/>
      <c r="AK925" s="566"/>
      <c r="AL925" s="566"/>
      <c r="AM925" s="566"/>
      <c r="AN925" s="566"/>
      <c r="AO925" s="566"/>
    </row>
    <row r="926" spans="2:41" x14ac:dyDescent="0.15">
      <c r="B926" s="567">
        <v>-18</v>
      </c>
      <c r="C926" s="566"/>
      <c r="D926" s="566"/>
      <c r="E926" s="566"/>
      <c r="F926" s="566"/>
      <c r="G926" s="566"/>
      <c r="H926" s="566"/>
      <c r="I926" s="566"/>
      <c r="J926" s="566"/>
      <c r="K926" s="566"/>
      <c r="L926" s="566"/>
      <c r="M926" s="566"/>
      <c r="N926" s="566"/>
      <c r="O926" s="566"/>
      <c r="P926" s="566"/>
      <c r="Q926" s="566"/>
      <c r="R926" s="566"/>
      <c r="S926" s="566"/>
      <c r="T926" s="566"/>
      <c r="U926" s="566"/>
      <c r="V926" s="566"/>
      <c r="W926" s="566"/>
      <c r="X926" s="566"/>
      <c r="Y926" s="566"/>
      <c r="Z926" s="566"/>
      <c r="AA926" s="566"/>
      <c r="AB926" s="566"/>
      <c r="AC926" s="566"/>
      <c r="AD926" s="566"/>
      <c r="AE926" s="566"/>
      <c r="AF926" s="566"/>
      <c r="AG926" s="566"/>
      <c r="AH926" s="566"/>
      <c r="AI926" s="566"/>
      <c r="AJ926" s="566"/>
      <c r="AK926" s="566"/>
      <c r="AL926" s="566"/>
      <c r="AM926" s="566"/>
      <c r="AN926" s="566"/>
      <c r="AO926" s="566"/>
    </row>
    <row r="927" spans="2:41" x14ac:dyDescent="0.15">
      <c r="B927" s="567">
        <v>-17</v>
      </c>
      <c r="C927" s="566"/>
      <c r="D927" s="566"/>
      <c r="E927" s="566"/>
      <c r="F927" s="566"/>
      <c r="G927" s="566"/>
      <c r="H927" s="566"/>
      <c r="I927" s="566"/>
      <c r="J927" s="566"/>
      <c r="K927" s="566"/>
      <c r="L927" s="566"/>
      <c r="M927" s="566"/>
      <c r="N927" s="566"/>
      <c r="O927" s="566"/>
      <c r="P927" s="566"/>
      <c r="Q927" s="566"/>
      <c r="R927" s="566"/>
      <c r="S927" s="566"/>
      <c r="T927" s="566"/>
      <c r="U927" s="566"/>
      <c r="V927" s="566"/>
      <c r="W927" s="566"/>
      <c r="X927" s="566"/>
      <c r="Y927" s="566"/>
      <c r="Z927" s="566"/>
      <c r="AA927" s="566"/>
      <c r="AB927" s="566"/>
      <c r="AC927" s="566"/>
      <c r="AD927" s="566"/>
      <c r="AE927" s="566"/>
      <c r="AF927" s="566"/>
      <c r="AG927" s="566"/>
      <c r="AH927" s="566"/>
      <c r="AI927" s="566"/>
      <c r="AJ927" s="566"/>
      <c r="AK927" s="566"/>
      <c r="AL927" s="566"/>
      <c r="AM927" s="566"/>
      <c r="AN927" s="566"/>
      <c r="AO927" s="566"/>
    </row>
    <row r="928" spans="2:41" x14ac:dyDescent="0.15">
      <c r="B928" s="567">
        <v>-16</v>
      </c>
      <c r="C928" s="566"/>
      <c r="D928" s="566"/>
      <c r="E928" s="566"/>
      <c r="F928" s="566"/>
      <c r="G928" s="566"/>
      <c r="H928" s="566"/>
      <c r="I928" s="566"/>
      <c r="J928" s="566"/>
      <c r="K928" s="566"/>
      <c r="L928" s="566"/>
      <c r="M928" s="566"/>
      <c r="N928" s="566"/>
      <c r="O928" s="566"/>
      <c r="P928" s="566"/>
      <c r="Q928" s="566"/>
      <c r="R928" s="566"/>
      <c r="S928" s="566"/>
      <c r="T928" s="566"/>
      <c r="U928" s="566"/>
      <c r="V928" s="566"/>
      <c r="W928" s="566"/>
      <c r="X928" s="566"/>
      <c r="Y928" s="566"/>
      <c r="Z928" s="566"/>
      <c r="AA928" s="566"/>
      <c r="AB928" s="566"/>
      <c r="AC928" s="566"/>
      <c r="AD928" s="566"/>
      <c r="AE928" s="566"/>
      <c r="AF928" s="566"/>
      <c r="AG928" s="566"/>
      <c r="AH928" s="566"/>
      <c r="AI928" s="566"/>
      <c r="AJ928" s="566"/>
      <c r="AK928" s="566"/>
      <c r="AL928" s="566"/>
      <c r="AM928" s="566"/>
      <c r="AN928" s="566"/>
      <c r="AO928" s="566"/>
    </row>
    <row r="929" spans="2:41" x14ac:dyDescent="0.15">
      <c r="B929" s="567">
        <v>-15</v>
      </c>
      <c r="C929" s="566"/>
      <c r="D929" s="566"/>
      <c r="E929" s="566"/>
      <c r="F929" s="566"/>
      <c r="G929" s="566"/>
      <c r="H929" s="566"/>
      <c r="I929" s="566"/>
      <c r="J929" s="566"/>
      <c r="K929" s="566"/>
      <c r="L929" s="566"/>
      <c r="M929" s="566"/>
      <c r="N929" s="566"/>
      <c r="O929" s="566"/>
      <c r="P929" s="566"/>
      <c r="Q929" s="566"/>
      <c r="R929" s="566"/>
      <c r="S929" s="566"/>
      <c r="T929" s="566"/>
      <c r="U929" s="566"/>
      <c r="V929" s="566"/>
      <c r="W929" s="566"/>
      <c r="X929" s="566"/>
      <c r="Y929" s="566"/>
      <c r="Z929" s="566"/>
      <c r="AA929" s="566"/>
      <c r="AB929" s="566"/>
      <c r="AC929" s="566"/>
      <c r="AD929" s="566"/>
      <c r="AE929" s="566"/>
      <c r="AF929" s="566"/>
      <c r="AG929" s="566"/>
      <c r="AH929" s="566"/>
      <c r="AI929" s="566"/>
      <c r="AJ929" s="566"/>
      <c r="AK929" s="566"/>
      <c r="AL929" s="566"/>
      <c r="AM929" s="566"/>
      <c r="AN929" s="566"/>
      <c r="AO929" s="566"/>
    </row>
    <row r="930" spans="2:41" x14ac:dyDescent="0.15">
      <c r="B930" s="567">
        <v>-14</v>
      </c>
      <c r="C930" s="566"/>
      <c r="D930" s="566"/>
      <c r="E930" s="566"/>
      <c r="F930" s="566"/>
      <c r="G930" s="566"/>
      <c r="H930" s="566"/>
      <c r="I930" s="566"/>
      <c r="J930" s="566"/>
      <c r="K930" s="566"/>
      <c r="L930" s="566"/>
      <c r="M930" s="566"/>
      <c r="N930" s="566"/>
      <c r="O930" s="566"/>
      <c r="P930" s="566"/>
      <c r="Q930" s="566"/>
      <c r="R930" s="566"/>
      <c r="S930" s="566"/>
      <c r="T930" s="566"/>
      <c r="U930" s="566"/>
      <c r="V930" s="566"/>
      <c r="W930" s="566"/>
      <c r="X930" s="566"/>
      <c r="Y930" s="566"/>
      <c r="Z930" s="566"/>
      <c r="AA930" s="566"/>
      <c r="AB930" s="566"/>
      <c r="AC930" s="566"/>
      <c r="AD930" s="566"/>
      <c r="AE930" s="566"/>
      <c r="AF930" s="566"/>
      <c r="AG930" s="566"/>
      <c r="AH930" s="566"/>
      <c r="AI930" s="566"/>
      <c r="AJ930" s="566"/>
      <c r="AK930" s="566"/>
      <c r="AL930" s="566"/>
      <c r="AM930" s="566"/>
      <c r="AN930" s="566"/>
      <c r="AO930" s="566"/>
    </row>
    <row r="931" spans="2:41" x14ac:dyDescent="0.15">
      <c r="B931" s="567">
        <v>-13</v>
      </c>
      <c r="C931" s="566"/>
      <c r="D931" s="566"/>
      <c r="E931" s="566"/>
      <c r="F931" s="566"/>
      <c r="G931" s="566"/>
      <c r="H931" s="566"/>
      <c r="I931" s="566"/>
      <c r="J931" s="566"/>
      <c r="K931" s="566"/>
      <c r="L931" s="566"/>
      <c r="M931" s="566"/>
      <c r="N931" s="566"/>
      <c r="O931" s="566"/>
      <c r="P931" s="566"/>
      <c r="Q931" s="566"/>
      <c r="R931" s="566"/>
      <c r="S931" s="566"/>
      <c r="T931" s="566"/>
      <c r="U931" s="566"/>
      <c r="V931" s="566"/>
      <c r="W931" s="566"/>
      <c r="X931" s="566"/>
      <c r="Y931" s="566"/>
      <c r="Z931" s="566"/>
      <c r="AA931" s="566"/>
      <c r="AB931" s="566"/>
      <c r="AC931" s="566"/>
      <c r="AD931" s="566"/>
      <c r="AE931" s="566"/>
      <c r="AF931" s="566"/>
      <c r="AG931" s="566"/>
      <c r="AH931" s="566"/>
      <c r="AI931" s="566"/>
      <c r="AJ931" s="566"/>
      <c r="AK931" s="566"/>
      <c r="AL931" s="566"/>
      <c r="AM931" s="566"/>
      <c r="AN931" s="566"/>
      <c r="AO931" s="566"/>
    </row>
    <row r="932" spans="2:41" x14ac:dyDescent="0.15">
      <c r="B932" s="567">
        <v>-12</v>
      </c>
      <c r="C932" s="566"/>
      <c r="D932" s="566"/>
      <c r="E932" s="566"/>
      <c r="F932" s="566"/>
      <c r="G932" s="566"/>
      <c r="H932" s="566"/>
      <c r="I932" s="566"/>
      <c r="J932" s="566"/>
      <c r="K932" s="566"/>
      <c r="L932" s="566"/>
      <c r="M932" s="566"/>
      <c r="N932" s="566"/>
      <c r="O932" s="566"/>
      <c r="P932" s="566"/>
      <c r="Q932" s="566"/>
      <c r="R932" s="566"/>
      <c r="S932" s="566"/>
      <c r="T932" s="566"/>
      <c r="U932" s="566"/>
      <c r="V932" s="566"/>
      <c r="W932" s="566"/>
      <c r="X932" s="566"/>
      <c r="Y932" s="566"/>
      <c r="Z932" s="566"/>
      <c r="AA932" s="566"/>
      <c r="AB932" s="566"/>
      <c r="AC932" s="566"/>
      <c r="AD932" s="566"/>
      <c r="AE932" s="566"/>
      <c r="AF932" s="566"/>
      <c r="AG932" s="566"/>
      <c r="AH932" s="566"/>
      <c r="AI932" s="566"/>
      <c r="AJ932" s="566"/>
      <c r="AK932" s="566"/>
      <c r="AL932" s="566"/>
      <c r="AM932" s="566"/>
      <c r="AN932" s="566"/>
      <c r="AO932" s="566"/>
    </row>
    <row r="933" spans="2:41" x14ac:dyDescent="0.15">
      <c r="B933" s="567">
        <v>-11</v>
      </c>
      <c r="C933" s="566"/>
      <c r="D933" s="566"/>
      <c r="E933" s="566"/>
      <c r="F933" s="566"/>
      <c r="G933" s="566"/>
      <c r="H933" s="566"/>
      <c r="I933" s="566"/>
      <c r="J933" s="566"/>
      <c r="K933" s="566"/>
      <c r="L933" s="566"/>
      <c r="M933" s="566"/>
      <c r="N933" s="566"/>
      <c r="O933" s="566"/>
      <c r="P933" s="566"/>
      <c r="Q933" s="566"/>
      <c r="R933" s="566"/>
      <c r="S933" s="566"/>
      <c r="T933" s="566"/>
      <c r="U933" s="566"/>
      <c r="V933" s="566"/>
      <c r="W933" s="566"/>
      <c r="X933" s="566"/>
      <c r="Y933" s="566"/>
      <c r="Z933" s="566"/>
      <c r="AA933" s="566"/>
      <c r="AB933" s="566"/>
      <c r="AC933" s="566"/>
      <c r="AD933" s="566"/>
      <c r="AE933" s="566"/>
      <c r="AF933" s="566"/>
      <c r="AG933" s="566"/>
      <c r="AH933" s="566"/>
      <c r="AI933" s="566"/>
      <c r="AJ933" s="566"/>
      <c r="AK933" s="566"/>
      <c r="AL933" s="566"/>
      <c r="AM933" s="566"/>
      <c r="AN933" s="566"/>
      <c r="AO933" s="566"/>
    </row>
    <row r="934" spans="2:41" x14ac:dyDescent="0.15">
      <c r="B934" s="567">
        <v>-10</v>
      </c>
      <c r="C934" s="566"/>
      <c r="D934" s="566"/>
      <c r="E934" s="566"/>
      <c r="F934" s="566"/>
      <c r="G934" s="566"/>
      <c r="H934" s="566"/>
      <c r="I934" s="566"/>
      <c r="J934" s="566"/>
      <c r="K934" s="566"/>
      <c r="L934" s="566"/>
      <c r="M934" s="566"/>
      <c r="N934" s="566"/>
      <c r="O934" s="566"/>
      <c r="P934" s="566"/>
      <c r="Q934" s="566"/>
      <c r="R934" s="566"/>
      <c r="S934" s="566"/>
      <c r="T934" s="566"/>
      <c r="U934" s="566"/>
      <c r="V934" s="566"/>
      <c r="W934" s="566"/>
      <c r="X934" s="566"/>
      <c r="Y934" s="566"/>
      <c r="Z934" s="566"/>
      <c r="AA934" s="566"/>
      <c r="AB934" s="566"/>
      <c r="AC934" s="566"/>
      <c r="AD934" s="566"/>
      <c r="AE934" s="566"/>
      <c r="AF934" s="566"/>
      <c r="AG934" s="566"/>
      <c r="AH934" s="566"/>
      <c r="AI934" s="566"/>
      <c r="AJ934" s="566"/>
      <c r="AK934" s="566"/>
      <c r="AL934" s="566"/>
      <c r="AM934" s="566"/>
      <c r="AN934" s="566"/>
      <c r="AO934" s="566"/>
    </row>
    <row r="935" spans="2:41" x14ac:dyDescent="0.15">
      <c r="B935" s="567">
        <v>-9</v>
      </c>
      <c r="C935" s="566"/>
      <c r="D935" s="566"/>
      <c r="E935" s="566"/>
      <c r="F935" s="566"/>
      <c r="G935" s="566"/>
      <c r="H935" s="566"/>
      <c r="I935" s="566"/>
      <c r="J935" s="566"/>
      <c r="K935" s="566"/>
      <c r="L935" s="566"/>
      <c r="M935" s="566"/>
      <c r="N935" s="566"/>
      <c r="O935" s="566"/>
      <c r="P935" s="566"/>
      <c r="Q935" s="566"/>
      <c r="R935" s="566"/>
      <c r="S935" s="566"/>
      <c r="T935" s="566"/>
      <c r="U935" s="566"/>
      <c r="V935" s="566"/>
      <c r="W935" s="566"/>
      <c r="X935" s="566"/>
      <c r="Y935" s="566"/>
      <c r="Z935" s="566"/>
      <c r="AA935" s="566"/>
      <c r="AB935" s="566"/>
      <c r="AC935" s="566"/>
      <c r="AD935" s="566"/>
      <c r="AE935" s="566"/>
      <c r="AF935" s="566"/>
      <c r="AG935" s="566"/>
      <c r="AH935" s="566"/>
      <c r="AI935" s="566"/>
      <c r="AJ935" s="566"/>
      <c r="AK935" s="566"/>
      <c r="AL935" s="566"/>
      <c r="AM935" s="566"/>
      <c r="AN935" s="566"/>
      <c r="AO935" s="566"/>
    </row>
    <row r="936" spans="2:41" x14ac:dyDescent="0.15">
      <c r="B936" s="567">
        <v>-8</v>
      </c>
      <c r="C936" s="566"/>
      <c r="D936" s="566"/>
      <c r="E936" s="566"/>
      <c r="F936" s="566"/>
      <c r="G936" s="566"/>
      <c r="H936" s="566"/>
      <c r="I936" s="566"/>
      <c r="J936" s="566"/>
      <c r="K936" s="566"/>
      <c r="L936" s="566"/>
      <c r="M936" s="566"/>
      <c r="N936" s="566"/>
      <c r="O936" s="566"/>
      <c r="P936" s="566"/>
      <c r="Q936" s="566"/>
      <c r="R936" s="566"/>
      <c r="S936" s="566"/>
      <c r="T936" s="566"/>
      <c r="U936" s="566"/>
      <c r="V936" s="566"/>
      <c r="W936" s="566"/>
      <c r="X936" s="566"/>
      <c r="Y936" s="566"/>
      <c r="Z936" s="566"/>
      <c r="AA936" s="566"/>
      <c r="AB936" s="566"/>
      <c r="AC936" s="566"/>
      <c r="AD936" s="566"/>
      <c r="AE936" s="566"/>
      <c r="AF936" s="566"/>
      <c r="AG936" s="566"/>
      <c r="AH936" s="566"/>
      <c r="AI936" s="566"/>
      <c r="AJ936" s="566"/>
      <c r="AK936" s="566"/>
      <c r="AL936" s="566"/>
      <c r="AM936" s="566"/>
      <c r="AN936" s="566"/>
      <c r="AO936" s="566"/>
    </row>
    <row r="937" spans="2:41" x14ac:dyDescent="0.15">
      <c r="B937" s="567">
        <v>-7</v>
      </c>
      <c r="C937" s="566"/>
      <c r="D937" s="566"/>
      <c r="E937" s="566"/>
      <c r="F937" s="566"/>
      <c r="G937" s="566"/>
      <c r="H937" s="566"/>
      <c r="I937" s="566"/>
      <c r="J937" s="566"/>
      <c r="K937" s="566"/>
      <c r="L937" s="566"/>
      <c r="M937" s="566"/>
      <c r="N937" s="566"/>
      <c r="O937" s="566"/>
      <c r="P937" s="566"/>
      <c r="Q937" s="566"/>
      <c r="R937" s="566"/>
      <c r="S937" s="566"/>
      <c r="T937" s="566"/>
      <c r="U937" s="566"/>
      <c r="V937" s="566"/>
      <c r="W937" s="566"/>
      <c r="X937" s="566"/>
      <c r="Y937" s="566"/>
      <c r="Z937" s="566"/>
      <c r="AA937" s="566"/>
      <c r="AB937" s="566"/>
      <c r="AC937" s="566"/>
      <c r="AD937" s="566"/>
      <c r="AE937" s="566"/>
      <c r="AF937" s="566"/>
      <c r="AG937" s="566"/>
      <c r="AH937" s="566"/>
      <c r="AI937" s="566"/>
      <c r="AJ937" s="566"/>
      <c r="AK937" s="566"/>
      <c r="AL937" s="566"/>
      <c r="AM937" s="566"/>
      <c r="AN937" s="566"/>
      <c r="AO937" s="566"/>
    </row>
    <row r="938" spans="2:41" x14ac:dyDescent="0.15">
      <c r="B938" s="567">
        <v>-6</v>
      </c>
      <c r="C938" s="566"/>
      <c r="D938" s="566"/>
      <c r="E938" s="566"/>
      <c r="F938" s="566"/>
      <c r="G938" s="566"/>
      <c r="H938" s="566"/>
      <c r="I938" s="566"/>
      <c r="J938" s="566"/>
      <c r="K938" s="566"/>
      <c r="L938" s="566"/>
      <c r="M938" s="566"/>
      <c r="N938" s="566"/>
      <c r="O938" s="566"/>
      <c r="P938" s="566"/>
      <c r="Q938" s="566"/>
      <c r="R938" s="566"/>
      <c r="S938" s="566"/>
      <c r="T938" s="566"/>
      <c r="U938" s="566"/>
      <c r="V938" s="566"/>
      <c r="W938" s="566"/>
      <c r="X938" s="566"/>
      <c r="Y938" s="566"/>
      <c r="Z938" s="566"/>
      <c r="AA938" s="566"/>
      <c r="AB938" s="566"/>
      <c r="AC938" s="566"/>
      <c r="AD938" s="566"/>
      <c r="AE938" s="566"/>
      <c r="AF938" s="566"/>
      <c r="AG938" s="566"/>
      <c r="AH938" s="566"/>
      <c r="AI938" s="566"/>
      <c r="AJ938" s="566"/>
      <c r="AK938" s="566"/>
      <c r="AL938" s="566"/>
      <c r="AM938" s="566"/>
      <c r="AN938" s="566"/>
      <c r="AO938" s="566"/>
    </row>
    <row r="939" spans="2:41" x14ac:dyDescent="0.15">
      <c r="B939" s="567">
        <v>-5</v>
      </c>
      <c r="C939" s="566"/>
      <c r="D939" s="566"/>
      <c r="E939" s="566"/>
      <c r="F939" s="566"/>
      <c r="G939" s="566"/>
      <c r="H939" s="566"/>
      <c r="I939" s="566"/>
      <c r="J939" s="566"/>
      <c r="K939" s="566"/>
      <c r="L939" s="566"/>
      <c r="M939" s="566"/>
      <c r="N939" s="566"/>
      <c r="O939" s="566"/>
      <c r="P939" s="566"/>
      <c r="Q939" s="566"/>
      <c r="R939" s="566"/>
      <c r="S939" s="566"/>
      <c r="T939" s="566"/>
      <c r="U939" s="566"/>
      <c r="V939" s="566"/>
      <c r="W939" s="566"/>
      <c r="X939" s="566"/>
      <c r="Y939" s="566"/>
      <c r="Z939" s="566"/>
      <c r="AA939" s="566"/>
      <c r="AB939" s="566"/>
      <c r="AC939" s="566"/>
      <c r="AD939" s="566"/>
      <c r="AE939" s="566"/>
      <c r="AF939" s="566"/>
      <c r="AG939" s="566"/>
      <c r="AH939" s="566"/>
      <c r="AI939" s="566"/>
      <c r="AJ939" s="566"/>
      <c r="AK939" s="566"/>
      <c r="AL939" s="566"/>
      <c r="AM939" s="566"/>
      <c r="AN939" s="566"/>
      <c r="AO939" s="566"/>
    </row>
    <row r="940" spans="2:41" x14ac:dyDescent="0.15">
      <c r="B940" s="567">
        <v>-4</v>
      </c>
      <c r="C940" s="566"/>
      <c r="D940" s="566"/>
      <c r="E940" s="566"/>
      <c r="F940" s="566"/>
      <c r="G940" s="566"/>
      <c r="H940" s="566"/>
      <c r="I940" s="566"/>
      <c r="J940" s="566"/>
      <c r="K940" s="566"/>
      <c r="L940" s="566"/>
      <c r="M940" s="566"/>
      <c r="N940" s="566"/>
      <c r="O940" s="566"/>
      <c r="P940" s="566"/>
      <c r="Q940" s="566"/>
      <c r="R940" s="566"/>
      <c r="S940" s="566"/>
      <c r="T940" s="566"/>
      <c r="U940" s="566"/>
      <c r="V940" s="566"/>
      <c r="W940" s="566"/>
      <c r="X940" s="566"/>
      <c r="Y940" s="566"/>
      <c r="Z940" s="566"/>
      <c r="AA940" s="566"/>
      <c r="AB940" s="566"/>
      <c r="AC940" s="566"/>
      <c r="AD940" s="566"/>
      <c r="AE940" s="566"/>
      <c r="AF940" s="566"/>
      <c r="AG940" s="566"/>
      <c r="AH940" s="566"/>
      <c r="AI940" s="566"/>
      <c r="AJ940" s="566"/>
      <c r="AK940" s="566"/>
      <c r="AL940" s="566"/>
      <c r="AM940" s="566"/>
      <c r="AN940" s="566"/>
      <c r="AO940" s="566"/>
    </row>
    <row r="941" spans="2:41" x14ac:dyDescent="0.15">
      <c r="B941" s="567">
        <v>-3</v>
      </c>
      <c r="C941" s="566"/>
      <c r="D941" s="566"/>
      <c r="E941" s="566"/>
      <c r="F941" s="566"/>
      <c r="G941" s="566"/>
      <c r="H941" s="566"/>
      <c r="I941" s="566"/>
      <c r="J941" s="566"/>
      <c r="K941" s="566"/>
      <c r="L941" s="566"/>
      <c r="M941" s="566"/>
      <c r="N941" s="566"/>
      <c r="O941" s="566"/>
      <c r="P941" s="566"/>
      <c r="Q941" s="566"/>
      <c r="R941" s="566"/>
      <c r="S941" s="566"/>
      <c r="T941" s="566"/>
      <c r="U941" s="566"/>
      <c r="V941" s="566"/>
      <c r="W941" s="566"/>
      <c r="X941" s="566"/>
      <c r="Y941" s="566"/>
      <c r="Z941" s="566"/>
      <c r="AA941" s="566"/>
      <c r="AB941" s="566"/>
      <c r="AC941" s="566"/>
      <c r="AD941" s="566"/>
      <c r="AE941" s="566"/>
      <c r="AF941" s="566"/>
      <c r="AG941" s="566"/>
      <c r="AH941" s="566"/>
      <c r="AI941" s="566"/>
      <c r="AJ941" s="566"/>
      <c r="AK941" s="566"/>
      <c r="AL941" s="566"/>
      <c r="AM941" s="566"/>
      <c r="AN941" s="566"/>
      <c r="AO941" s="566"/>
    </row>
    <row r="942" spans="2:41" x14ac:dyDescent="0.15">
      <c r="B942" s="567">
        <v>-2</v>
      </c>
      <c r="C942" s="566"/>
      <c r="D942" s="566"/>
      <c r="E942" s="566"/>
      <c r="F942" s="566"/>
      <c r="G942" s="566"/>
      <c r="H942" s="566"/>
      <c r="I942" s="566"/>
      <c r="J942" s="566"/>
      <c r="K942" s="566"/>
      <c r="L942" s="566"/>
      <c r="M942" s="566"/>
      <c r="N942" s="566"/>
      <c r="O942" s="566"/>
      <c r="P942" s="566"/>
      <c r="Q942" s="566"/>
      <c r="R942" s="566"/>
      <c r="S942" s="566"/>
      <c r="T942" s="566"/>
      <c r="U942" s="566"/>
      <c r="V942" s="566"/>
      <c r="W942" s="566"/>
      <c r="X942" s="566"/>
      <c r="Y942" s="566"/>
      <c r="Z942" s="566"/>
      <c r="AA942" s="566"/>
      <c r="AB942" s="566"/>
      <c r="AC942" s="566"/>
      <c r="AD942" s="566"/>
      <c r="AE942" s="566"/>
      <c r="AF942" s="566"/>
      <c r="AG942" s="566"/>
      <c r="AH942" s="566"/>
      <c r="AI942" s="566"/>
      <c r="AJ942" s="566"/>
      <c r="AK942" s="566"/>
      <c r="AL942" s="566"/>
      <c r="AM942" s="566"/>
      <c r="AN942" s="566"/>
      <c r="AO942" s="566"/>
    </row>
    <row r="943" spans="2:41" x14ac:dyDescent="0.15">
      <c r="B943" s="567">
        <v>-1</v>
      </c>
      <c r="C943" s="566"/>
      <c r="D943" s="566"/>
      <c r="E943" s="566"/>
      <c r="F943" s="566"/>
      <c r="G943" s="566"/>
      <c r="H943" s="566"/>
      <c r="I943" s="566"/>
      <c r="J943" s="566"/>
      <c r="K943" s="566"/>
      <c r="L943" s="566"/>
      <c r="M943" s="566"/>
      <c r="N943" s="566"/>
      <c r="O943" s="566"/>
      <c r="P943" s="566"/>
      <c r="Q943" s="566"/>
      <c r="R943" s="566"/>
      <c r="S943" s="566"/>
      <c r="T943" s="566"/>
      <c r="U943" s="566"/>
      <c r="V943" s="566"/>
      <c r="W943" s="566"/>
      <c r="X943" s="566"/>
      <c r="Y943" s="566"/>
      <c r="Z943" s="566"/>
      <c r="AA943" s="566"/>
      <c r="AB943" s="566"/>
      <c r="AC943" s="566"/>
      <c r="AD943" s="566"/>
      <c r="AE943" s="566"/>
      <c r="AF943" s="566"/>
      <c r="AG943" s="566"/>
      <c r="AH943" s="566"/>
      <c r="AI943" s="566"/>
      <c r="AJ943" s="566"/>
      <c r="AK943" s="566"/>
      <c r="AL943" s="566"/>
      <c r="AM943" s="566"/>
      <c r="AN943" s="566"/>
      <c r="AO943" s="566"/>
    </row>
    <row r="944" spans="2:41" x14ac:dyDescent="0.15">
      <c r="B944" s="567">
        <v>0</v>
      </c>
      <c r="C944" s="566"/>
      <c r="D944" s="566"/>
      <c r="E944" s="566"/>
      <c r="F944" s="566"/>
      <c r="G944" s="566"/>
      <c r="H944" s="566"/>
      <c r="I944" s="566"/>
      <c r="J944" s="566"/>
      <c r="K944" s="566"/>
      <c r="L944" s="566"/>
      <c r="M944" s="566"/>
      <c r="N944" s="566"/>
      <c r="O944" s="566"/>
      <c r="P944" s="566"/>
      <c r="Q944" s="566"/>
      <c r="R944" s="566"/>
      <c r="S944" s="566"/>
      <c r="T944" s="566"/>
      <c r="U944" s="566"/>
      <c r="V944" s="566"/>
      <c r="W944" s="566"/>
      <c r="X944" s="566"/>
      <c r="Y944" s="566"/>
      <c r="Z944" s="566"/>
      <c r="AA944" s="566"/>
      <c r="AB944" s="566"/>
      <c r="AC944" s="566"/>
      <c r="AD944" s="566"/>
      <c r="AE944" s="566"/>
      <c r="AF944" s="566"/>
      <c r="AG944" s="566"/>
      <c r="AH944" s="566"/>
      <c r="AI944" s="566"/>
      <c r="AJ944" s="566"/>
      <c r="AK944" s="566"/>
      <c r="AL944" s="566"/>
      <c r="AM944" s="566"/>
      <c r="AN944" s="566"/>
      <c r="AO944" s="566"/>
    </row>
    <row r="945" spans="2:41" x14ac:dyDescent="0.15">
      <c r="B945" s="567">
        <v>1</v>
      </c>
      <c r="C945" s="566"/>
      <c r="D945" s="566"/>
      <c r="E945" s="566"/>
      <c r="F945" s="566"/>
      <c r="G945" s="566"/>
      <c r="H945" s="566"/>
      <c r="I945" s="566"/>
      <c r="J945" s="566"/>
      <c r="K945" s="566"/>
      <c r="L945" s="566"/>
      <c r="M945" s="566"/>
      <c r="N945" s="566"/>
      <c r="O945" s="566"/>
      <c r="P945" s="566"/>
      <c r="Q945" s="566"/>
      <c r="R945" s="566"/>
      <c r="S945" s="566"/>
      <c r="T945" s="566"/>
      <c r="U945" s="566"/>
      <c r="V945" s="566"/>
      <c r="W945" s="566"/>
      <c r="X945" s="566"/>
      <c r="Y945" s="566"/>
      <c r="Z945" s="566"/>
      <c r="AA945" s="566"/>
      <c r="AB945" s="566"/>
      <c r="AC945" s="566"/>
      <c r="AD945" s="566"/>
      <c r="AE945" s="566"/>
      <c r="AF945" s="566"/>
      <c r="AG945" s="566"/>
      <c r="AH945" s="566"/>
      <c r="AI945" s="566"/>
      <c r="AJ945" s="566"/>
      <c r="AK945" s="566"/>
      <c r="AL945" s="566"/>
      <c r="AM945" s="566"/>
      <c r="AN945" s="566"/>
      <c r="AO945" s="566"/>
    </row>
    <row r="946" spans="2:41" x14ac:dyDescent="0.15">
      <c r="B946" s="567">
        <v>2</v>
      </c>
      <c r="C946" s="566"/>
      <c r="D946" s="566"/>
      <c r="E946" s="566"/>
      <c r="F946" s="566"/>
      <c r="G946" s="566"/>
      <c r="H946" s="566"/>
      <c r="I946" s="566"/>
      <c r="J946" s="566"/>
      <c r="K946" s="566"/>
      <c r="L946" s="566"/>
      <c r="M946" s="566"/>
      <c r="N946" s="566"/>
      <c r="O946" s="566"/>
      <c r="P946" s="566"/>
      <c r="Q946" s="566"/>
      <c r="R946" s="566"/>
      <c r="S946" s="566"/>
      <c r="T946" s="566"/>
      <c r="U946" s="566"/>
      <c r="V946" s="566"/>
      <c r="W946" s="566"/>
      <c r="X946" s="566"/>
      <c r="Y946" s="566"/>
      <c r="Z946" s="566"/>
      <c r="AA946" s="566"/>
      <c r="AB946" s="566"/>
      <c r="AC946" s="566"/>
      <c r="AD946" s="566"/>
      <c r="AE946" s="566"/>
      <c r="AF946" s="566"/>
      <c r="AG946" s="566"/>
      <c r="AH946" s="566"/>
      <c r="AI946" s="566"/>
      <c r="AJ946" s="566"/>
      <c r="AK946" s="566"/>
      <c r="AL946" s="566"/>
      <c r="AM946" s="566"/>
      <c r="AN946" s="566"/>
      <c r="AO946" s="566"/>
    </row>
    <row r="947" spans="2:41" x14ac:dyDescent="0.15">
      <c r="B947" s="567">
        <v>3</v>
      </c>
      <c r="C947" s="566"/>
      <c r="D947" s="566"/>
      <c r="E947" s="566"/>
      <c r="F947" s="566"/>
      <c r="G947" s="566"/>
      <c r="H947" s="566"/>
      <c r="I947" s="566"/>
      <c r="J947" s="566"/>
      <c r="K947" s="566"/>
      <c r="L947" s="566"/>
      <c r="M947" s="566"/>
      <c r="N947" s="566"/>
      <c r="O947" s="566"/>
      <c r="P947" s="566"/>
      <c r="Q947" s="566"/>
      <c r="R947" s="566"/>
      <c r="S947" s="566"/>
      <c r="T947" s="566"/>
      <c r="U947" s="566"/>
      <c r="V947" s="566"/>
      <c r="W947" s="566"/>
      <c r="X947" s="566"/>
      <c r="Y947" s="566"/>
      <c r="Z947" s="566"/>
      <c r="AA947" s="566"/>
      <c r="AB947" s="566"/>
      <c r="AC947" s="566"/>
      <c r="AD947" s="566"/>
      <c r="AE947" s="566"/>
      <c r="AF947" s="566"/>
      <c r="AG947" s="566"/>
      <c r="AH947" s="566"/>
      <c r="AI947" s="566"/>
      <c r="AJ947" s="566"/>
      <c r="AK947" s="566"/>
      <c r="AL947" s="566"/>
      <c r="AM947" s="566"/>
      <c r="AN947" s="566"/>
      <c r="AO947" s="566"/>
    </row>
    <row r="948" spans="2:41" x14ac:dyDescent="0.15">
      <c r="B948" s="567">
        <v>4</v>
      </c>
      <c r="C948" s="566"/>
      <c r="D948" s="566"/>
      <c r="E948" s="566"/>
      <c r="F948" s="566"/>
      <c r="G948" s="566"/>
      <c r="H948" s="566"/>
      <c r="I948" s="566"/>
      <c r="J948" s="566"/>
      <c r="K948" s="566"/>
      <c r="L948" s="566"/>
      <c r="M948" s="566"/>
      <c r="N948" s="566"/>
      <c r="O948" s="566"/>
      <c r="P948" s="566"/>
      <c r="Q948" s="566"/>
      <c r="R948" s="566"/>
      <c r="S948" s="566"/>
      <c r="T948" s="566"/>
      <c r="U948" s="566"/>
      <c r="V948" s="566"/>
      <c r="W948" s="566"/>
      <c r="X948" s="566"/>
      <c r="Y948" s="566"/>
      <c r="Z948" s="566"/>
      <c r="AA948" s="566"/>
      <c r="AB948" s="566"/>
      <c r="AC948" s="566"/>
      <c r="AD948" s="566"/>
      <c r="AE948" s="566"/>
      <c r="AF948" s="566"/>
      <c r="AG948" s="566"/>
      <c r="AH948" s="566"/>
      <c r="AI948" s="566"/>
      <c r="AJ948" s="566"/>
      <c r="AK948" s="566"/>
      <c r="AL948" s="566"/>
      <c r="AM948" s="566"/>
      <c r="AN948" s="566"/>
      <c r="AO948" s="566"/>
    </row>
    <row r="949" spans="2:41" x14ac:dyDescent="0.15">
      <c r="B949" s="567">
        <v>5</v>
      </c>
      <c r="C949" s="566"/>
      <c r="D949" s="566"/>
      <c r="E949" s="566"/>
      <c r="F949" s="566"/>
      <c r="G949" s="566"/>
      <c r="H949" s="566"/>
      <c r="I949" s="566"/>
      <c r="J949" s="566"/>
      <c r="K949" s="566"/>
      <c r="L949" s="566"/>
      <c r="M949" s="566"/>
      <c r="N949" s="566"/>
      <c r="O949" s="566"/>
      <c r="P949" s="566"/>
      <c r="Q949" s="566"/>
      <c r="R949" s="566"/>
      <c r="S949" s="566"/>
      <c r="T949" s="566"/>
      <c r="U949" s="566"/>
      <c r="V949" s="566"/>
      <c r="W949" s="566"/>
      <c r="X949" s="566"/>
      <c r="Y949" s="566"/>
      <c r="Z949" s="566"/>
      <c r="AA949" s="566"/>
      <c r="AB949" s="566"/>
      <c r="AC949" s="566"/>
      <c r="AD949" s="566"/>
      <c r="AE949" s="566"/>
      <c r="AF949" s="566"/>
      <c r="AG949" s="566"/>
      <c r="AH949" s="566"/>
      <c r="AI949" s="566"/>
      <c r="AJ949" s="566"/>
      <c r="AK949" s="566"/>
      <c r="AL949" s="566"/>
      <c r="AM949" s="566"/>
      <c r="AN949" s="566"/>
      <c r="AO949" s="566"/>
    </row>
    <row r="950" spans="2:41" x14ac:dyDescent="0.15">
      <c r="B950" s="567">
        <v>6</v>
      </c>
      <c r="C950" s="566"/>
      <c r="D950" s="566"/>
      <c r="E950" s="566"/>
      <c r="F950" s="566"/>
      <c r="G950" s="566"/>
      <c r="H950" s="566"/>
      <c r="I950" s="566"/>
      <c r="J950" s="566"/>
      <c r="K950" s="566"/>
      <c r="L950" s="566"/>
      <c r="M950" s="566"/>
      <c r="N950" s="566"/>
      <c r="O950" s="566"/>
      <c r="P950" s="566"/>
      <c r="Q950" s="566"/>
      <c r="R950" s="566"/>
      <c r="S950" s="566"/>
      <c r="T950" s="566"/>
      <c r="U950" s="566"/>
      <c r="V950" s="566"/>
      <c r="W950" s="566"/>
      <c r="X950" s="566"/>
      <c r="Y950" s="566"/>
      <c r="Z950" s="566"/>
      <c r="AA950" s="566"/>
      <c r="AB950" s="566"/>
      <c r="AC950" s="566"/>
      <c r="AD950" s="566"/>
      <c r="AE950" s="566"/>
      <c r="AF950" s="566"/>
      <c r="AG950" s="566"/>
      <c r="AH950" s="566"/>
      <c r="AI950" s="566"/>
      <c r="AJ950" s="566"/>
      <c r="AK950" s="566"/>
      <c r="AL950" s="566"/>
      <c r="AM950" s="566"/>
      <c r="AN950" s="566"/>
      <c r="AO950" s="566"/>
    </row>
    <row r="951" spans="2:41" x14ac:dyDescent="0.15">
      <c r="B951" s="567">
        <v>7</v>
      </c>
      <c r="C951" s="566"/>
      <c r="D951" s="566"/>
      <c r="E951" s="566"/>
      <c r="F951" s="566"/>
      <c r="G951" s="566"/>
      <c r="H951" s="566"/>
      <c r="I951" s="566"/>
      <c r="J951" s="566"/>
      <c r="K951" s="566"/>
      <c r="L951" s="566"/>
      <c r="M951" s="566"/>
      <c r="N951" s="566"/>
      <c r="O951" s="566"/>
      <c r="P951" s="566"/>
      <c r="Q951" s="566"/>
      <c r="R951" s="566"/>
      <c r="S951" s="566"/>
      <c r="T951" s="566"/>
      <c r="U951" s="566"/>
      <c r="V951" s="566"/>
      <c r="W951" s="566"/>
      <c r="X951" s="566"/>
      <c r="Y951" s="566"/>
      <c r="Z951" s="566"/>
      <c r="AA951" s="566"/>
      <c r="AB951" s="566"/>
      <c r="AC951" s="566"/>
      <c r="AD951" s="566"/>
      <c r="AE951" s="566"/>
      <c r="AF951" s="566"/>
      <c r="AG951" s="566"/>
      <c r="AH951" s="566"/>
      <c r="AI951" s="566"/>
      <c r="AJ951" s="566"/>
      <c r="AK951" s="566"/>
      <c r="AL951" s="566"/>
      <c r="AM951" s="566"/>
      <c r="AN951" s="566"/>
      <c r="AO951" s="566"/>
    </row>
    <row r="952" spans="2:41" x14ac:dyDescent="0.15">
      <c r="B952" s="567">
        <v>8</v>
      </c>
      <c r="C952" s="566"/>
      <c r="D952" s="566"/>
      <c r="E952" s="566"/>
      <c r="F952" s="566"/>
      <c r="G952" s="566"/>
      <c r="H952" s="566"/>
      <c r="I952" s="566"/>
      <c r="J952" s="566"/>
      <c r="K952" s="566"/>
      <c r="L952" s="566"/>
      <c r="M952" s="566"/>
      <c r="N952" s="566"/>
      <c r="O952" s="566"/>
      <c r="P952" s="566"/>
      <c r="Q952" s="566"/>
      <c r="R952" s="566"/>
      <c r="S952" s="566"/>
      <c r="T952" s="566"/>
      <c r="U952" s="566"/>
      <c r="V952" s="566"/>
      <c r="W952" s="566"/>
      <c r="X952" s="566"/>
      <c r="Y952" s="566"/>
      <c r="Z952" s="566"/>
      <c r="AA952" s="566"/>
      <c r="AB952" s="566"/>
      <c r="AC952" s="566"/>
      <c r="AD952" s="566"/>
      <c r="AE952" s="566"/>
      <c r="AF952" s="566"/>
      <c r="AG952" s="566"/>
      <c r="AH952" s="566"/>
      <c r="AI952" s="566"/>
      <c r="AJ952" s="566"/>
      <c r="AK952" s="566"/>
      <c r="AL952" s="566"/>
      <c r="AM952" s="566"/>
      <c r="AN952" s="566"/>
      <c r="AO952" s="566"/>
    </row>
    <row r="953" spans="2:41" x14ac:dyDescent="0.15">
      <c r="B953" s="567">
        <v>9</v>
      </c>
      <c r="C953" s="566"/>
      <c r="D953" s="566"/>
      <c r="E953" s="566"/>
      <c r="F953" s="566"/>
      <c r="G953" s="566"/>
      <c r="H953" s="566"/>
      <c r="I953" s="566"/>
      <c r="J953" s="566"/>
      <c r="K953" s="566"/>
      <c r="L953" s="566"/>
      <c r="M953" s="566"/>
      <c r="N953" s="566"/>
      <c r="O953" s="566"/>
      <c r="P953" s="566"/>
      <c r="Q953" s="566"/>
      <c r="R953" s="566"/>
      <c r="S953" s="566"/>
      <c r="T953" s="566"/>
      <c r="U953" s="566"/>
      <c r="V953" s="566"/>
      <c r="W953" s="566"/>
      <c r="X953" s="566"/>
      <c r="Y953" s="566"/>
      <c r="Z953" s="566"/>
      <c r="AA953" s="566"/>
      <c r="AB953" s="566"/>
      <c r="AC953" s="566"/>
      <c r="AD953" s="566"/>
      <c r="AE953" s="566"/>
      <c r="AF953" s="566"/>
      <c r="AG953" s="566"/>
      <c r="AH953" s="566"/>
      <c r="AI953" s="566"/>
      <c r="AJ953" s="566"/>
      <c r="AK953" s="566"/>
      <c r="AL953" s="566"/>
      <c r="AM953" s="566"/>
      <c r="AN953" s="566"/>
      <c r="AO953" s="566"/>
    </row>
    <row r="954" spans="2:41" x14ac:dyDescent="0.15">
      <c r="B954" s="567">
        <v>10</v>
      </c>
      <c r="C954" s="566"/>
      <c r="D954" s="566"/>
      <c r="E954" s="566"/>
      <c r="F954" s="566"/>
      <c r="G954" s="566"/>
      <c r="H954" s="566"/>
      <c r="I954" s="566"/>
      <c r="J954" s="566"/>
      <c r="K954" s="566"/>
      <c r="L954" s="566"/>
      <c r="M954" s="566"/>
      <c r="N954" s="566"/>
      <c r="O954" s="566"/>
      <c r="P954" s="566"/>
      <c r="Q954" s="566"/>
      <c r="R954" s="566"/>
      <c r="S954" s="566"/>
      <c r="T954" s="566"/>
      <c r="U954" s="566"/>
      <c r="V954" s="566"/>
      <c r="W954" s="566"/>
      <c r="X954" s="566"/>
      <c r="Y954" s="566"/>
      <c r="Z954" s="566"/>
      <c r="AA954" s="566"/>
      <c r="AB954" s="566"/>
      <c r="AC954" s="566"/>
      <c r="AD954" s="566"/>
      <c r="AE954" s="566"/>
      <c r="AF954" s="566"/>
      <c r="AG954" s="566"/>
      <c r="AH954" s="566"/>
      <c r="AI954" s="566"/>
      <c r="AJ954" s="566"/>
      <c r="AK954" s="566"/>
      <c r="AL954" s="566"/>
      <c r="AM954" s="566"/>
      <c r="AN954" s="566"/>
      <c r="AO954" s="566"/>
    </row>
    <row r="955" spans="2:41" x14ac:dyDescent="0.15">
      <c r="B955" s="567">
        <v>11</v>
      </c>
      <c r="C955" s="566"/>
      <c r="D955" s="566"/>
      <c r="E955" s="566"/>
      <c r="F955" s="566"/>
      <c r="G955" s="566"/>
      <c r="H955" s="566"/>
      <c r="I955" s="566"/>
      <c r="J955" s="566"/>
      <c r="K955" s="566"/>
      <c r="L955" s="566"/>
      <c r="M955" s="566"/>
      <c r="N955" s="566"/>
      <c r="O955" s="566"/>
      <c r="P955" s="566"/>
      <c r="Q955" s="566"/>
      <c r="R955" s="566"/>
      <c r="S955" s="566"/>
      <c r="T955" s="566"/>
      <c r="U955" s="566"/>
      <c r="V955" s="566"/>
      <c r="W955" s="566"/>
      <c r="X955" s="566"/>
      <c r="Y955" s="566"/>
      <c r="Z955" s="566"/>
      <c r="AA955" s="566"/>
      <c r="AB955" s="566"/>
      <c r="AC955" s="566"/>
      <c r="AD955" s="566"/>
      <c r="AE955" s="566"/>
      <c r="AF955" s="566"/>
      <c r="AG955" s="566"/>
      <c r="AH955" s="566"/>
      <c r="AI955" s="566"/>
      <c r="AJ955" s="566"/>
      <c r="AK955" s="566"/>
      <c r="AL955" s="566"/>
      <c r="AM955" s="566"/>
      <c r="AN955" s="566"/>
      <c r="AO955" s="566"/>
    </row>
    <row r="956" spans="2:41" x14ac:dyDescent="0.15">
      <c r="B956" s="567">
        <v>12</v>
      </c>
      <c r="C956" s="566"/>
      <c r="D956" s="566"/>
      <c r="E956" s="566"/>
      <c r="F956" s="566"/>
      <c r="G956" s="566"/>
      <c r="H956" s="566"/>
      <c r="I956" s="566"/>
      <c r="J956" s="566"/>
      <c r="K956" s="566"/>
      <c r="L956" s="566"/>
      <c r="M956" s="566"/>
      <c r="N956" s="566"/>
      <c r="O956" s="566"/>
      <c r="P956" s="566"/>
      <c r="Q956" s="566"/>
      <c r="R956" s="566"/>
      <c r="S956" s="566"/>
      <c r="T956" s="566"/>
      <c r="U956" s="566"/>
      <c r="V956" s="566"/>
      <c r="W956" s="566"/>
      <c r="X956" s="566"/>
      <c r="Y956" s="566"/>
      <c r="Z956" s="566"/>
      <c r="AA956" s="566"/>
      <c r="AB956" s="566"/>
      <c r="AC956" s="566"/>
      <c r="AD956" s="566"/>
      <c r="AE956" s="566"/>
      <c r="AF956" s="566"/>
      <c r="AG956" s="566"/>
      <c r="AH956" s="566"/>
      <c r="AI956" s="566"/>
      <c r="AJ956" s="566"/>
      <c r="AK956" s="566"/>
      <c r="AL956" s="566"/>
      <c r="AM956" s="566"/>
      <c r="AN956" s="566"/>
      <c r="AO956" s="566"/>
    </row>
    <row r="957" spans="2:41" x14ac:dyDescent="0.15">
      <c r="B957" s="567">
        <v>13</v>
      </c>
      <c r="C957" s="566"/>
      <c r="D957" s="566"/>
      <c r="E957" s="566"/>
      <c r="F957" s="566"/>
      <c r="G957" s="566"/>
      <c r="H957" s="566"/>
      <c r="I957" s="566"/>
      <c r="J957" s="566"/>
      <c r="K957" s="566"/>
      <c r="L957" s="566"/>
      <c r="M957" s="566"/>
      <c r="N957" s="566"/>
      <c r="O957" s="566"/>
      <c r="P957" s="566"/>
      <c r="Q957" s="566"/>
      <c r="R957" s="566"/>
      <c r="S957" s="566"/>
      <c r="T957" s="566"/>
      <c r="U957" s="566"/>
      <c r="V957" s="566"/>
      <c r="W957" s="566"/>
      <c r="X957" s="566"/>
      <c r="Y957" s="566"/>
      <c r="Z957" s="566"/>
      <c r="AA957" s="566"/>
      <c r="AB957" s="566"/>
      <c r="AC957" s="566"/>
      <c r="AD957" s="566"/>
      <c r="AE957" s="566"/>
      <c r="AF957" s="566"/>
      <c r="AG957" s="566"/>
      <c r="AH957" s="566"/>
      <c r="AI957" s="566"/>
      <c r="AJ957" s="566"/>
      <c r="AK957" s="566"/>
      <c r="AL957" s="566"/>
      <c r="AM957" s="566"/>
      <c r="AN957" s="566"/>
      <c r="AO957" s="566"/>
    </row>
    <row r="958" spans="2:41" x14ac:dyDescent="0.15">
      <c r="B958" s="567">
        <v>14</v>
      </c>
      <c r="C958" s="566"/>
      <c r="D958" s="566"/>
      <c r="E958" s="566"/>
      <c r="F958" s="566"/>
      <c r="G958" s="566"/>
      <c r="H958" s="566"/>
      <c r="I958" s="566"/>
      <c r="J958" s="566"/>
      <c r="K958" s="566"/>
      <c r="L958" s="566"/>
      <c r="M958" s="566"/>
      <c r="N958" s="566"/>
      <c r="O958" s="566"/>
      <c r="P958" s="566"/>
      <c r="Q958" s="566"/>
      <c r="R958" s="566"/>
      <c r="S958" s="566"/>
      <c r="T958" s="566"/>
      <c r="U958" s="566"/>
      <c r="V958" s="566"/>
      <c r="W958" s="566"/>
      <c r="X958" s="566"/>
      <c r="Y958" s="566"/>
      <c r="Z958" s="566"/>
      <c r="AA958" s="566"/>
      <c r="AB958" s="566"/>
      <c r="AC958" s="566"/>
      <c r="AD958" s="566"/>
      <c r="AE958" s="566"/>
      <c r="AF958" s="566"/>
      <c r="AG958" s="566"/>
      <c r="AH958" s="566"/>
      <c r="AI958" s="566"/>
      <c r="AJ958" s="566"/>
      <c r="AK958" s="566"/>
      <c r="AL958" s="566"/>
      <c r="AM958" s="566"/>
      <c r="AN958" s="566"/>
      <c r="AO958" s="566"/>
    </row>
    <row r="959" spans="2:41" x14ac:dyDescent="0.15">
      <c r="B959" s="567">
        <v>15</v>
      </c>
      <c r="C959" s="566"/>
      <c r="D959" s="566"/>
      <c r="E959" s="566"/>
      <c r="F959" s="566"/>
      <c r="G959" s="566"/>
      <c r="H959" s="566"/>
      <c r="I959" s="566"/>
      <c r="J959" s="566"/>
      <c r="K959" s="566"/>
      <c r="L959" s="566"/>
      <c r="M959" s="566"/>
      <c r="N959" s="566"/>
      <c r="O959" s="566"/>
      <c r="P959" s="566"/>
      <c r="Q959" s="566"/>
      <c r="R959" s="566"/>
      <c r="S959" s="566"/>
      <c r="T959" s="566"/>
      <c r="U959" s="566"/>
      <c r="V959" s="566"/>
      <c r="W959" s="566"/>
      <c r="X959" s="566"/>
      <c r="Y959" s="566"/>
      <c r="Z959" s="566"/>
      <c r="AA959" s="566"/>
      <c r="AB959" s="566"/>
      <c r="AC959" s="566"/>
      <c r="AD959" s="566"/>
      <c r="AE959" s="566"/>
      <c r="AF959" s="566"/>
      <c r="AG959" s="566"/>
      <c r="AH959" s="566"/>
      <c r="AI959" s="566"/>
      <c r="AJ959" s="566"/>
      <c r="AK959" s="566"/>
      <c r="AL959" s="566"/>
      <c r="AM959" s="566"/>
      <c r="AN959" s="566"/>
      <c r="AO959" s="566"/>
    </row>
    <row r="960" spans="2:41" x14ac:dyDescent="0.15">
      <c r="B960" s="567">
        <v>16</v>
      </c>
      <c r="C960" s="566"/>
      <c r="D960" s="566"/>
      <c r="E960" s="566"/>
      <c r="F960" s="566"/>
      <c r="G960" s="566"/>
      <c r="H960" s="566"/>
      <c r="I960" s="566"/>
      <c r="J960" s="566"/>
      <c r="K960" s="566"/>
      <c r="L960" s="566"/>
      <c r="M960" s="566"/>
      <c r="N960" s="566"/>
      <c r="O960" s="566"/>
      <c r="P960" s="566"/>
      <c r="Q960" s="566"/>
      <c r="R960" s="566"/>
      <c r="S960" s="566"/>
      <c r="T960" s="566"/>
      <c r="U960" s="566"/>
      <c r="V960" s="566"/>
      <c r="W960" s="566"/>
      <c r="X960" s="566"/>
      <c r="Y960" s="566"/>
      <c r="Z960" s="566"/>
      <c r="AA960" s="566"/>
      <c r="AB960" s="566"/>
      <c r="AC960" s="566"/>
      <c r="AD960" s="566"/>
      <c r="AE960" s="566"/>
      <c r="AF960" s="566"/>
      <c r="AG960" s="566"/>
      <c r="AH960" s="566"/>
      <c r="AI960" s="566"/>
      <c r="AJ960" s="566"/>
      <c r="AK960" s="566"/>
      <c r="AL960" s="566"/>
      <c r="AM960" s="566"/>
      <c r="AN960" s="566"/>
      <c r="AO960" s="566"/>
    </row>
    <row r="961" spans="2:41" x14ac:dyDescent="0.15">
      <c r="B961" s="567">
        <v>17</v>
      </c>
      <c r="C961" s="566"/>
      <c r="D961" s="566"/>
      <c r="E961" s="566"/>
      <c r="F961" s="566"/>
      <c r="G961" s="566"/>
      <c r="H961" s="566"/>
      <c r="I961" s="566"/>
      <c r="J961" s="566"/>
      <c r="K961" s="566"/>
      <c r="L961" s="566"/>
      <c r="M961" s="566"/>
      <c r="N961" s="566"/>
      <c r="O961" s="566"/>
      <c r="P961" s="566"/>
      <c r="Q961" s="566"/>
      <c r="R961" s="566"/>
      <c r="S961" s="566"/>
      <c r="T961" s="566"/>
      <c r="U961" s="566"/>
      <c r="V961" s="566"/>
      <c r="W961" s="566"/>
      <c r="X961" s="566"/>
      <c r="Y961" s="566"/>
      <c r="Z961" s="566"/>
      <c r="AA961" s="566"/>
      <c r="AB961" s="566"/>
      <c r="AC961" s="566"/>
      <c r="AD961" s="566"/>
      <c r="AE961" s="566"/>
      <c r="AF961" s="566"/>
      <c r="AG961" s="566"/>
      <c r="AH961" s="566"/>
      <c r="AI961" s="566"/>
      <c r="AJ961" s="566"/>
      <c r="AK961" s="566"/>
      <c r="AL961" s="566"/>
      <c r="AM961" s="566"/>
      <c r="AN961" s="566"/>
      <c r="AO961" s="566"/>
    </row>
    <row r="962" spans="2:41" x14ac:dyDescent="0.15">
      <c r="B962" s="567">
        <v>18</v>
      </c>
      <c r="C962" s="566"/>
      <c r="D962" s="566"/>
      <c r="E962" s="566"/>
      <c r="F962" s="566"/>
      <c r="G962" s="566"/>
      <c r="H962" s="566"/>
      <c r="I962" s="566"/>
      <c r="J962" s="566"/>
      <c r="K962" s="566"/>
      <c r="L962" s="566"/>
      <c r="M962" s="566"/>
      <c r="N962" s="566"/>
      <c r="O962" s="566"/>
      <c r="P962" s="566"/>
      <c r="Q962" s="566"/>
      <c r="R962" s="566"/>
      <c r="S962" s="566"/>
      <c r="T962" s="566"/>
      <c r="U962" s="566"/>
      <c r="V962" s="566"/>
      <c r="W962" s="566"/>
      <c r="X962" s="566"/>
      <c r="Y962" s="566"/>
      <c r="Z962" s="566"/>
      <c r="AA962" s="566"/>
      <c r="AB962" s="566"/>
      <c r="AC962" s="566"/>
      <c r="AD962" s="566"/>
      <c r="AE962" s="566"/>
      <c r="AF962" s="566"/>
      <c r="AG962" s="566"/>
      <c r="AH962" s="566"/>
      <c r="AI962" s="566"/>
      <c r="AJ962" s="566"/>
      <c r="AK962" s="566"/>
      <c r="AL962" s="566"/>
      <c r="AM962" s="566"/>
      <c r="AN962" s="566"/>
      <c r="AO962" s="566"/>
    </row>
    <row r="963" spans="2:41" x14ac:dyDescent="0.15">
      <c r="B963" s="567">
        <v>19</v>
      </c>
      <c r="C963" s="566"/>
      <c r="D963" s="566"/>
      <c r="E963" s="566"/>
      <c r="F963" s="566"/>
      <c r="G963" s="566"/>
      <c r="H963" s="566"/>
      <c r="I963" s="566"/>
      <c r="J963" s="566"/>
      <c r="K963" s="566"/>
      <c r="L963" s="566"/>
      <c r="M963" s="566"/>
      <c r="N963" s="566"/>
      <c r="O963" s="566"/>
      <c r="P963" s="566"/>
      <c r="Q963" s="566"/>
      <c r="R963" s="566"/>
      <c r="S963" s="566"/>
      <c r="T963" s="566"/>
      <c r="U963" s="566"/>
      <c r="V963" s="566"/>
      <c r="W963" s="566"/>
      <c r="X963" s="566"/>
      <c r="Y963" s="566"/>
      <c r="Z963" s="566"/>
      <c r="AA963" s="566"/>
      <c r="AB963" s="566"/>
      <c r="AC963" s="566"/>
      <c r="AD963" s="566"/>
      <c r="AE963" s="566"/>
      <c r="AF963" s="566"/>
      <c r="AG963" s="566"/>
      <c r="AH963" s="566"/>
      <c r="AI963" s="566"/>
      <c r="AJ963" s="566"/>
      <c r="AK963" s="566"/>
      <c r="AL963" s="566"/>
      <c r="AM963" s="566"/>
      <c r="AN963" s="566"/>
      <c r="AO963" s="566"/>
    </row>
    <row r="964" spans="2:41" x14ac:dyDescent="0.15">
      <c r="B964" s="567">
        <v>20</v>
      </c>
      <c r="C964" s="566"/>
      <c r="D964" s="566"/>
      <c r="E964" s="566"/>
      <c r="F964" s="566"/>
      <c r="G964" s="566"/>
      <c r="H964" s="566"/>
      <c r="I964" s="566"/>
      <c r="J964" s="566"/>
      <c r="K964" s="566"/>
      <c r="L964" s="566"/>
      <c r="M964" s="566"/>
      <c r="N964" s="566"/>
      <c r="O964" s="566"/>
      <c r="P964" s="566"/>
      <c r="Q964" s="566"/>
      <c r="R964" s="566"/>
      <c r="S964" s="566"/>
      <c r="T964" s="566"/>
      <c r="U964" s="566"/>
      <c r="V964" s="566"/>
      <c r="W964" s="566"/>
      <c r="X964" s="566"/>
      <c r="Y964" s="566"/>
      <c r="Z964" s="566"/>
      <c r="AA964" s="566"/>
      <c r="AB964" s="566"/>
      <c r="AC964" s="566"/>
      <c r="AD964" s="566"/>
      <c r="AE964" s="566"/>
      <c r="AF964" s="566"/>
      <c r="AG964" s="566"/>
      <c r="AH964" s="566"/>
      <c r="AI964" s="566"/>
      <c r="AJ964" s="566"/>
      <c r="AK964" s="566"/>
      <c r="AL964" s="566"/>
      <c r="AM964" s="566"/>
      <c r="AN964" s="566"/>
      <c r="AO964" s="566"/>
    </row>
    <row r="965" spans="2:41" x14ac:dyDescent="0.15">
      <c r="B965" s="567">
        <v>21</v>
      </c>
      <c r="C965" s="566"/>
      <c r="D965" s="566"/>
      <c r="E965" s="566"/>
      <c r="F965" s="566"/>
      <c r="G965" s="566"/>
      <c r="H965" s="566"/>
      <c r="I965" s="566"/>
      <c r="J965" s="566"/>
      <c r="K965" s="566"/>
      <c r="L965" s="566"/>
      <c r="M965" s="566"/>
      <c r="N965" s="566"/>
      <c r="O965" s="566"/>
      <c r="P965" s="566"/>
      <c r="Q965" s="566"/>
      <c r="R965" s="566"/>
      <c r="S965" s="566"/>
      <c r="T965" s="566"/>
      <c r="U965" s="566"/>
      <c r="V965" s="566"/>
      <c r="W965" s="566"/>
      <c r="X965" s="566"/>
      <c r="Y965" s="566"/>
      <c r="Z965" s="566"/>
      <c r="AA965" s="566"/>
      <c r="AB965" s="566"/>
      <c r="AC965" s="566"/>
      <c r="AD965" s="566"/>
      <c r="AE965" s="566"/>
      <c r="AF965" s="566"/>
      <c r="AG965" s="566"/>
      <c r="AH965" s="566"/>
      <c r="AI965" s="566"/>
      <c r="AJ965" s="566"/>
      <c r="AK965" s="566"/>
      <c r="AL965" s="566"/>
      <c r="AM965" s="566"/>
      <c r="AN965" s="566"/>
      <c r="AO965" s="566"/>
    </row>
    <row r="966" spans="2:41" x14ac:dyDescent="0.15">
      <c r="B966" s="567">
        <v>22</v>
      </c>
      <c r="C966" s="566"/>
      <c r="D966" s="566"/>
      <c r="E966" s="566"/>
      <c r="F966" s="566"/>
      <c r="G966" s="566"/>
      <c r="H966" s="566"/>
      <c r="I966" s="566"/>
      <c r="J966" s="566"/>
      <c r="K966" s="566"/>
      <c r="L966" s="566"/>
      <c r="M966" s="566"/>
      <c r="N966" s="566"/>
      <c r="O966" s="566"/>
      <c r="P966" s="566"/>
      <c r="Q966" s="566"/>
      <c r="R966" s="566"/>
      <c r="S966" s="566"/>
      <c r="T966" s="566"/>
      <c r="U966" s="566"/>
      <c r="V966" s="566"/>
      <c r="W966" s="566"/>
      <c r="X966" s="566"/>
      <c r="Y966" s="566"/>
      <c r="Z966" s="566"/>
      <c r="AA966" s="566"/>
      <c r="AB966" s="566"/>
      <c r="AC966" s="566"/>
      <c r="AD966" s="566"/>
      <c r="AE966" s="566"/>
      <c r="AF966" s="566"/>
      <c r="AG966" s="566"/>
      <c r="AH966" s="566"/>
      <c r="AI966" s="566"/>
      <c r="AJ966" s="566"/>
      <c r="AK966" s="566"/>
      <c r="AL966" s="566"/>
      <c r="AM966" s="566"/>
      <c r="AN966" s="566"/>
      <c r="AO966" s="566"/>
    </row>
    <row r="967" spans="2:41" x14ac:dyDescent="0.15">
      <c r="B967" s="567">
        <v>23</v>
      </c>
      <c r="C967" s="566"/>
      <c r="D967" s="566"/>
      <c r="E967" s="566"/>
      <c r="F967" s="566"/>
      <c r="G967" s="566"/>
      <c r="H967" s="566"/>
      <c r="I967" s="566"/>
      <c r="J967" s="566"/>
      <c r="K967" s="566"/>
      <c r="L967" s="566"/>
      <c r="M967" s="566"/>
      <c r="N967" s="566"/>
      <c r="O967" s="566"/>
      <c r="P967" s="566"/>
      <c r="Q967" s="566"/>
      <c r="R967" s="566"/>
      <c r="S967" s="566"/>
      <c r="T967" s="566"/>
      <c r="U967" s="566"/>
      <c r="V967" s="566"/>
      <c r="W967" s="566"/>
      <c r="X967" s="566"/>
      <c r="Y967" s="566"/>
      <c r="Z967" s="566"/>
      <c r="AA967" s="566"/>
      <c r="AB967" s="566"/>
      <c r="AC967" s="566"/>
      <c r="AD967" s="566"/>
      <c r="AE967" s="566"/>
      <c r="AF967" s="566"/>
      <c r="AG967" s="566"/>
      <c r="AH967" s="566"/>
      <c r="AI967" s="566"/>
      <c r="AJ967" s="566"/>
      <c r="AK967" s="566"/>
      <c r="AL967" s="566"/>
      <c r="AM967" s="566"/>
      <c r="AN967" s="566"/>
      <c r="AO967" s="566"/>
    </row>
    <row r="968" spans="2:41" x14ac:dyDescent="0.15">
      <c r="B968" s="567">
        <v>24</v>
      </c>
      <c r="C968" s="566"/>
      <c r="D968" s="566"/>
      <c r="E968" s="566"/>
      <c r="F968" s="566"/>
      <c r="G968" s="566"/>
      <c r="H968" s="566"/>
      <c r="I968" s="566"/>
      <c r="J968" s="566"/>
      <c r="K968" s="566"/>
      <c r="L968" s="566"/>
      <c r="M968" s="566"/>
      <c r="N968" s="566"/>
      <c r="O968" s="566"/>
      <c r="P968" s="566"/>
      <c r="Q968" s="566"/>
      <c r="R968" s="566"/>
      <c r="S968" s="566"/>
      <c r="T968" s="566"/>
      <c r="U968" s="566"/>
      <c r="V968" s="566"/>
      <c r="W968" s="566"/>
      <c r="X968" s="566"/>
      <c r="Y968" s="566"/>
      <c r="Z968" s="566"/>
      <c r="AA968" s="566"/>
      <c r="AB968" s="566"/>
      <c r="AC968" s="566"/>
      <c r="AD968" s="566"/>
      <c r="AE968" s="566"/>
      <c r="AF968" s="566"/>
      <c r="AG968" s="566"/>
      <c r="AH968" s="566"/>
      <c r="AI968" s="566"/>
      <c r="AJ968" s="566"/>
      <c r="AK968" s="566"/>
      <c r="AL968" s="566"/>
      <c r="AM968" s="566"/>
      <c r="AN968" s="566"/>
      <c r="AO968" s="566"/>
    </row>
    <row r="969" spans="2:41" x14ac:dyDescent="0.15">
      <c r="B969" s="567">
        <v>25</v>
      </c>
      <c r="C969" s="566"/>
      <c r="D969" s="566"/>
      <c r="E969" s="566"/>
      <c r="F969" s="566"/>
      <c r="G969" s="566"/>
      <c r="H969" s="566"/>
      <c r="I969" s="566"/>
      <c r="J969" s="566"/>
      <c r="K969" s="566"/>
      <c r="L969" s="566"/>
      <c r="M969" s="566"/>
      <c r="N969" s="566"/>
      <c r="O969" s="566"/>
      <c r="P969" s="566"/>
      <c r="Q969" s="566"/>
      <c r="R969" s="566"/>
      <c r="S969" s="566"/>
      <c r="T969" s="566"/>
      <c r="U969" s="566"/>
      <c r="V969" s="566"/>
      <c r="W969" s="566"/>
      <c r="X969" s="566"/>
      <c r="Y969" s="566"/>
      <c r="Z969" s="566"/>
      <c r="AA969" s="566"/>
      <c r="AB969" s="566"/>
      <c r="AC969" s="566"/>
      <c r="AD969" s="566"/>
      <c r="AE969" s="566"/>
      <c r="AF969" s="566"/>
      <c r="AG969" s="566"/>
      <c r="AH969" s="566"/>
      <c r="AI969" s="566"/>
      <c r="AJ969" s="566"/>
      <c r="AK969" s="566"/>
      <c r="AL969" s="566"/>
      <c r="AM969" s="566"/>
      <c r="AN969" s="566"/>
      <c r="AO969" s="566"/>
    </row>
    <row r="970" spans="2:41" x14ac:dyDescent="0.15">
      <c r="B970" s="567">
        <v>26</v>
      </c>
      <c r="C970" s="566"/>
      <c r="D970" s="566"/>
      <c r="E970" s="566"/>
      <c r="F970" s="566"/>
      <c r="G970" s="566"/>
      <c r="H970" s="566"/>
      <c r="I970" s="566"/>
      <c r="J970" s="566"/>
      <c r="K970" s="566"/>
      <c r="L970" s="566"/>
      <c r="M970" s="566"/>
      <c r="N970" s="566"/>
      <c r="O970" s="566"/>
      <c r="P970" s="566"/>
      <c r="Q970" s="566"/>
      <c r="R970" s="566"/>
      <c r="S970" s="566"/>
      <c r="T970" s="566"/>
      <c r="U970" s="566"/>
      <c r="V970" s="566"/>
      <c r="W970" s="566"/>
      <c r="X970" s="566"/>
      <c r="Y970" s="566"/>
      <c r="Z970" s="566"/>
      <c r="AA970" s="566"/>
      <c r="AB970" s="566"/>
      <c r="AC970" s="566"/>
      <c r="AD970" s="566"/>
      <c r="AE970" s="566"/>
      <c r="AF970" s="566"/>
      <c r="AG970" s="566"/>
      <c r="AH970" s="566"/>
      <c r="AI970" s="566"/>
      <c r="AJ970" s="566"/>
      <c r="AK970" s="566"/>
      <c r="AL970" s="566"/>
      <c r="AM970" s="566"/>
      <c r="AN970" s="566"/>
      <c r="AO970" s="566"/>
    </row>
    <row r="971" spans="2:41" x14ac:dyDescent="0.15">
      <c r="B971" s="567">
        <v>27</v>
      </c>
      <c r="C971" s="566"/>
      <c r="D971" s="566"/>
      <c r="E971" s="566"/>
      <c r="F971" s="566"/>
      <c r="G971" s="566"/>
      <c r="H971" s="566"/>
      <c r="I971" s="566"/>
      <c r="J971" s="566"/>
      <c r="K971" s="566"/>
      <c r="L971" s="566"/>
      <c r="M971" s="566"/>
      <c r="N971" s="566"/>
      <c r="O971" s="566"/>
      <c r="P971" s="566"/>
      <c r="Q971" s="566"/>
      <c r="R971" s="566"/>
      <c r="S971" s="566"/>
      <c r="T971" s="566"/>
      <c r="U971" s="566"/>
      <c r="V971" s="566"/>
      <c r="W971" s="566"/>
      <c r="X971" s="566"/>
      <c r="Y971" s="566"/>
      <c r="Z971" s="566"/>
      <c r="AA971" s="566"/>
      <c r="AB971" s="566"/>
      <c r="AC971" s="566"/>
      <c r="AD971" s="566"/>
      <c r="AE971" s="566"/>
      <c r="AF971" s="566"/>
      <c r="AG971" s="566"/>
      <c r="AH971" s="566"/>
      <c r="AI971" s="566"/>
      <c r="AJ971" s="566"/>
      <c r="AK971" s="566"/>
      <c r="AL971" s="566"/>
      <c r="AM971" s="566"/>
      <c r="AN971" s="566"/>
      <c r="AO971" s="566"/>
    </row>
    <row r="972" spans="2:41" x14ac:dyDescent="0.15">
      <c r="B972" s="567">
        <v>28</v>
      </c>
      <c r="C972" s="566"/>
      <c r="D972" s="566"/>
      <c r="E972" s="566"/>
      <c r="F972" s="566"/>
      <c r="G972" s="566"/>
      <c r="H972" s="566"/>
      <c r="I972" s="566"/>
      <c r="J972" s="566"/>
      <c r="K972" s="566"/>
      <c r="L972" s="566"/>
      <c r="M972" s="566"/>
      <c r="N972" s="566"/>
      <c r="O972" s="566"/>
      <c r="P972" s="566"/>
      <c r="Q972" s="566"/>
      <c r="R972" s="566"/>
      <c r="S972" s="566"/>
      <c r="T972" s="566"/>
      <c r="U972" s="566"/>
      <c r="V972" s="566"/>
      <c r="W972" s="566"/>
      <c r="X972" s="566"/>
      <c r="Y972" s="566"/>
      <c r="Z972" s="566"/>
      <c r="AA972" s="566"/>
      <c r="AB972" s="566"/>
      <c r="AC972" s="566"/>
      <c r="AD972" s="566"/>
      <c r="AE972" s="566"/>
      <c r="AF972" s="566"/>
      <c r="AG972" s="566"/>
      <c r="AH972" s="566"/>
      <c r="AI972" s="566"/>
      <c r="AJ972" s="566"/>
      <c r="AK972" s="566"/>
      <c r="AL972" s="566"/>
      <c r="AM972" s="566"/>
      <c r="AN972" s="566"/>
      <c r="AO972" s="566"/>
    </row>
    <row r="973" spans="2:41" x14ac:dyDescent="0.15">
      <c r="B973" s="567">
        <v>29</v>
      </c>
      <c r="C973" s="566"/>
      <c r="D973" s="566"/>
      <c r="E973" s="566"/>
      <c r="F973" s="566"/>
      <c r="G973" s="566"/>
      <c r="H973" s="566"/>
      <c r="I973" s="566"/>
      <c r="J973" s="566"/>
      <c r="K973" s="566"/>
      <c r="L973" s="566"/>
      <c r="M973" s="566"/>
      <c r="N973" s="566"/>
      <c r="O973" s="566"/>
      <c r="P973" s="566"/>
      <c r="Q973" s="566"/>
      <c r="R973" s="566"/>
      <c r="S973" s="566"/>
      <c r="T973" s="566"/>
      <c r="U973" s="566"/>
      <c r="V973" s="566"/>
      <c r="W973" s="566"/>
      <c r="X973" s="566"/>
      <c r="Y973" s="566"/>
      <c r="Z973" s="566"/>
      <c r="AA973" s="566"/>
      <c r="AB973" s="566"/>
      <c r="AC973" s="566"/>
      <c r="AD973" s="566"/>
      <c r="AE973" s="566"/>
      <c r="AF973" s="566"/>
      <c r="AG973" s="566"/>
      <c r="AH973" s="566"/>
      <c r="AI973" s="566"/>
      <c r="AJ973" s="566"/>
      <c r="AK973" s="566"/>
      <c r="AL973" s="566"/>
      <c r="AM973" s="566"/>
      <c r="AN973" s="566"/>
      <c r="AO973" s="566"/>
    </row>
    <row r="974" spans="2:41" x14ac:dyDescent="0.15">
      <c r="B974" s="567">
        <v>30</v>
      </c>
      <c r="C974" s="566"/>
      <c r="D974" s="566"/>
      <c r="E974" s="566"/>
      <c r="F974" s="566"/>
      <c r="G974" s="566"/>
      <c r="H974" s="566"/>
      <c r="I974" s="566"/>
      <c r="J974" s="566"/>
      <c r="K974" s="566"/>
      <c r="L974" s="566"/>
      <c r="M974" s="566"/>
      <c r="N974" s="566"/>
      <c r="O974" s="566"/>
      <c r="P974" s="566"/>
      <c r="Q974" s="566"/>
      <c r="R974" s="566"/>
      <c r="S974" s="566"/>
      <c r="T974" s="566"/>
      <c r="U974" s="566"/>
      <c r="V974" s="566"/>
      <c r="W974" s="566"/>
      <c r="X974" s="566"/>
      <c r="Y974" s="566"/>
      <c r="Z974" s="566"/>
      <c r="AA974" s="566"/>
      <c r="AB974" s="566"/>
      <c r="AC974" s="566"/>
      <c r="AD974" s="566"/>
      <c r="AE974" s="566"/>
      <c r="AF974" s="566"/>
      <c r="AG974" s="566"/>
      <c r="AH974" s="566"/>
      <c r="AI974" s="566"/>
      <c r="AJ974" s="566"/>
      <c r="AK974" s="566"/>
      <c r="AL974" s="566"/>
      <c r="AM974" s="566"/>
      <c r="AN974" s="566"/>
      <c r="AO974" s="566"/>
    </row>
    <row r="975" spans="2:41" x14ac:dyDescent="0.15">
      <c r="B975" s="567">
        <v>31</v>
      </c>
      <c r="C975" s="566"/>
      <c r="D975" s="566"/>
      <c r="E975" s="566"/>
      <c r="F975" s="566"/>
      <c r="G975" s="566"/>
      <c r="H975" s="566"/>
      <c r="I975" s="566"/>
      <c r="J975" s="566"/>
      <c r="K975" s="566"/>
      <c r="L975" s="566"/>
      <c r="M975" s="566"/>
      <c r="N975" s="566"/>
      <c r="O975" s="566"/>
      <c r="P975" s="566"/>
      <c r="Q975" s="566"/>
      <c r="R975" s="566"/>
      <c r="S975" s="566"/>
      <c r="T975" s="566"/>
      <c r="U975" s="566"/>
      <c r="V975" s="566"/>
      <c r="W975" s="566"/>
      <c r="X975" s="566"/>
      <c r="Y975" s="566"/>
      <c r="Z975" s="566"/>
      <c r="AA975" s="566"/>
      <c r="AB975" s="566"/>
      <c r="AC975" s="566"/>
      <c r="AD975" s="566"/>
      <c r="AE975" s="566"/>
      <c r="AF975" s="566"/>
      <c r="AG975" s="566"/>
      <c r="AH975" s="566"/>
      <c r="AI975" s="566"/>
      <c r="AJ975" s="566"/>
      <c r="AK975" s="566"/>
      <c r="AL975" s="566"/>
      <c r="AM975" s="566"/>
      <c r="AN975" s="566"/>
      <c r="AO975" s="566"/>
    </row>
    <row r="976" spans="2:41" x14ac:dyDescent="0.15">
      <c r="B976" s="567">
        <v>32</v>
      </c>
      <c r="C976" s="566"/>
      <c r="D976" s="566"/>
      <c r="E976" s="566"/>
      <c r="F976" s="566"/>
      <c r="G976" s="566"/>
      <c r="H976" s="566"/>
      <c r="I976" s="566"/>
      <c r="J976" s="566"/>
      <c r="K976" s="566"/>
      <c r="L976" s="566"/>
      <c r="M976" s="566"/>
      <c r="N976" s="566"/>
      <c r="O976" s="566"/>
      <c r="P976" s="566"/>
      <c r="Q976" s="566"/>
      <c r="R976" s="566"/>
      <c r="S976" s="566"/>
      <c r="T976" s="566"/>
      <c r="U976" s="566"/>
      <c r="V976" s="566"/>
      <c r="W976" s="566"/>
      <c r="X976" s="566"/>
      <c r="Y976" s="566"/>
      <c r="Z976" s="566"/>
      <c r="AA976" s="566"/>
      <c r="AB976" s="566"/>
      <c r="AC976" s="566"/>
      <c r="AD976" s="566"/>
      <c r="AE976" s="566"/>
      <c r="AF976" s="566"/>
      <c r="AG976" s="566"/>
      <c r="AH976" s="566"/>
      <c r="AI976" s="566"/>
      <c r="AJ976" s="566"/>
      <c r="AK976" s="566"/>
      <c r="AL976" s="566"/>
      <c r="AM976" s="566"/>
      <c r="AN976" s="566"/>
      <c r="AO976" s="566"/>
    </row>
    <row r="977" spans="2:41" x14ac:dyDescent="0.15">
      <c r="B977" s="567">
        <v>33</v>
      </c>
      <c r="C977" s="566"/>
      <c r="D977" s="566"/>
      <c r="E977" s="566"/>
      <c r="F977" s="566"/>
      <c r="G977" s="566"/>
      <c r="H977" s="566"/>
      <c r="I977" s="566"/>
      <c r="J977" s="566"/>
      <c r="K977" s="566"/>
      <c r="L977" s="566"/>
      <c r="M977" s="566"/>
      <c r="N977" s="566"/>
      <c r="O977" s="566"/>
      <c r="P977" s="566"/>
      <c r="Q977" s="566"/>
      <c r="R977" s="566"/>
      <c r="S977" s="566"/>
      <c r="T977" s="566"/>
      <c r="U977" s="566"/>
      <c r="V977" s="566"/>
      <c r="W977" s="566"/>
      <c r="X977" s="566"/>
      <c r="Y977" s="566"/>
      <c r="Z977" s="566"/>
      <c r="AA977" s="566"/>
      <c r="AB977" s="566"/>
      <c r="AC977" s="566"/>
      <c r="AD977" s="566"/>
      <c r="AE977" s="566"/>
      <c r="AF977" s="566"/>
      <c r="AG977" s="566"/>
      <c r="AH977" s="566"/>
      <c r="AI977" s="566"/>
      <c r="AJ977" s="566"/>
      <c r="AK977" s="566"/>
      <c r="AL977" s="566"/>
      <c r="AM977" s="566"/>
      <c r="AN977" s="566"/>
      <c r="AO977" s="566"/>
    </row>
    <row r="978" spans="2:41" x14ac:dyDescent="0.15">
      <c r="B978" s="567">
        <v>34</v>
      </c>
      <c r="C978" s="566"/>
      <c r="D978" s="566"/>
      <c r="E978" s="566"/>
      <c r="F978" s="566"/>
      <c r="G978" s="566"/>
      <c r="H978" s="566"/>
      <c r="I978" s="566"/>
      <c r="J978" s="566"/>
      <c r="K978" s="566"/>
      <c r="L978" s="566"/>
      <c r="M978" s="566"/>
      <c r="N978" s="566"/>
      <c r="O978" s="566"/>
      <c r="P978" s="566"/>
      <c r="Q978" s="566"/>
      <c r="R978" s="566"/>
      <c r="S978" s="566"/>
      <c r="T978" s="566"/>
      <c r="U978" s="566"/>
      <c r="V978" s="566"/>
      <c r="W978" s="566"/>
      <c r="X978" s="566"/>
      <c r="Y978" s="566"/>
      <c r="Z978" s="566"/>
      <c r="AA978" s="566"/>
      <c r="AB978" s="566"/>
      <c r="AC978" s="566"/>
      <c r="AD978" s="566"/>
      <c r="AE978" s="566"/>
      <c r="AF978" s="566"/>
      <c r="AG978" s="566"/>
      <c r="AH978" s="566"/>
      <c r="AI978" s="566"/>
      <c r="AJ978" s="566"/>
      <c r="AK978" s="566"/>
      <c r="AL978" s="566"/>
      <c r="AM978" s="566"/>
      <c r="AN978" s="566"/>
      <c r="AO978" s="566"/>
    </row>
    <row r="979" spans="2:41" x14ac:dyDescent="0.15">
      <c r="B979" s="567">
        <v>35</v>
      </c>
      <c r="C979" s="566"/>
      <c r="D979" s="566"/>
      <c r="E979" s="566"/>
      <c r="F979" s="566"/>
      <c r="G979" s="566"/>
      <c r="H979" s="566"/>
      <c r="I979" s="566"/>
      <c r="J979" s="566"/>
      <c r="K979" s="566"/>
      <c r="L979" s="566"/>
      <c r="M979" s="566"/>
      <c r="N979" s="566"/>
      <c r="O979" s="566"/>
      <c r="P979" s="566"/>
      <c r="Q979" s="566"/>
      <c r="R979" s="566"/>
      <c r="S979" s="566"/>
      <c r="T979" s="566"/>
      <c r="U979" s="566"/>
      <c r="V979" s="566"/>
      <c r="W979" s="566"/>
      <c r="X979" s="566"/>
      <c r="Y979" s="566"/>
      <c r="Z979" s="566"/>
      <c r="AA979" s="566"/>
      <c r="AB979" s="566"/>
      <c r="AC979" s="566"/>
      <c r="AD979" s="566"/>
      <c r="AE979" s="566"/>
      <c r="AF979" s="566"/>
      <c r="AG979" s="566"/>
      <c r="AH979" s="566"/>
      <c r="AI979" s="566"/>
      <c r="AJ979" s="566"/>
      <c r="AK979" s="566"/>
      <c r="AL979" s="566"/>
      <c r="AM979" s="566"/>
      <c r="AN979" s="566"/>
      <c r="AO979" s="566"/>
    </row>
    <row r="980" spans="2:41" x14ac:dyDescent="0.15">
      <c r="B980" s="567">
        <v>36</v>
      </c>
      <c r="C980" s="566"/>
      <c r="D980" s="566"/>
      <c r="E980" s="566"/>
      <c r="F980" s="566"/>
      <c r="G980" s="566"/>
      <c r="H980" s="566"/>
      <c r="I980" s="566"/>
      <c r="J980" s="566"/>
      <c r="K980" s="566"/>
      <c r="L980" s="566"/>
      <c r="M980" s="566"/>
      <c r="N980" s="566"/>
      <c r="O980" s="566"/>
      <c r="P980" s="566"/>
      <c r="Q980" s="566"/>
      <c r="R980" s="566"/>
      <c r="S980" s="566"/>
      <c r="T980" s="566"/>
      <c r="U980" s="566"/>
      <c r="V980" s="566"/>
      <c r="W980" s="566"/>
      <c r="X980" s="566"/>
      <c r="Y980" s="566"/>
      <c r="Z980" s="566"/>
      <c r="AA980" s="566"/>
      <c r="AB980" s="566"/>
      <c r="AC980" s="566"/>
      <c r="AD980" s="566"/>
      <c r="AE980" s="566"/>
      <c r="AF980" s="566"/>
      <c r="AG980" s="566"/>
      <c r="AH980" s="566"/>
      <c r="AI980" s="566"/>
      <c r="AJ980" s="566"/>
      <c r="AK980" s="566"/>
      <c r="AL980" s="566"/>
      <c r="AM980" s="566"/>
      <c r="AN980" s="566"/>
      <c r="AO980" s="566"/>
    </row>
    <row r="981" spans="2:41" x14ac:dyDescent="0.15">
      <c r="B981" s="567">
        <v>37</v>
      </c>
      <c r="C981" s="566"/>
      <c r="D981" s="566"/>
      <c r="E981" s="566"/>
      <c r="F981" s="566"/>
      <c r="G981" s="566"/>
      <c r="H981" s="566"/>
      <c r="I981" s="566"/>
      <c r="J981" s="566"/>
      <c r="K981" s="566"/>
      <c r="L981" s="566"/>
      <c r="M981" s="566"/>
      <c r="N981" s="566"/>
      <c r="O981" s="566"/>
      <c r="P981" s="566"/>
      <c r="Q981" s="566"/>
      <c r="R981" s="566"/>
      <c r="S981" s="566"/>
      <c r="T981" s="566"/>
      <c r="U981" s="566"/>
      <c r="V981" s="566"/>
      <c r="W981" s="566"/>
      <c r="X981" s="566"/>
      <c r="Y981" s="566"/>
      <c r="Z981" s="566"/>
      <c r="AA981" s="566"/>
      <c r="AB981" s="566"/>
      <c r="AC981" s="566"/>
      <c r="AD981" s="566"/>
      <c r="AE981" s="566"/>
      <c r="AF981" s="566"/>
      <c r="AG981" s="566"/>
      <c r="AH981" s="566"/>
      <c r="AI981" s="566"/>
      <c r="AJ981" s="566"/>
      <c r="AK981" s="566"/>
      <c r="AL981" s="566"/>
      <c r="AM981" s="566"/>
      <c r="AN981" s="566"/>
      <c r="AO981" s="566"/>
    </row>
    <row r="982" spans="2:41" x14ac:dyDescent="0.15">
      <c r="B982" s="567">
        <v>38</v>
      </c>
      <c r="C982" s="566"/>
      <c r="D982" s="566"/>
      <c r="E982" s="566"/>
      <c r="F982" s="566"/>
      <c r="G982" s="566"/>
      <c r="H982" s="566"/>
      <c r="I982" s="566"/>
      <c r="J982" s="566"/>
      <c r="K982" s="566"/>
      <c r="L982" s="566"/>
      <c r="M982" s="566"/>
      <c r="N982" s="566"/>
      <c r="O982" s="566"/>
      <c r="P982" s="566"/>
      <c r="Q982" s="566"/>
      <c r="R982" s="566"/>
      <c r="S982" s="566"/>
      <c r="T982" s="566"/>
      <c r="U982" s="566"/>
      <c r="V982" s="566"/>
      <c r="W982" s="566"/>
      <c r="X982" s="566"/>
      <c r="Y982" s="566"/>
      <c r="Z982" s="566"/>
      <c r="AA982" s="566"/>
      <c r="AB982" s="566"/>
      <c r="AC982" s="566"/>
      <c r="AD982" s="566"/>
      <c r="AE982" s="566"/>
      <c r="AF982" s="566"/>
      <c r="AG982" s="566"/>
      <c r="AH982" s="566"/>
      <c r="AI982" s="566"/>
      <c r="AJ982" s="566"/>
      <c r="AK982" s="566"/>
      <c r="AL982" s="566"/>
      <c r="AM982" s="566"/>
      <c r="AN982" s="566"/>
      <c r="AO982" s="566"/>
    </row>
    <row r="983" spans="2:41" x14ac:dyDescent="0.15">
      <c r="B983" s="567">
        <v>39</v>
      </c>
      <c r="C983" s="566"/>
      <c r="D983" s="566"/>
      <c r="E983" s="566"/>
      <c r="F983" s="566"/>
      <c r="G983" s="566"/>
      <c r="H983" s="566"/>
      <c r="I983" s="566"/>
      <c r="J983" s="566"/>
      <c r="K983" s="566"/>
      <c r="L983" s="566"/>
      <c r="M983" s="566"/>
      <c r="N983" s="566"/>
      <c r="O983" s="566"/>
      <c r="P983" s="566"/>
      <c r="Q983" s="566"/>
      <c r="R983" s="566"/>
      <c r="S983" s="566"/>
      <c r="T983" s="566"/>
      <c r="U983" s="566"/>
      <c r="V983" s="566"/>
      <c r="W983" s="566"/>
      <c r="X983" s="566"/>
      <c r="Y983" s="566"/>
      <c r="Z983" s="566"/>
      <c r="AA983" s="566"/>
      <c r="AB983" s="566"/>
      <c r="AC983" s="566"/>
      <c r="AD983" s="566"/>
      <c r="AE983" s="566"/>
      <c r="AF983" s="566"/>
      <c r="AG983" s="566"/>
      <c r="AH983" s="566"/>
      <c r="AI983" s="566"/>
      <c r="AJ983" s="566"/>
      <c r="AK983" s="566"/>
      <c r="AL983" s="566"/>
      <c r="AM983" s="566"/>
      <c r="AN983" s="566"/>
      <c r="AO983" s="566"/>
    </row>
    <row r="984" spans="2:41" x14ac:dyDescent="0.15">
      <c r="B984" s="568">
        <v>40</v>
      </c>
      <c r="C984" s="566"/>
      <c r="D984" s="566"/>
      <c r="E984" s="566"/>
      <c r="F984" s="566"/>
      <c r="G984" s="566"/>
      <c r="H984" s="566"/>
      <c r="I984" s="566"/>
      <c r="J984" s="566"/>
      <c r="K984" s="566"/>
      <c r="L984" s="566"/>
      <c r="M984" s="566"/>
      <c r="N984" s="566"/>
      <c r="O984" s="566"/>
      <c r="P984" s="566"/>
      <c r="Q984" s="566"/>
      <c r="R984" s="566"/>
      <c r="S984" s="566"/>
      <c r="T984" s="566"/>
      <c r="U984" s="566"/>
      <c r="V984" s="566"/>
      <c r="W984" s="566"/>
      <c r="X984" s="566"/>
      <c r="Y984" s="566"/>
      <c r="Z984" s="566"/>
      <c r="AA984" s="566"/>
      <c r="AB984" s="566"/>
      <c r="AC984" s="566"/>
      <c r="AD984" s="566"/>
      <c r="AE984" s="566"/>
      <c r="AF984" s="566"/>
      <c r="AG984" s="566"/>
      <c r="AH984" s="566"/>
      <c r="AI984" s="566"/>
      <c r="AJ984" s="566"/>
      <c r="AK984" s="566"/>
      <c r="AL984" s="566"/>
      <c r="AM984" s="566"/>
      <c r="AN984" s="566"/>
      <c r="AO984" s="566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'R-series'!E33</f>
        <v>45.1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10.017277567754487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-8.9654448644910261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4.1659551055148146E-3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3.6137731798038739E-2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2.2492315795749774E-2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3.3947256204369974E-2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740.68895541041149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11.034555135508974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-1.2952366677256483E-2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0.21742188809456706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-0.1055453788889148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-2302.8752594020511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9.9761475652813444E-2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9.9665826885745101E-2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74EB-C25B-483A-854B-2F277587A0F6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KirjastoC (kaupungit)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ht="16" x14ac:dyDescent="0.2">
      <c r="B4" s="504">
        <f>KirjastoC!$B$4</f>
        <v>1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69" t="s">
        <v>1016</v>
      </c>
      <c r="I4" s="772" t="s">
        <v>1016</v>
      </c>
      <c r="J4" s="775" t="s">
        <v>1016</v>
      </c>
      <c r="K4" s="778" t="s">
        <v>1016</v>
      </c>
    </row>
    <row r="5" spans="2:11" ht="16" x14ac:dyDescent="0.2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0" t="s">
        <v>270</v>
      </c>
      <c r="I5" s="773" t="s">
        <v>270</v>
      </c>
      <c r="J5" s="776" t="s">
        <v>270</v>
      </c>
      <c r="K5" s="779" t="s">
        <v>270</v>
      </c>
    </row>
    <row r="6" spans="2:11" ht="16" x14ac:dyDescent="0.2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0" t="s">
        <v>271</v>
      </c>
      <c r="I6" s="773" t="s">
        <v>271</v>
      </c>
      <c r="J6" s="776" t="s">
        <v>271</v>
      </c>
      <c r="K6" s="779" t="s">
        <v>271</v>
      </c>
    </row>
    <row r="7" spans="2:11" ht="16" x14ac:dyDescent="0.2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0" t="s">
        <v>272</v>
      </c>
      <c r="I7" s="773" t="s">
        <v>272</v>
      </c>
      <c r="J7" s="776" t="s">
        <v>272</v>
      </c>
      <c r="K7" s="779" t="s">
        <v>272</v>
      </c>
    </row>
    <row r="8" spans="2:11" ht="16" x14ac:dyDescent="0.2">
      <c r="C8" s="569">
        <v>5</v>
      </c>
      <c r="D8" s="580" t="s">
        <v>1025</v>
      </c>
      <c r="E8" s="758" t="s">
        <v>1391</v>
      </c>
      <c r="F8" s="582" t="s">
        <v>1391</v>
      </c>
      <c r="G8" s="759" t="s">
        <v>1391</v>
      </c>
      <c r="H8" s="771" t="s">
        <v>1404</v>
      </c>
      <c r="I8" s="774" t="s">
        <v>1391</v>
      </c>
      <c r="J8" s="777" t="s">
        <v>1406</v>
      </c>
      <c r="K8" s="780" t="s">
        <v>1408</v>
      </c>
    </row>
    <row r="9" spans="2:11" ht="16" x14ac:dyDescent="0.2">
      <c r="C9" s="569">
        <v>6</v>
      </c>
      <c r="D9" s="580" t="s">
        <v>1028</v>
      </c>
      <c r="E9" s="758" t="s">
        <v>1389</v>
      </c>
      <c r="F9" s="582" t="s">
        <v>1390</v>
      </c>
      <c r="G9" s="759" t="s">
        <v>1390</v>
      </c>
      <c r="H9" s="771" t="s">
        <v>1405</v>
      </c>
      <c r="I9" s="774" t="s">
        <v>1390</v>
      </c>
      <c r="J9" s="777" t="s">
        <v>1407</v>
      </c>
      <c r="K9" s="780" t="s">
        <v>1409</v>
      </c>
    </row>
    <row r="10" spans="2:11" ht="16" x14ac:dyDescent="0.2">
      <c r="C10" s="569">
        <v>7</v>
      </c>
      <c r="D10" s="580" t="s">
        <v>1019</v>
      </c>
      <c r="E10" s="758" t="s">
        <v>1361</v>
      </c>
      <c r="F10" s="582" t="s">
        <v>1361</v>
      </c>
      <c r="G10" s="759" t="s">
        <v>1361</v>
      </c>
      <c r="H10" s="771" t="s">
        <v>1401</v>
      </c>
      <c r="I10" s="774" t="s">
        <v>1361</v>
      </c>
      <c r="J10" s="777" t="s">
        <v>1402</v>
      </c>
      <c r="K10" s="780" t="s">
        <v>1403</v>
      </c>
    </row>
    <row r="11" spans="2:11" ht="16" x14ac:dyDescent="0.2">
      <c r="C11" s="569">
        <v>8</v>
      </c>
      <c r="D11" s="580" t="s">
        <v>1377</v>
      </c>
      <c r="E11" s="758" t="s">
        <v>1382</v>
      </c>
      <c r="F11" s="582" t="s">
        <v>1382</v>
      </c>
      <c r="G11" s="759" t="s">
        <v>1382</v>
      </c>
      <c r="H11" s="771" t="s">
        <v>1410</v>
      </c>
      <c r="I11" s="774" t="s">
        <v>1411</v>
      </c>
      <c r="J11" s="777" t="s">
        <v>1412</v>
      </c>
      <c r="K11" s="780" t="s">
        <v>1410</v>
      </c>
    </row>
    <row r="12" spans="2:11" ht="16" x14ac:dyDescent="0.2">
      <c r="C12" s="569">
        <v>9</v>
      </c>
      <c r="D12" s="580" t="s">
        <v>1379</v>
      </c>
      <c r="E12" s="758" t="s">
        <v>1383</v>
      </c>
      <c r="F12" s="582" t="s">
        <v>1383</v>
      </c>
      <c r="G12" s="759" t="s">
        <v>1384</v>
      </c>
      <c r="H12" s="771" t="s">
        <v>1413</v>
      </c>
      <c r="I12" s="774" t="s">
        <v>1383</v>
      </c>
      <c r="J12" s="777" t="s">
        <v>1414</v>
      </c>
      <c r="K12" s="780" t="s">
        <v>1383</v>
      </c>
    </row>
    <row r="13" spans="2:11" ht="16" x14ac:dyDescent="0.2">
      <c r="C13" s="569">
        <v>10</v>
      </c>
      <c r="D13" s="580" t="s">
        <v>1022</v>
      </c>
      <c r="E13" s="758" t="s">
        <v>1371</v>
      </c>
      <c r="F13" s="582" t="s">
        <v>1372</v>
      </c>
      <c r="G13" s="759" t="s">
        <v>1373</v>
      </c>
      <c r="H13" s="771" t="s">
        <v>1372</v>
      </c>
      <c r="I13" s="774" t="s">
        <v>1415</v>
      </c>
      <c r="J13" s="777" t="s">
        <v>1416</v>
      </c>
      <c r="K13" s="780" t="s">
        <v>1417</v>
      </c>
    </row>
    <row r="14" spans="2:11" ht="16" x14ac:dyDescent="0.2">
      <c r="C14" s="569">
        <v>11</v>
      </c>
      <c r="D14" s="670" t="s">
        <v>1381</v>
      </c>
      <c r="E14" s="758" t="s">
        <v>1387</v>
      </c>
      <c r="F14" s="582" t="s">
        <v>1387</v>
      </c>
      <c r="G14" s="759" t="s">
        <v>1388</v>
      </c>
      <c r="H14" s="771" t="s">
        <v>1418</v>
      </c>
      <c r="I14" s="774" t="s">
        <v>1418</v>
      </c>
      <c r="J14" s="777" t="s">
        <v>1419</v>
      </c>
      <c r="K14" s="780" t="s">
        <v>1420</v>
      </c>
    </row>
    <row r="15" spans="2:11" ht="16" x14ac:dyDescent="0.2">
      <c r="C15" s="569">
        <v>12</v>
      </c>
      <c r="D15" s="760" t="s">
        <v>1380</v>
      </c>
      <c r="E15" s="758" t="s">
        <v>1385</v>
      </c>
      <c r="F15" s="582" t="s">
        <v>1385</v>
      </c>
      <c r="G15" s="759" t="s">
        <v>1386</v>
      </c>
      <c r="H15" s="771" t="s">
        <v>1421</v>
      </c>
      <c r="I15" s="774" t="s">
        <v>1421</v>
      </c>
      <c r="J15" s="777" t="s">
        <v>1422</v>
      </c>
      <c r="K15" s="780" t="s">
        <v>1423</v>
      </c>
    </row>
    <row r="16" spans="2:11" ht="16" x14ac:dyDescent="0.2">
      <c r="C16" s="569">
        <v>13</v>
      </c>
      <c r="D16" s="760" t="s">
        <v>1024</v>
      </c>
      <c r="E16" s="758" t="s">
        <v>1375</v>
      </c>
      <c r="F16" s="582" t="s">
        <v>1375</v>
      </c>
      <c r="G16" s="759" t="s">
        <v>1375</v>
      </c>
      <c r="H16" s="771" t="s">
        <v>1424</v>
      </c>
      <c r="I16" s="774" t="s">
        <v>1375</v>
      </c>
      <c r="J16" s="777" t="s">
        <v>1425</v>
      </c>
      <c r="K16" s="780" t="s">
        <v>1426</v>
      </c>
    </row>
    <row r="17" spans="3:11" ht="16" x14ac:dyDescent="0.2">
      <c r="C17" s="569">
        <v>14</v>
      </c>
      <c r="D17" s="760" t="s">
        <v>1206</v>
      </c>
      <c r="E17" s="758" t="s">
        <v>1428</v>
      </c>
      <c r="F17" s="582" t="s">
        <v>1427</v>
      </c>
      <c r="G17" s="759" t="s">
        <v>1427</v>
      </c>
      <c r="H17" s="771" t="s">
        <v>1429</v>
      </c>
      <c r="I17" s="774" t="s">
        <v>1427</v>
      </c>
      <c r="J17" s="777" t="s">
        <v>1430</v>
      </c>
      <c r="K17" s="780" t="s">
        <v>1431</v>
      </c>
    </row>
    <row r="18" spans="3:11" ht="16" x14ac:dyDescent="0.2">
      <c r="C18" s="569">
        <v>15</v>
      </c>
      <c r="D18" s="760" t="s">
        <v>1020</v>
      </c>
      <c r="E18" s="758" t="s">
        <v>1365</v>
      </c>
      <c r="F18" s="582" t="s">
        <v>1365</v>
      </c>
      <c r="G18" s="759" t="s">
        <v>1365</v>
      </c>
      <c r="H18" s="771" t="s">
        <v>1365</v>
      </c>
      <c r="I18" s="774" t="s">
        <v>1365</v>
      </c>
      <c r="J18" s="777" t="s">
        <v>1365</v>
      </c>
      <c r="K18" s="780" t="s">
        <v>1432</v>
      </c>
    </row>
    <row r="19" spans="3:11" ht="16" x14ac:dyDescent="0.2">
      <c r="C19" s="569">
        <v>16</v>
      </c>
      <c r="D19" s="760" t="s">
        <v>1021</v>
      </c>
      <c r="E19" s="758" t="s">
        <v>1362</v>
      </c>
      <c r="F19" s="582" t="s">
        <v>1363</v>
      </c>
      <c r="G19" s="759" t="s">
        <v>1364</v>
      </c>
      <c r="H19" s="771" t="s">
        <v>1433</v>
      </c>
      <c r="I19" s="774" t="s">
        <v>1434</v>
      </c>
      <c r="J19" s="777" t="s">
        <v>1435</v>
      </c>
      <c r="K19" s="780" t="s">
        <v>1433</v>
      </c>
    </row>
    <row r="20" spans="3:11" ht="16" x14ac:dyDescent="0.2">
      <c r="C20" s="569">
        <v>17</v>
      </c>
      <c r="D20" s="580" t="s">
        <v>1023</v>
      </c>
      <c r="E20" s="581" t="s">
        <v>1374</v>
      </c>
      <c r="F20" s="582" t="s">
        <v>1374</v>
      </c>
      <c r="G20" s="583" t="s">
        <v>1374</v>
      </c>
      <c r="H20" s="770" t="s">
        <v>1374</v>
      </c>
      <c r="I20" s="774" t="s">
        <v>1436</v>
      </c>
      <c r="J20" s="777" t="s">
        <v>1438</v>
      </c>
      <c r="K20" s="780" t="s">
        <v>1437</v>
      </c>
    </row>
    <row r="21" spans="3:11" x14ac:dyDescent="0.2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x14ac:dyDescent="0.2">
      <c r="C28" s="569">
        <v>25</v>
      </c>
      <c r="D28" s="580"/>
      <c r="E28" s="581"/>
      <c r="F28" s="582"/>
      <c r="G28" s="583"/>
      <c r="H28" s="770"/>
      <c r="I28" s="773"/>
      <c r="J28" s="776"/>
      <c r="K28" s="779"/>
    </row>
    <row r="29" spans="3:11" x14ac:dyDescent="0.2">
      <c r="C29" s="569">
        <v>26</v>
      </c>
      <c r="D29" s="580"/>
      <c r="E29" s="581"/>
      <c r="F29" s="582"/>
      <c r="G29" s="583"/>
      <c r="H29" s="770"/>
      <c r="I29" s="773"/>
      <c r="J29" s="776"/>
      <c r="K29" s="779"/>
    </row>
    <row r="30" spans="3:11" x14ac:dyDescent="0.2">
      <c r="C30" s="569">
        <v>27</v>
      </c>
      <c r="D30" s="580"/>
      <c r="E30" s="581"/>
      <c r="F30" s="582"/>
      <c r="G30" s="583"/>
      <c r="H30" s="770"/>
      <c r="I30" s="773"/>
      <c r="J30" s="776"/>
      <c r="K30" s="779"/>
    </row>
    <row r="31" spans="3:11" x14ac:dyDescent="0.2">
      <c r="C31" s="569">
        <v>28</v>
      </c>
      <c r="D31" s="580"/>
      <c r="E31" s="581"/>
      <c r="F31" s="582"/>
      <c r="G31" s="583"/>
      <c r="H31" s="770"/>
      <c r="I31" s="773"/>
      <c r="J31" s="776"/>
      <c r="K31" s="779"/>
    </row>
    <row r="32" spans="3:11" x14ac:dyDescent="0.2">
      <c r="C32" s="569">
        <v>29</v>
      </c>
      <c r="D32" s="580"/>
      <c r="E32" s="581"/>
      <c r="F32" s="582"/>
      <c r="G32" s="583"/>
      <c r="H32" s="770"/>
      <c r="I32" s="773"/>
      <c r="J32" s="776"/>
      <c r="K32" s="779"/>
    </row>
    <row r="33" spans="3:11" x14ac:dyDescent="0.2">
      <c r="C33" s="569">
        <v>30</v>
      </c>
      <c r="D33" s="580"/>
      <c r="E33" s="581"/>
      <c r="F33" s="582"/>
      <c r="G33" s="583"/>
      <c r="H33" s="770"/>
      <c r="I33" s="773"/>
      <c r="J33" s="776"/>
      <c r="K33" s="779"/>
    </row>
    <row r="34" spans="3:11" x14ac:dyDescent="0.2">
      <c r="C34" s="569">
        <v>31</v>
      </c>
      <c r="D34" s="580"/>
      <c r="E34" s="581"/>
      <c r="F34" s="582"/>
      <c r="G34" s="583"/>
      <c r="H34" s="770"/>
      <c r="I34" s="773"/>
      <c r="J34" s="776"/>
      <c r="K34" s="779"/>
    </row>
    <row r="35" spans="3:11" x14ac:dyDescent="0.2">
      <c r="C35" s="569">
        <v>32</v>
      </c>
      <c r="D35" s="580"/>
      <c r="E35" s="581"/>
      <c r="F35" s="582"/>
      <c r="G35" s="583"/>
      <c r="H35" s="770"/>
      <c r="I35" s="773"/>
      <c r="J35" s="776"/>
      <c r="K35" s="779"/>
    </row>
    <row r="36" spans="3:11" x14ac:dyDescent="0.2">
      <c r="C36" s="569">
        <v>33</v>
      </c>
      <c r="D36" s="580"/>
      <c r="E36" s="581"/>
      <c r="F36" s="582"/>
      <c r="G36" s="583"/>
      <c r="H36" s="770"/>
      <c r="I36" s="773"/>
      <c r="J36" s="776"/>
      <c r="K36" s="779"/>
    </row>
    <row r="37" spans="3:11" x14ac:dyDescent="0.2">
      <c r="C37" s="569">
        <v>34</v>
      </c>
      <c r="D37" s="580"/>
      <c r="E37" s="581"/>
      <c r="F37" s="582"/>
      <c r="G37" s="583"/>
      <c r="H37" s="770"/>
      <c r="I37" s="773"/>
      <c r="J37" s="776"/>
      <c r="K37" s="779"/>
    </row>
    <row r="38" spans="3:11" x14ac:dyDescent="0.2">
      <c r="C38" s="569">
        <v>35</v>
      </c>
      <c r="D38" s="580"/>
      <c r="E38" s="581"/>
      <c r="F38" s="582"/>
      <c r="G38" s="583"/>
      <c r="H38" s="770"/>
      <c r="I38" s="773"/>
      <c r="J38" s="776"/>
      <c r="K38" s="779"/>
    </row>
    <row r="39" spans="3:11" x14ac:dyDescent="0.2">
      <c r="C39" s="569">
        <v>36</v>
      </c>
      <c r="D39" s="580"/>
      <c r="E39" s="581"/>
      <c r="F39" s="582"/>
      <c r="G39" s="583"/>
      <c r="H39" s="770"/>
      <c r="I39" s="773"/>
      <c r="J39" s="776"/>
      <c r="K39" s="779"/>
    </row>
    <row r="40" spans="3:11" x14ac:dyDescent="0.2">
      <c r="C40" s="569">
        <v>37</v>
      </c>
      <c r="D40" s="580"/>
      <c r="E40" s="581"/>
      <c r="F40" s="582"/>
      <c r="G40" s="583"/>
      <c r="H40" s="770"/>
      <c r="I40" s="773"/>
      <c r="J40" s="776"/>
      <c r="K40" s="779"/>
    </row>
    <row r="41" spans="3:11" x14ac:dyDescent="0.2">
      <c r="C41" s="569">
        <v>38</v>
      </c>
      <c r="D41" s="580"/>
      <c r="E41" s="581"/>
      <c r="F41" s="582"/>
      <c r="G41" s="583"/>
      <c r="H41" s="770"/>
      <c r="I41" s="773"/>
      <c r="J41" s="776"/>
      <c r="K41" s="779"/>
    </row>
    <row r="42" spans="3:11" x14ac:dyDescent="0.2">
      <c r="C42" s="569">
        <v>39</v>
      </c>
      <c r="D42" s="580"/>
      <c r="E42" s="581"/>
      <c r="F42" s="582"/>
      <c r="G42" s="583"/>
      <c r="H42" s="770"/>
      <c r="I42" s="773"/>
      <c r="J42" s="776"/>
      <c r="K42" s="779"/>
    </row>
    <row r="43" spans="3:11" x14ac:dyDescent="0.2">
      <c r="C43" s="569">
        <v>40</v>
      </c>
      <c r="D43" s="580"/>
      <c r="E43" s="581"/>
      <c r="F43" s="582"/>
      <c r="G43" s="583"/>
      <c r="H43" s="770"/>
      <c r="I43" s="773"/>
      <c r="J43" s="776"/>
      <c r="K43" s="779"/>
    </row>
    <row r="44" spans="3:11" x14ac:dyDescent="0.2">
      <c r="C44" s="569">
        <v>41</v>
      </c>
      <c r="D44" s="580"/>
      <c r="E44" s="581"/>
      <c r="F44" s="582"/>
      <c r="G44" s="583"/>
      <c r="H44" s="770"/>
      <c r="I44" s="773"/>
      <c r="J44" s="776"/>
      <c r="K44" s="779"/>
    </row>
    <row r="45" spans="3:11" x14ac:dyDescent="0.2">
      <c r="C45" s="569">
        <v>42</v>
      </c>
      <c r="D45" s="580"/>
      <c r="E45" s="581"/>
      <c r="F45" s="582"/>
      <c r="G45" s="583"/>
      <c r="H45" s="770"/>
      <c r="I45" s="773"/>
      <c r="J45" s="776"/>
      <c r="K45" s="779"/>
    </row>
    <row r="46" spans="3:11" x14ac:dyDescent="0.2">
      <c r="C46" s="569">
        <v>43</v>
      </c>
      <c r="D46" s="580"/>
      <c r="E46" s="581"/>
      <c r="F46" s="582"/>
      <c r="G46" s="583"/>
      <c r="H46" s="770"/>
      <c r="I46" s="773"/>
      <c r="J46" s="776"/>
      <c r="K46" s="779"/>
    </row>
    <row r="47" spans="3:11" x14ac:dyDescent="0.2">
      <c r="C47" s="569">
        <v>44</v>
      </c>
      <c r="D47" s="580"/>
      <c r="E47" s="581"/>
      <c r="F47" s="582"/>
      <c r="G47" s="583"/>
      <c r="H47" s="770"/>
      <c r="I47" s="773"/>
      <c r="J47" s="776"/>
      <c r="K47" s="779"/>
    </row>
    <row r="48" spans="3:11" x14ac:dyDescent="0.2">
      <c r="C48" s="569">
        <v>45</v>
      </c>
      <c r="D48" s="580"/>
      <c r="E48" s="581"/>
      <c r="F48" s="582"/>
      <c r="G48" s="583"/>
      <c r="H48" s="770"/>
      <c r="I48" s="773"/>
      <c r="J48" s="776"/>
      <c r="K48" s="779"/>
    </row>
    <row r="49" spans="3:11" x14ac:dyDescent="0.2">
      <c r="C49" s="569">
        <v>46</v>
      </c>
      <c r="D49" s="580"/>
      <c r="E49" s="581"/>
      <c r="F49" s="582"/>
      <c r="G49" s="583"/>
      <c r="H49" s="770"/>
      <c r="I49" s="773"/>
      <c r="J49" s="776"/>
      <c r="K49" s="779"/>
    </row>
    <row r="50" spans="3:11" x14ac:dyDescent="0.2">
      <c r="C50" s="569">
        <v>47</v>
      </c>
      <c r="D50" s="580"/>
      <c r="E50" s="581"/>
      <c r="F50" s="582"/>
      <c r="G50" s="583"/>
      <c r="H50" s="770"/>
      <c r="I50" s="773"/>
      <c r="J50" s="776"/>
      <c r="K50" s="779"/>
    </row>
    <row r="51" spans="3:11" x14ac:dyDescent="0.2">
      <c r="C51" s="569">
        <v>48</v>
      </c>
      <c r="D51" s="580"/>
      <c r="E51" s="581"/>
      <c r="F51" s="582"/>
      <c r="G51" s="583"/>
      <c r="H51" s="770"/>
      <c r="I51" s="773"/>
      <c r="J51" s="776"/>
      <c r="K51" s="779"/>
    </row>
    <row r="52" spans="3:11" x14ac:dyDescent="0.2">
      <c r="C52" s="569">
        <v>49</v>
      </c>
      <c r="D52" s="580"/>
      <c r="E52" s="581"/>
      <c r="F52" s="582"/>
      <c r="G52" s="583"/>
      <c r="H52" s="770"/>
      <c r="I52" s="773"/>
      <c r="J52" s="776"/>
      <c r="K52" s="779"/>
    </row>
    <row r="53" spans="3:11" x14ac:dyDescent="0.2">
      <c r="C53" s="569">
        <v>50</v>
      </c>
      <c r="D53" s="580"/>
      <c r="E53" s="581"/>
      <c r="F53" s="582"/>
      <c r="G53" s="583"/>
      <c r="H53" s="770"/>
      <c r="I53" s="773"/>
      <c r="J53" s="776"/>
      <c r="K53" s="779"/>
    </row>
    <row r="54" spans="3:11" x14ac:dyDescent="0.2">
      <c r="C54" s="569">
        <v>51</v>
      </c>
      <c r="D54" s="580"/>
      <c r="E54" s="581"/>
      <c r="F54" s="582"/>
      <c r="G54" s="583"/>
      <c r="H54" s="770"/>
      <c r="I54" s="773"/>
      <c r="J54" s="776"/>
      <c r="K54" s="779"/>
    </row>
    <row r="55" spans="3:11" x14ac:dyDescent="0.2">
      <c r="C55" s="569">
        <v>52</v>
      </c>
      <c r="D55" s="580"/>
      <c r="E55" s="581"/>
      <c r="F55" s="582"/>
      <c r="G55" s="583"/>
      <c r="H55" s="770"/>
      <c r="I55" s="773"/>
      <c r="J55" s="776"/>
      <c r="K55" s="779"/>
    </row>
    <row r="56" spans="3:11" x14ac:dyDescent="0.2">
      <c r="C56" s="569">
        <v>53</v>
      </c>
      <c r="D56" s="580"/>
      <c r="E56" s="581"/>
      <c r="F56" s="582"/>
      <c r="G56" s="583"/>
      <c r="H56" s="770"/>
      <c r="I56" s="773"/>
      <c r="J56" s="776"/>
      <c r="K56" s="779"/>
    </row>
    <row r="57" spans="3:11" x14ac:dyDescent="0.2">
      <c r="C57" s="569">
        <v>54</v>
      </c>
      <c r="D57" s="580"/>
      <c r="E57" s="581"/>
      <c r="F57" s="582"/>
      <c r="G57" s="583"/>
      <c r="H57" s="770"/>
      <c r="I57" s="773"/>
      <c r="J57" s="776"/>
      <c r="K57" s="779"/>
    </row>
    <row r="58" spans="3:11" x14ac:dyDescent="0.2">
      <c r="C58" s="569">
        <v>55</v>
      </c>
      <c r="D58" s="580"/>
      <c r="E58" s="581"/>
      <c r="F58" s="582"/>
      <c r="G58" s="583"/>
      <c r="H58" s="770"/>
      <c r="I58" s="773"/>
      <c r="J58" s="776"/>
      <c r="K58" s="779"/>
    </row>
    <row r="59" spans="3:11" x14ac:dyDescent="0.2">
      <c r="C59" s="569">
        <v>56</v>
      </c>
      <c r="D59" s="580"/>
      <c r="E59" s="581"/>
      <c r="F59" s="582"/>
      <c r="G59" s="583"/>
      <c r="H59" s="770"/>
      <c r="I59" s="773"/>
      <c r="J59" s="776"/>
      <c r="K59" s="779"/>
    </row>
    <row r="60" spans="3:11" x14ac:dyDescent="0.2">
      <c r="C60" s="569">
        <v>57</v>
      </c>
      <c r="D60" s="580"/>
      <c r="E60" s="581"/>
      <c r="F60" s="582"/>
      <c r="G60" s="583"/>
      <c r="H60" s="770"/>
      <c r="I60" s="773"/>
      <c r="J60" s="776"/>
      <c r="K60" s="779"/>
    </row>
    <row r="61" spans="3:11" x14ac:dyDescent="0.2">
      <c r="C61" s="569">
        <v>58</v>
      </c>
      <c r="D61" s="580"/>
      <c r="E61" s="581"/>
      <c r="F61" s="582"/>
      <c r="G61" s="583"/>
      <c r="H61" s="770"/>
      <c r="I61" s="773"/>
      <c r="J61" s="776"/>
      <c r="K61" s="779"/>
    </row>
    <row r="62" spans="3:11" x14ac:dyDescent="0.2">
      <c r="C62" s="569">
        <v>59</v>
      </c>
      <c r="D62" s="580"/>
      <c r="E62" s="581"/>
      <c r="F62" s="582"/>
      <c r="G62" s="583"/>
      <c r="H62" s="770"/>
      <c r="I62" s="773"/>
      <c r="J62" s="776"/>
      <c r="K62" s="779"/>
    </row>
    <row r="63" spans="3:11" x14ac:dyDescent="0.2">
      <c r="C63" s="569">
        <v>60</v>
      </c>
      <c r="D63" s="580"/>
      <c r="E63" s="581"/>
      <c r="F63" s="582"/>
      <c r="G63" s="583"/>
      <c r="H63" s="770"/>
      <c r="I63" s="773"/>
      <c r="J63" s="776"/>
      <c r="K63" s="779"/>
    </row>
    <row r="64" spans="3:11" x14ac:dyDescent="0.2">
      <c r="C64" s="569">
        <v>61</v>
      </c>
      <c r="D64" s="580"/>
      <c r="E64" s="581"/>
      <c r="F64" s="582"/>
      <c r="G64" s="583"/>
      <c r="H64" s="770"/>
      <c r="I64" s="773"/>
      <c r="J64" s="776"/>
      <c r="K64" s="779"/>
    </row>
    <row r="65" spans="3:11" x14ac:dyDescent="0.2">
      <c r="C65" s="569">
        <v>62</v>
      </c>
      <c r="D65" s="580"/>
      <c r="E65" s="581"/>
      <c r="F65" s="582"/>
      <c r="G65" s="583"/>
      <c r="H65" s="770"/>
      <c r="I65" s="773"/>
      <c r="J65" s="776"/>
      <c r="K65" s="779"/>
    </row>
    <row r="66" spans="3:11" x14ac:dyDescent="0.2">
      <c r="C66" s="569">
        <v>63</v>
      </c>
      <c r="D66" s="580"/>
      <c r="E66" s="581"/>
      <c r="F66" s="582"/>
      <c r="G66" s="583"/>
      <c r="H66" s="770"/>
      <c r="I66" s="773"/>
      <c r="J66" s="776"/>
      <c r="K66" s="779"/>
    </row>
    <row r="67" spans="3:11" x14ac:dyDescent="0.2">
      <c r="C67" s="569">
        <v>64</v>
      </c>
      <c r="D67" s="580"/>
      <c r="E67" s="581"/>
      <c r="F67" s="582"/>
      <c r="G67" s="583"/>
      <c r="H67" s="770"/>
      <c r="I67" s="773"/>
      <c r="J67" s="776"/>
      <c r="K67" s="779"/>
    </row>
    <row r="68" spans="3:11" x14ac:dyDescent="0.2">
      <c r="C68" s="569">
        <v>65</v>
      </c>
      <c r="D68" s="580"/>
      <c r="E68" s="581"/>
      <c r="F68" s="582"/>
      <c r="G68" s="583"/>
      <c r="H68" s="770"/>
      <c r="I68" s="773"/>
      <c r="J68" s="776"/>
      <c r="K68" s="779"/>
    </row>
    <row r="69" spans="3:11" x14ac:dyDescent="0.2">
      <c r="C69" s="569">
        <v>66</v>
      </c>
      <c r="D69" s="580"/>
      <c r="E69" s="581"/>
      <c r="F69" s="582"/>
      <c r="G69" s="583"/>
      <c r="H69" s="770"/>
      <c r="I69" s="773"/>
      <c r="J69" s="776"/>
      <c r="K69" s="779"/>
    </row>
    <row r="70" spans="3:11" x14ac:dyDescent="0.2">
      <c r="C70" s="569">
        <v>67</v>
      </c>
      <c r="D70" s="580"/>
      <c r="E70" s="581"/>
      <c r="F70" s="582"/>
      <c r="G70" s="583"/>
      <c r="H70" s="770"/>
      <c r="I70" s="773"/>
      <c r="J70" s="776"/>
      <c r="K70" s="779"/>
    </row>
    <row r="71" spans="3:11" x14ac:dyDescent="0.2">
      <c r="C71" s="569">
        <v>68</v>
      </c>
      <c r="D71" s="580"/>
      <c r="E71" s="581"/>
      <c r="F71" s="582"/>
      <c r="G71" s="583"/>
      <c r="H71" s="770"/>
      <c r="I71" s="773"/>
      <c r="J71" s="776"/>
      <c r="K71" s="779"/>
    </row>
    <row r="72" spans="3:11" x14ac:dyDescent="0.2">
      <c r="C72" s="569">
        <v>69</v>
      </c>
      <c r="D72" s="580"/>
      <c r="E72" s="581"/>
      <c r="F72" s="582"/>
      <c r="G72" s="583"/>
      <c r="H72" s="770"/>
      <c r="I72" s="773"/>
      <c r="J72" s="776"/>
      <c r="K72" s="779"/>
    </row>
    <row r="73" spans="3:11" x14ac:dyDescent="0.2">
      <c r="C73" s="569">
        <v>70</v>
      </c>
      <c r="D73" s="580"/>
      <c r="E73" s="581"/>
      <c r="F73" s="582"/>
      <c r="G73" s="583"/>
      <c r="H73" s="770"/>
      <c r="I73" s="773"/>
      <c r="J73" s="776"/>
      <c r="K73" s="779"/>
    </row>
    <row r="74" spans="3:11" x14ac:dyDescent="0.2">
      <c r="C74" s="569">
        <v>71</v>
      </c>
      <c r="D74" s="580"/>
      <c r="E74" s="581"/>
      <c r="F74" s="582"/>
      <c r="G74" s="583"/>
      <c r="H74" s="770"/>
      <c r="I74" s="773"/>
      <c r="J74" s="776"/>
      <c r="K74" s="779"/>
    </row>
    <row r="75" spans="3:11" x14ac:dyDescent="0.2">
      <c r="C75" s="569">
        <v>72</v>
      </c>
      <c r="D75" s="580"/>
      <c r="E75" s="581"/>
      <c r="F75" s="582"/>
      <c r="G75" s="583"/>
      <c r="H75" s="770"/>
      <c r="I75" s="773"/>
      <c r="J75" s="776"/>
      <c r="K75" s="779"/>
    </row>
    <row r="76" spans="3:11" x14ac:dyDescent="0.2">
      <c r="C76" s="569">
        <v>73</v>
      </c>
      <c r="D76" s="580"/>
      <c r="E76" s="581"/>
      <c r="F76" s="582"/>
      <c r="G76" s="583"/>
      <c r="H76" s="770"/>
      <c r="I76" s="773"/>
      <c r="J76" s="776"/>
      <c r="K76" s="779"/>
    </row>
    <row r="77" spans="3:11" x14ac:dyDescent="0.2">
      <c r="C77" s="569">
        <v>74</v>
      </c>
      <c r="D77" s="580"/>
      <c r="E77" s="581"/>
      <c r="F77" s="582"/>
      <c r="G77" s="583"/>
      <c r="H77" s="770"/>
      <c r="I77" s="773"/>
      <c r="J77" s="776"/>
      <c r="K77" s="779"/>
    </row>
    <row r="78" spans="3:11" x14ac:dyDescent="0.2">
      <c r="C78" s="569">
        <v>75</v>
      </c>
      <c r="D78" s="580"/>
      <c r="E78" s="581"/>
      <c r="F78" s="582"/>
      <c r="G78" s="583"/>
      <c r="H78" s="770"/>
      <c r="I78" s="773"/>
      <c r="J78" s="776"/>
      <c r="K78" s="779"/>
    </row>
    <row r="79" spans="3:11" x14ac:dyDescent="0.2">
      <c r="C79" s="569">
        <v>76</v>
      </c>
      <c r="D79" s="580"/>
      <c r="E79" s="581"/>
      <c r="F79" s="582"/>
      <c r="G79" s="583"/>
      <c r="H79" s="770"/>
      <c r="I79" s="773"/>
      <c r="J79" s="776"/>
      <c r="K79" s="779"/>
    </row>
    <row r="80" spans="3:11" x14ac:dyDescent="0.2">
      <c r="C80" s="569">
        <v>77</v>
      </c>
      <c r="D80" s="580"/>
      <c r="E80" s="581"/>
      <c r="F80" s="582"/>
      <c r="G80" s="583"/>
      <c r="H80" s="770"/>
      <c r="I80" s="773"/>
      <c r="J80" s="776"/>
      <c r="K80" s="779"/>
    </row>
    <row r="81" spans="3:11" x14ac:dyDescent="0.2">
      <c r="C81" s="569">
        <v>78</v>
      </c>
      <c r="D81" s="580"/>
      <c r="E81" s="581"/>
      <c r="F81" s="582"/>
      <c r="G81" s="583"/>
      <c r="H81" s="770"/>
      <c r="I81" s="773"/>
      <c r="J81" s="776"/>
      <c r="K81" s="779"/>
    </row>
    <row r="82" spans="3:11" x14ac:dyDescent="0.2">
      <c r="C82" s="569">
        <v>79</v>
      </c>
      <c r="D82" s="580"/>
      <c r="E82" s="581"/>
      <c r="F82" s="582"/>
      <c r="G82" s="583"/>
      <c r="H82" s="770"/>
      <c r="I82" s="773"/>
      <c r="J82" s="776"/>
      <c r="K82" s="779"/>
    </row>
    <row r="83" spans="3:11" x14ac:dyDescent="0.2">
      <c r="C83" s="569">
        <v>80</v>
      </c>
      <c r="D83" s="580"/>
      <c r="E83" s="581"/>
      <c r="F83" s="582"/>
      <c r="G83" s="583"/>
      <c r="H83" s="770"/>
      <c r="I83" s="773"/>
      <c r="J83" s="776"/>
      <c r="K83" s="779"/>
    </row>
    <row r="84" spans="3:11" x14ac:dyDescent="0.2">
      <c r="C84" s="569">
        <v>81</v>
      </c>
      <c r="D84" s="580"/>
      <c r="E84" s="581"/>
      <c r="F84" s="582"/>
      <c r="G84" s="583"/>
      <c r="H84" s="770"/>
      <c r="I84" s="773"/>
      <c r="J84" s="776"/>
      <c r="K84" s="779"/>
    </row>
    <row r="85" spans="3:11" x14ac:dyDescent="0.2">
      <c r="C85" s="569">
        <v>82</v>
      </c>
      <c r="D85" s="580"/>
      <c r="E85" s="581"/>
      <c r="F85" s="582"/>
      <c r="G85" s="583"/>
      <c r="H85" s="770"/>
      <c r="I85" s="773"/>
      <c r="J85" s="776"/>
      <c r="K85" s="779"/>
    </row>
    <row r="86" spans="3:11" x14ac:dyDescent="0.2">
      <c r="C86" s="569">
        <v>83</v>
      </c>
      <c r="D86" s="580"/>
      <c r="E86" s="581"/>
      <c r="F86" s="582"/>
      <c r="G86" s="583"/>
      <c r="H86" s="770"/>
      <c r="I86" s="773"/>
      <c r="J86" s="776"/>
      <c r="K86" s="779"/>
    </row>
    <row r="87" spans="3:11" x14ac:dyDescent="0.2">
      <c r="C87" s="569">
        <v>84</v>
      </c>
      <c r="D87" s="580"/>
      <c r="E87" s="581"/>
      <c r="F87" s="582"/>
      <c r="G87" s="583"/>
      <c r="H87" s="770"/>
      <c r="I87" s="773"/>
      <c r="J87" s="776"/>
      <c r="K87" s="779"/>
    </row>
    <row r="88" spans="3:11" x14ac:dyDescent="0.2">
      <c r="C88" s="569">
        <v>85</v>
      </c>
      <c r="D88" s="580"/>
      <c r="E88" s="581"/>
      <c r="F88" s="582"/>
      <c r="G88" s="583"/>
      <c r="H88" s="770"/>
      <c r="I88" s="773"/>
      <c r="J88" s="776"/>
      <c r="K88" s="779"/>
    </row>
    <row r="89" spans="3:11" x14ac:dyDescent="0.2">
      <c r="C89" s="569">
        <v>86</v>
      </c>
      <c r="D89" s="580"/>
      <c r="E89" s="581"/>
      <c r="F89" s="582"/>
      <c r="G89" s="583"/>
      <c r="H89" s="770"/>
      <c r="I89" s="773"/>
      <c r="J89" s="776"/>
      <c r="K89" s="779"/>
    </row>
    <row r="90" spans="3:11" x14ac:dyDescent="0.2">
      <c r="C90" s="569">
        <v>87</v>
      </c>
      <c r="D90" s="580"/>
      <c r="E90" s="581"/>
      <c r="F90" s="582"/>
      <c r="G90" s="583"/>
      <c r="H90" s="770"/>
      <c r="I90" s="773"/>
      <c r="J90" s="776"/>
      <c r="K90" s="779"/>
    </row>
    <row r="91" spans="3:11" x14ac:dyDescent="0.2">
      <c r="C91" s="569">
        <v>88</v>
      </c>
      <c r="D91" s="580"/>
      <c r="E91" s="581"/>
      <c r="F91" s="582"/>
      <c r="G91" s="583"/>
      <c r="H91" s="770"/>
      <c r="I91" s="773"/>
      <c r="J91" s="776"/>
      <c r="K91" s="779"/>
    </row>
    <row r="92" spans="3:11" x14ac:dyDescent="0.2">
      <c r="C92" s="569">
        <v>89</v>
      </c>
      <c r="D92" s="580"/>
      <c r="E92" s="581"/>
      <c r="F92" s="582"/>
      <c r="G92" s="583"/>
      <c r="H92" s="770"/>
      <c r="I92" s="773"/>
      <c r="J92" s="776"/>
      <c r="K92" s="779"/>
    </row>
    <row r="93" spans="3:11" x14ac:dyDescent="0.2">
      <c r="C93" s="569">
        <v>90</v>
      </c>
      <c r="D93" s="580"/>
      <c r="E93" s="581"/>
      <c r="F93" s="582"/>
      <c r="G93" s="583"/>
      <c r="H93" s="770"/>
      <c r="I93" s="773"/>
      <c r="J93" s="776"/>
      <c r="K93" s="779"/>
    </row>
    <row r="94" spans="3:11" x14ac:dyDescent="0.2">
      <c r="C94" s="569">
        <v>91</v>
      </c>
      <c r="D94" s="580"/>
      <c r="E94" s="581"/>
      <c r="F94" s="582"/>
      <c r="G94" s="583"/>
      <c r="H94" s="770"/>
      <c r="I94" s="773"/>
      <c r="J94" s="776"/>
      <c r="K94" s="779"/>
    </row>
    <row r="95" spans="3:11" x14ac:dyDescent="0.2">
      <c r="C95" s="569">
        <v>92</v>
      </c>
      <c r="D95" s="580"/>
      <c r="E95" s="581"/>
      <c r="F95" s="582"/>
      <c r="G95" s="583"/>
      <c r="H95" s="770"/>
      <c r="I95" s="773"/>
      <c r="J95" s="776"/>
      <c r="K95" s="779"/>
    </row>
    <row r="96" spans="3:11" x14ac:dyDescent="0.2">
      <c r="C96" s="569">
        <v>93</v>
      </c>
      <c r="D96" s="580"/>
      <c r="E96" s="581"/>
      <c r="F96" s="582"/>
      <c r="G96" s="583"/>
      <c r="H96" s="770"/>
      <c r="I96" s="773"/>
      <c r="J96" s="776"/>
      <c r="K96" s="779"/>
    </row>
    <row r="97" spans="3:11" x14ac:dyDescent="0.2">
      <c r="C97" s="569">
        <v>94</v>
      </c>
      <c r="D97" s="580"/>
      <c r="E97" s="581"/>
      <c r="F97" s="582"/>
      <c r="G97" s="583"/>
      <c r="H97" s="770"/>
      <c r="I97" s="773"/>
      <c r="J97" s="776"/>
      <c r="K97" s="779"/>
    </row>
    <row r="98" spans="3:11" x14ac:dyDescent="0.2">
      <c r="C98" s="569">
        <v>95</v>
      </c>
      <c r="D98" s="580"/>
      <c r="E98" s="581"/>
      <c r="F98" s="582"/>
      <c r="G98" s="583"/>
      <c r="H98" s="770"/>
      <c r="I98" s="773"/>
      <c r="J98" s="776"/>
      <c r="K98" s="779"/>
    </row>
    <row r="99" spans="3:11" x14ac:dyDescent="0.2">
      <c r="C99" s="569">
        <v>96</v>
      </c>
      <c r="D99" s="580"/>
      <c r="E99" s="581"/>
      <c r="F99" s="582"/>
      <c r="G99" s="583"/>
      <c r="H99" s="770"/>
      <c r="I99" s="773"/>
      <c r="J99" s="776"/>
      <c r="K99" s="779"/>
    </row>
    <row r="100" spans="3:11" x14ac:dyDescent="0.2">
      <c r="C100" s="569">
        <v>97</v>
      </c>
      <c r="D100" s="580"/>
      <c r="E100" s="581"/>
      <c r="F100" s="582"/>
      <c r="G100" s="583"/>
      <c r="H100" s="770"/>
      <c r="I100" s="773"/>
      <c r="J100" s="776"/>
      <c r="K100" s="779"/>
    </row>
    <row r="101" spans="3:11" x14ac:dyDescent="0.2">
      <c r="C101" s="569">
        <v>98</v>
      </c>
      <c r="D101" s="580"/>
      <c r="E101" s="581"/>
      <c r="F101" s="582"/>
      <c r="G101" s="583"/>
      <c r="H101" s="770"/>
      <c r="I101" s="773"/>
      <c r="J101" s="776"/>
      <c r="K101" s="779"/>
    </row>
    <row r="102" spans="3:11" x14ac:dyDescent="0.2">
      <c r="C102" s="569">
        <v>99</v>
      </c>
      <c r="D102" s="580"/>
      <c r="E102" s="581"/>
      <c r="F102" s="582"/>
      <c r="G102" s="583"/>
      <c r="H102" s="770"/>
      <c r="I102" s="773"/>
      <c r="J102" s="776"/>
      <c r="K102" s="779"/>
    </row>
    <row r="103" spans="3:11" x14ac:dyDescent="0.2">
      <c r="C103" s="569">
        <v>100</v>
      </c>
      <c r="D103" s="580"/>
      <c r="E103" s="581"/>
      <c r="F103" s="582"/>
      <c r="G103" s="583"/>
      <c r="H103" s="770"/>
      <c r="I103" s="773"/>
      <c r="J103" s="776"/>
      <c r="K103" s="779"/>
    </row>
    <row r="104" spans="3:11" x14ac:dyDescent="0.2">
      <c r="C104" s="569">
        <v>101</v>
      </c>
      <c r="D104" s="580"/>
      <c r="E104" s="581"/>
      <c r="F104" s="582"/>
      <c r="G104" s="583"/>
      <c r="H104" s="770"/>
      <c r="I104" s="773"/>
      <c r="J104" s="776"/>
      <c r="K104" s="779"/>
    </row>
    <row r="105" spans="3:11" x14ac:dyDescent="0.2">
      <c r="C105" s="569">
        <v>102</v>
      </c>
      <c r="D105" s="580"/>
      <c r="E105" s="581"/>
      <c r="F105" s="582"/>
      <c r="G105" s="583"/>
      <c r="H105" s="770"/>
      <c r="I105" s="773"/>
      <c r="J105" s="776"/>
      <c r="K105" s="779"/>
    </row>
    <row r="106" spans="3:11" x14ac:dyDescent="0.2">
      <c r="C106" s="569">
        <v>103</v>
      </c>
      <c r="D106" s="580"/>
      <c r="E106" s="581"/>
      <c r="F106" s="582"/>
      <c r="G106" s="583"/>
      <c r="H106" s="770"/>
      <c r="I106" s="773"/>
      <c r="J106" s="776"/>
      <c r="K106" s="779"/>
    </row>
    <row r="107" spans="3:11" x14ac:dyDescent="0.2">
      <c r="C107" s="569">
        <v>104</v>
      </c>
      <c r="D107" s="580"/>
      <c r="E107" s="581"/>
      <c r="F107" s="582"/>
      <c r="G107" s="583"/>
      <c r="H107" s="770"/>
      <c r="I107" s="773"/>
      <c r="J107" s="776"/>
      <c r="K107" s="779"/>
    </row>
    <row r="108" spans="3:11" x14ac:dyDescent="0.2">
      <c r="C108" s="569">
        <v>105</v>
      </c>
      <c r="D108" s="580"/>
      <c r="E108" s="581"/>
      <c r="F108" s="582"/>
      <c r="G108" s="583"/>
      <c r="H108" s="770"/>
      <c r="I108" s="773"/>
      <c r="J108" s="776"/>
      <c r="K108" s="779"/>
    </row>
    <row r="109" spans="3:11" x14ac:dyDescent="0.2">
      <c r="C109" s="569">
        <v>106</v>
      </c>
      <c r="D109" s="580"/>
      <c r="E109" s="581"/>
      <c r="F109" s="582"/>
      <c r="G109" s="583"/>
      <c r="H109" s="770"/>
      <c r="I109" s="773"/>
      <c r="J109" s="776"/>
      <c r="K109" s="779"/>
    </row>
    <row r="110" spans="3:11" x14ac:dyDescent="0.2">
      <c r="C110" s="569">
        <v>107</v>
      </c>
      <c r="D110" s="580"/>
      <c r="E110" s="581"/>
      <c r="F110" s="582"/>
      <c r="G110" s="583"/>
      <c r="H110" s="770"/>
      <c r="I110" s="773"/>
      <c r="J110" s="776"/>
      <c r="K110" s="779"/>
    </row>
    <row r="111" spans="3:11" x14ac:dyDescent="0.2">
      <c r="C111" s="569">
        <v>108</v>
      </c>
      <c r="D111" s="580"/>
      <c r="E111" s="581"/>
      <c r="F111" s="582"/>
      <c r="G111" s="583"/>
      <c r="H111" s="770"/>
      <c r="I111" s="773"/>
      <c r="J111" s="776"/>
      <c r="K111" s="779"/>
    </row>
    <row r="112" spans="3:11" x14ac:dyDescent="0.2">
      <c r="C112" s="569">
        <v>109</v>
      </c>
      <c r="D112" s="580"/>
      <c r="E112" s="581"/>
      <c r="F112" s="582"/>
      <c r="G112" s="583"/>
      <c r="H112" s="770"/>
      <c r="I112" s="773"/>
      <c r="J112" s="776"/>
      <c r="K112" s="779"/>
    </row>
    <row r="113" spans="3:11" x14ac:dyDescent="0.2">
      <c r="C113" s="569">
        <v>110</v>
      </c>
      <c r="D113" s="580"/>
      <c r="E113" s="581"/>
      <c r="F113" s="582"/>
      <c r="G113" s="583"/>
      <c r="H113" s="770"/>
      <c r="I113" s="773"/>
      <c r="J113" s="776"/>
      <c r="K113" s="779"/>
    </row>
    <row r="114" spans="3:11" x14ac:dyDescent="0.2">
      <c r="C114" s="569">
        <v>111</v>
      </c>
      <c r="D114" s="580"/>
      <c r="E114" s="581"/>
      <c r="F114" s="582"/>
      <c r="G114" s="583"/>
      <c r="H114" s="770"/>
      <c r="I114" s="773"/>
      <c r="J114" s="776"/>
      <c r="K114" s="779"/>
    </row>
    <row r="115" spans="3:11" x14ac:dyDescent="0.2">
      <c r="C115" s="569">
        <v>112</v>
      </c>
      <c r="D115" s="580"/>
      <c r="E115" s="581"/>
      <c r="F115" s="582"/>
      <c r="G115" s="583"/>
      <c r="H115" s="770"/>
      <c r="I115" s="773"/>
      <c r="J115" s="776"/>
      <c r="K115" s="779"/>
    </row>
    <row r="116" spans="3:11" x14ac:dyDescent="0.2">
      <c r="C116" s="569">
        <v>113</v>
      </c>
      <c r="D116" s="580"/>
      <c r="E116" s="581"/>
      <c r="F116" s="582"/>
      <c r="G116" s="583"/>
      <c r="H116" s="770"/>
      <c r="I116" s="773"/>
      <c r="J116" s="776"/>
      <c r="K116" s="779"/>
    </row>
    <row r="117" spans="3:11" x14ac:dyDescent="0.2">
      <c r="C117" s="569">
        <v>114</v>
      </c>
      <c r="D117" s="580"/>
      <c r="E117" s="581"/>
      <c r="F117" s="582"/>
      <c r="G117" s="583"/>
      <c r="H117" s="770"/>
      <c r="I117" s="773"/>
      <c r="J117" s="776"/>
      <c r="K117" s="779"/>
    </row>
    <row r="118" spans="3:11" x14ac:dyDescent="0.2">
      <c r="C118" s="569">
        <v>115</v>
      </c>
      <c r="D118" s="580"/>
      <c r="E118" s="581"/>
      <c r="F118" s="582"/>
      <c r="G118" s="583"/>
      <c r="H118" s="770"/>
      <c r="I118" s="773"/>
      <c r="J118" s="776"/>
      <c r="K118" s="779"/>
    </row>
    <row r="119" spans="3:11" x14ac:dyDescent="0.2">
      <c r="C119" s="569">
        <v>116</v>
      </c>
      <c r="D119" s="580"/>
      <c r="E119" s="581"/>
      <c r="F119" s="582"/>
      <c r="G119" s="583"/>
      <c r="H119" s="770"/>
      <c r="I119" s="773"/>
      <c r="J119" s="776"/>
      <c r="K119" s="779"/>
    </row>
    <row r="120" spans="3:11" x14ac:dyDescent="0.2">
      <c r="C120" s="569">
        <v>117</v>
      </c>
      <c r="D120" s="580"/>
      <c r="E120" s="581"/>
      <c r="F120" s="582"/>
      <c r="G120" s="583"/>
      <c r="H120" s="770"/>
      <c r="I120" s="773"/>
      <c r="J120" s="776"/>
      <c r="K120" s="779"/>
    </row>
    <row r="121" spans="3:11" x14ac:dyDescent="0.2">
      <c r="C121" s="569">
        <v>118</v>
      </c>
      <c r="D121" s="580"/>
      <c r="E121" s="581"/>
      <c r="F121" s="582"/>
      <c r="G121" s="583"/>
      <c r="H121" s="770"/>
      <c r="I121" s="773"/>
      <c r="J121" s="776"/>
      <c r="K121" s="779"/>
    </row>
    <row r="122" spans="3:11" x14ac:dyDescent="0.2">
      <c r="C122" s="569">
        <v>119</v>
      </c>
      <c r="D122" s="580"/>
      <c r="E122" s="581"/>
      <c r="F122" s="582"/>
      <c r="G122" s="583"/>
      <c r="H122" s="770"/>
      <c r="I122" s="773"/>
      <c r="J122" s="776"/>
      <c r="K122" s="779"/>
    </row>
    <row r="123" spans="3:11" x14ac:dyDescent="0.2">
      <c r="C123" s="569">
        <v>120</v>
      </c>
      <c r="D123" s="580"/>
      <c r="E123" s="581"/>
      <c r="F123" s="582"/>
      <c r="G123" s="583"/>
      <c r="H123" s="770"/>
      <c r="I123" s="773"/>
      <c r="J123" s="776"/>
      <c r="K123" s="779"/>
    </row>
    <row r="124" spans="3:11" x14ac:dyDescent="0.2">
      <c r="C124" s="569">
        <v>121</v>
      </c>
      <c r="D124" s="580"/>
      <c r="E124" s="581"/>
      <c r="F124" s="582"/>
      <c r="G124" s="583"/>
      <c r="H124" s="770"/>
      <c r="I124" s="773"/>
      <c r="J124" s="776"/>
      <c r="K124" s="779"/>
    </row>
    <row r="125" spans="3:11" x14ac:dyDescent="0.2">
      <c r="C125" s="569">
        <v>122</v>
      </c>
      <c r="D125" s="580"/>
      <c r="E125" s="581"/>
      <c r="F125" s="582"/>
      <c r="G125" s="583"/>
      <c r="H125" s="770"/>
      <c r="I125" s="773"/>
      <c r="J125" s="776"/>
      <c r="K125" s="779"/>
    </row>
    <row r="126" spans="3:11" x14ac:dyDescent="0.2">
      <c r="C126" s="569">
        <v>123</v>
      </c>
      <c r="D126" s="580"/>
      <c r="E126" s="581"/>
      <c r="F126" s="582"/>
      <c r="G126" s="583"/>
      <c r="H126" s="770"/>
      <c r="I126" s="773"/>
      <c r="J126" s="776"/>
      <c r="K126" s="779"/>
    </row>
    <row r="127" spans="3:11" x14ac:dyDescent="0.2">
      <c r="C127" s="569">
        <v>124</v>
      </c>
      <c r="D127" s="580"/>
      <c r="E127" s="581"/>
      <c r="F127" s="582"/>
      <c r="G127" s="583"/>
      <c r="H127" s="770"/>
      <c r="I127" s="773"/>
      <c r="J127" s="776"/>
      <c r="K127" s="779"/>
    </row>
    <row r="128" spans="3:11" x14ac:dyDescent="0.2">
      <c r="C128" s="569">
        <v>125</v>
      </c>
      <c r="D128" s="580"/>
      <c r="E128" s="581"/>
      <c r="F128" s="582"/>
      <c r="G128" s="583"/>
      <c r="H128" s="770"/>
      <c r="I128" s="773"/>
      <c r="J128" s="776"/>
      <c r="K128" s="779"/>
    </row>
    <row r="129" spans="3:11" x14ac:dyDescent="0.2">
      <c r="C129" s="569">
        <v>126</v>
      </c>
      <c r="D129" s="580"/>
      <c r="E129" s="581"/>
      <c r="F129" s="582"/>
      <c r="G129" s="583"/>
      <c r="H129" s="770"/>
      <c r="I129" s="773"/>
      <c r="J129" s="776"/>
      <c r="K129" s="779"/>
    </row>
    <row r="130" spans="3:11" x14ac:dyDescent="0.2">
      <c r="C130" s="569">
        <v>127</v>
      </c>
      <c r="D130" s="580"/>
      <c r="E130" s="581"/>
      <c r="F130" s="582"/>
      <c r="G130" s="583"/>
      <c r="H130" s="770"/>
      <c r="I130" s="773"/>
      <c r="J130" s="776"/>
      <c r="K130" s="779"/>
    </row>
    <row r="131" spans="3:11" x14ac:dyDescent="0.2">
      <c r="C131" s="569">
        <v>128</v>
      </c>
      <c r="D131" s="580"/>
      <c r="E131" s="581"/>
      <c r="F131" s="582"/>
      <c r="G131" s="583"/>
      <c r="H131" s="770"/>
      <c r="I131" s="773"/>
      <c r="J131" s="776"/>
      <c r="K131" s="779"/>
    </row>
    <row r="132" spans="3:11" x14ac:dyDescent="0.2">
      <c r="C132" s="569">
        <v>129</v>
      </c>
      <c r="D132" s="580"/>
      <c r="E132" s="581"/>
      <c r="F132" s="582"/>
      <c r="G132" s="583"/>
      <c r="H132" s="770"/>
      <c r="I132" s="773"/>
      <c r="J132" s="776"/>
      <c r="K132" s="779"/>
    </row>
    <row r="133" spans="3:11" x14ac:dyDescent="0.2">
      <c r="C133" s="569">
        <v>130</v>
      </c>
      <c r="D133" s="580"/>
      <c r="E133" s="581"/>
      <c r="F133" s="582"/>
      <c r="G133" s="583"/>
      <c r="H133" s="770"/>
      <c r="I133" s="773"/>
      <c r="J133" s="776"/>
      <c r="K133" s="779"/>
    </row>
    <row r="134" spans="3:11" x14ac:dyDescent="0.2">
      <c r="C134" s="569">
        <v>131</v>
      </c>
      <c r="D134" s="580"/>
      <c r="E134" s="581"/>
      <c r="F134" s="582"/>
      <c r="G134" s="583"/>
      <c r="H134" s="770"/>
      <c r="I134" s="773"/>
      <c r="J134" s="776"/>
      <c r="K134" s="779"/>
    </row>
    <row r="135" spans="3:11" x14ac:dyDescent="0.2">
      <c r="C135" s="569">
        <v>132</v>
      </c>
      <c r="D135" s="580"/>
      <c r="E135" s="581"/>
      <c r="F135" s="582"/>
      <c r="G135" s="583"/>
      <c r="H135" s="770"/>
      <c r="I135" s="773"/>
      <c r="J135" s="776"/>
      <c r="K135" s="779"/>
    </row>
    <row r="136" spans="3:11" x14ac:dyDescent="0.2">
      <c r="C136" s="569">
        <v>133</v>
      </c>
      <c r="D136" s="580"/>
      <c r="E136" s="581"/>
      <c r="F136" s="582"/>
      <c r="G136" s="583"/>
      <c r="H136" s="770"/>
      <c r="I136" s="773"/>
      <c r="J136" s="776"/>
      <c r="K136" s="779"/>
    </row>
    <row r="137" spans="3:11" x14ac:dyDescent="0.2">
      <c r="C137" s="569">
        <v>134</v>
      </c>
      <c r="D137" s="580"/>
      <c r="E137" s="581"/>
      <c r="F137" s="582"/>
      <c r="G137" s="583"/>
      <c r="H137" s="770"/>
      <c r="I137" s="773"/>
      <c r="J137" s="776"/>
      <c r="K137" s="779"/>
    </row>
    <row r="138" spans="3:11" x14ac:dyDescent="0.2">
      <c r="C138" s="569">
        <v>135</v>
      </c>
      <c r="D138" s="580"/>
      <c r="E138" s="581"/>
      <c r="F138" s="582"/>
      <c r="G138" s="583"/>
      <c r="H138" s="770"/>
      <c r="I138" s="773"/>
      <c r="J138" s="776"/>
      <c r="K138" s="779"/>
    </row>
    <row r="139" spans="3:11" x14ac:dyDescent="0.2">
      <c r="C139" s="569">
        <v>136</v>
      </c>
      <c r="D139" s="580"/>
      <c r="E139" s="581"/>
      <c r="F139" s="582"/>
      <c r="G139" s="583"/>
      <c r="H139" s="770"/>
      <c r="I139" s="773"/>
      <c r="J139" s="776"/>
      <c r="K139" s="779"/>
    </row>
    <row r="140" spans="3:11" x14ac:dyDescent="0.2">
      <c r="C140" s="569">
        <v>137</v>
      </c>
      <c r="D140" s="580"/>
      <c r="E140" s="581"/>
      <c r="F140" s="582"/>
      <c r="G140" s="583"/>
      <c r="H140" s="770"/>
      <c r="I140" s="773"/>
      <c r="J140" s="776"/>
      <c r="K140" s="779"/>
    </row>
    <row r="141" spans="3:11" x14ac:dyDescent="0.2">
      <c r="C141" s="569">
        <v>138</v>
      </c>
      <c r="D141" s="580"/>
      <c r="E141" s="581"/>
      <c r="F141" s="582"/>
      <c r="G141" s="583"/>
      <c r="H141" s="770"/>
      <c r="I141" s="773"/>
      <c r="J141" s="776"/>
      <c r="K141" s="779"/>
    </row>
    <row r="142" spans="3:11" x14ac:dyDescent="0.2">
      <c r="C142" s="569">
        <v>139</v>
      </c>
      <c r="D142" s="580"/>
      <c r="E142" s="581"/>
      <c r="F142" s="582"/>
      <c r="G142" s="583"/>
      <c r="H142" s="770"/>
      <c r="I142" s="773"/>
      <c r="J142" s="776"/>
      <c r="K142" s="779"/>
    </row>
    <row r="143" spans="3:11" x14ac:dyDescent="0.2">
      <c r="C143" s="569">
        <v>140</v>
      </c>
      <c r="D143" s="580"/>
      <c r="E143" s="581"/>
      <c r="F143" s="582"/>
      <c r="G143" s="583"/>
      <c r="H143" s="770"/>
      <c r="I143" s="773"/>
      <c r="J143" s="776"/>
      <c r="K143" s="779"/>
    </row>
    <row r="144" spans="3:11" x14ac:dyDescent="0.2">
      <c r="C144" s="569">
        <v>141</v>
      </c>
      <c r="D144" s="580"/>
      <c r="E144" s="581"/>
      <c r="F144" s="582"/>
      <c r="G144" s="583"/>
      <c r="H144" s="770"/>
      <c r="I144" s="773"/>
      <c r="J144" s="776"/>
      <c r="K144" s="779"/>
    </row>
    <row r="145" spans="3:11" x14ac:dyDescent="0.2">
      <c r="C145" s="569">
        <v>142</v>
      </c>
      <c r="D145" s="580"/>
      <c r="E145" s="581"/>
      <c r="F145" s="582"/>
      <c r="G145" s="583"/>
      <c r="H145" s="770"/>
      <c r="I145" s="773"/>
      <c r="J145" s="776"/>
      <c r="K145" s="779"/>
    </row>
    <row r="146" spans="3:11" x14ac:dyDescent="0.2">
      <c r="C146" s="569">
        <v>143</v>
      </c>
      <c r="D146" s="580"/>
      <c r="E146" s="581"/>
      <c r="F146" s="582"/>
      <c r="G146" s="583"/>
      <c r="H146" s="770"/>
      <c r="I146" s="773"/>
      <c r="J146" s="776"/>
      <c r="K146" s="779"/>
    </row>
    <row r="147" spans="3:11" x14ac:dyDescent="0.2">
      <c r="C147" s="569">
        <v>144</v>
      </c>
      <c r="D147" s="580"/>
      <c r="E147" s="581"/>
      <c r="F147" s="582"/>
      <c r="G147" s="583"/>
      <c r="H147" s="770"/>
      <c r="I147" s="773"/>
      <c r="J147" s="776"/>
      <c r="K147" s="779"/>
    </row>
    <row r="148" spans="3:11" x14ac:dyDescent="0.2">
      <c r="C148" s="569">
        <v>145</v>
      </c>
      <c r="D148" s="580"/>
      <c r="E148" s="581"/>
      <c r="F148" s="582"/>
      <c r="G148" s="583"/>
      <c r="H148" s="770"/>
      <c r="I148" s="773"/>
      <c r="J148" s="776"/>
      <c r="K148" s="779"/>
    </row>
    <row r="149" spans="3:11" x14ac:dyDescent="0.2">
      <c r="C149" s="569">
        <v>146</v>
      </c>
      <c r="D149" s="580"/>
      <c r="E149" s="581"/>
      <c r="F149" s="582"/>
      <c r="G149" s="583"/>
      <c r="H149" s="770"/>
      <c r="I149" s="773"/>
      <c r="J149" s="776"/>
      <c r="K149" s="779"/>
    </row>
    <row r="150" spans="3:11" x14ac:dyDescent="0.2">
      <c r="C150" s="569">
        <v>147</v>
      </c>
      <c r="D150" s="580"/>
      <c r="E150" s="581"/>
      <c r="F150" s="582"/>
      <c r="G150" s="583"/>
      <c r="H150" s="770"/>
      <c r="I150" s="773"/>
      <c r="J150" s="776"/>
      <c r="K150" s="779"/>
    </row>
    <row r="151" spans="3:11" x14ac:dyDescent="0.2">
      <c r="C151" s="569">
        <v>148</v>
      </c>
      <c r="D151" s="580"/>
      <c r="E151" s="581"/>
      <c r="F151" s="582"/>
      <c r="G151" s="583"/>
      <c r="H151" s="770"/>
      <c r="I151" s="773"/>
      <c r="J151" s="776"/>
      <c r="K151" s="779"/>
    </row>
    <row r="152" spans="3:11" x14ac:dyDescent="0.2">
      <c r="C152" s="569">
        <v>149</v>
      </c>
      <c r="D152" s="580"/>
      <c r="E152" s="581"/>
      <c r="F152" s="582"/>
      <c r="G152" s="583"/>
      <c r="H152" s="770"/>
      <c r="I152" s="773"/>
      <c r="J152" s="776"/>
      <c r="K152" s="779"/>
    </row>
    <row r="153" spans="3:11" x14ac:dyDescent="0.2">
      <c r="C153" s="569">
        <v>150</v>
      </c>
      <c r="D153" s="580"/>
      <c r="E153" s="581"/>
      <c r="F153" s="582"/>
      <c r="G153" s="583"/>
      <c r="H153" s="770"/>
      <c r="I153" s="773"/>
      <c r="J153" s="776"/>
      <c r="K153" s="779"/>
    </row>
    <row r="154" spans="3:11" x14ac:dyDescent="0.2">
      <c r="C154" s="569">
        <v>151</v>
      </c>
      <c r="D154" s="580"/>
      <c r="E154" s="581"/>
      <c r="F154" s="582"/>
      <c r="G154" s="583"/>
      <c r="H154" s="770"/>
      <c r="I154" s="773"/>
      <c r="J154" s="776"/>
      <c r="K154" s="779"/>
    </row>
    <row r="155" spans="3:11" x14ac:dyDescent="0.2">
      <c r="C155" s="569">
        <v>152</v>
      </c>
      <c r="D155" s="580"/>
      <c r="E155" s="581"/>
      <c r="F155" s="582"/>
      <c r="G155" s="583"/>
      <c r="H155" s="770"/>
      <c r="I155" s="773"/>
      <c r="J155" s="776"/>
      <c r="K155" s="779"/>
    </row>
    <row r="156" spans="3:11" x14ac:dyDescent="0.2">
      <c r="C156" s="569">
        <v>153</v>
      </c>
      <c r="D156" s="580"/>
      <c r="E156" s="581"/>
      <c r="F156" s="582"/>
      <c r="G156" s="583"/>
      <c r="H156" s="770"/>
      <c r="I156" s="773"/>
      <c r="J156" s="776"/>
      <c r="K156" s="779"/>
    </row>
    <row r="157" spans="3:11" x14ac:dyDescent="0.2">
      <c r="C157" s="569">
        <v>154</v>
      </c>
      <c r="D157" s="580"/>
      <c r="E157" s="581"/>
      <c r="F157" s="582"/>
      <c r="G157" s="583"/>
      <c r="H157" s="770"/>
      <c r="I157" s="773"/>
      <c r="J157" s="776"/>
      <c r="K157" s="779"/>
    </row>
    <row r="158" spans="3:11" x14ac:dyDescent="0.2">
      <c r="C158" s="569">
        <v>155</v>
      </c>
      <c r="D158" s="580"/>
      <c r="E158" s="581"/>
      <c r="F158" s="582"/>
      <c r="G158" s="583"/>
      <c r="H158" s="770"/>
      <c r="I158" s="773"/>
      <c r="J158" s="776"/>
      <c r="K158" s="779"/>
    </row>
    <row r="159" spans="3:11" x14ac:dyDescent="0.2">
      <c r="C159" s="569">
        <v>156</v>
      </c>
      <c r="D159" s="580"/>
      <c r="E159" s="581"/>
      <c r="F159" s="582"/>
      <c r="G159" s="583"/>
      <c r="H159" s="770"/>
      <c r="I159" s="773"/>
      <c r="J159" s="776"/>
      <c r="K159" s="779"/>
    </row>
    <row r="160" spans="3:11" x14ac:dyDescent="0.2">
      <c r="C160" s="569">
        <v>157</v>
      </c>
      <c r="D160" s="580"/>
      <c r="E160" s="581"/>
      <c r="F160" s="582"/>
      <c r="G160" s="583"/>
      <c r="H160" s="770"/>
      <c r="I160" s="773"/>
      <c r="J160" s="776"/>
      <c r="K160" s="779"/>
    </row>
    <row r="161" spans="3:11" x14ac:dyDescent="0.2">
      <c r="C161" s="569">
        <v>158</v>
      </c>
      <c r="D161" s="580"/>
      <c r="E161" s="581"/>
      <c r="F161" s="582"/>
      <c r="G161" s="583"/>
      <c r="H161" s="770"/>
      <c r="I161" s="773"/>
      <c r="J161" s="776"/>
      <c r="K161" s="779"/>
    </row>
    <row r="162" spans="3:11" x14ac:dyDescent="0.2">
      <c r="C162" s="569">
        <v>159</v>
      </c>
      <c r="D162" s="580"/>
      <c r="E162" s="581"/>
      <c r="F162" s="582"/>
      <c r="G162" s="583"/>
      <c r="H162" s="770"/>
      <c r="I162" s="773"/>
      <c r="J162" s="776"/>
      <c r="K162" s="779"/>
    </row>
    <row r="163" spans="3:11" x14ac:dyDescent="0.2">
      <c r="C163" s="569">
        <v>160</v>
      </c>
      <c r="D163" s="580"/>
      <c r="E163" s="581"/>
      <c r="F163" s="582"/>
      <c r="G163" s="583"/>
      <c r="H163" s="770"/>
      <c r="I163" s="773"/>
      <c r="J163" s="776"/>
      <c r="K163" s="779"/>
    </row>
    <row r="164" spans="3:11" x14ac:dyDescent="0.2">
      <c r="C164" s="569">
        <v>161</v>
      </c>
      <c r="D164" s="580"/>
      <c r="E164" s="581"/>
      <c r="F164" s="582"/>
      <c r="G164" s="583"/>
      <c r="H164" s="770"/>
      <c r="I164" s="773"/>
      <c r="J164" s="776"/>
      <c r="K164" s="779"/>
    </row>
    <row r="165" spans="3:11" x14ac:dyDescent="0.2">
      <c r="C165" s="569">
        <v>162</v>
      </c>
      <c r="D165" s="580"/>
      <c r="E165" s="581"/>
      <c r="F165" s="582"/>
      <c r="G165" s="583"/>
      <c r="H165" s="770"/>
      <c r="I165" s="773"/>
      <c r="J165" s="776"/>
      <c r="K165" s="779"/>
    </row>
    <row r="166" spans="3:11" x14ac:dyDescent="0.2">
      <c r="C166" s="569">
        <v>163</v>
      </c>
      <c r="D166" s="580"/>
      <c r="E166" s="581"/>
      <c r="F166" s="582"/>
      <c r="G166" s="583"/>
      <c r="H166" s="770"/>
      <c r="I166" s="773"/>
      <c r="J166" s="776"/>
      <c r="K166" s="779"/>
    </row>
    <row r="167" spans="3:11" x14ac:dyDescent="0.2">
      <c r="C167" s="569">
        <v>164</v>
      </c>
      <c r="D167" s="580"/>
      <c r="E167" s="581"/>
      <c r="F167" s="582"/>
      <c r="G167" s="583"/>
      <c r="H167" s="770"/>
      <c r="I167" s="773"/>
      <c r="J167" s="776"/>
      <c r="K167" s="779"/>
    </row>
    <row r="168" spans="3:11" x14ac:dyDescent="0.2">
      <c r="C168" s="569">
        <v>165</v>
      </c>
      <c r="D168" s="580"/>
      <c r="E168" s="581"/>
      <c r="F168" s="582"/>
      <c r="G168" s="583"/>
      <c r="H168" s="770"/>
      <c r="I168" s="773"/>
      <c r="J168" s="776"/>
      <c r="K168" s="779"/>
    </row>
    <row r="169" spans="3:11" x14ac:dyDescent="0.2">
      <c r="C169" s="569">
        <v>166</v>
      </c>
      <c r="D169" s="580"/>
      <c r="E169" s="581"/>
      <c r="F169" s="582"/>
      <c r="G169" s="583"/>
      <c r="H169" s="770"/>
      <c r="I169" s="773"/>
      <c r="J169" s="776"/>
      <c r="K169" s="779"/>
    </row>
    <row r="170" spans="3:11" x14ac:dyDescent="0.2">
      <c r="C170" s="569">
        <v>167</v>
      </c>
      <c r="D170" s="580"/>
      <c r="E170" s="581"/>
      <c r="F170" s="582"/>
      <c r="G170" s="583"/>
      <c r="H170" s="770"/>
      <c r="I170" s="773"/>
      <c r="J170" s="776"/>
      <c r="K170" s="779"/>
    </row>
    <row r="171" spans="3:11" x14ac:dyDescent="0.2">
      <c r="C171" s="569">
        <v>168</v>
      </c>
      <c r="D171" s="580"/>
      <c r="E171" s="581"/>
      <c r="F171" s="582"/>
      <c r="G171" s="583"/>
      <c r="H171" s="770"/>
      <c r="I171" s="773"/>
      <c r="J171" s="776"/>
      <c r="K171" s="779"/>
    </row>
    <row r="172" spans="3:11" x14ac:dyDescent="0.2">
      <c r="C172" s="569">
        <v>169</v>
      </c>
      <c r="D172" s="580"/>
      <c r="E172" s="581"/>
      <c r="F172" s="582"/>
      <c r="G172" s="583"/>
      <c r="H172" s="770"/>
      <c r="I172" s="773"/>
      <c r="J172" s="776"/>
      <c r="K172" s="779"/>
    </row>
    <row r="173" spans="3:11" x14ac:dyDescent="0.2">
      <c r="C173" s="569">
        <v>170</v>
      </c>
      <c r="D173" s="580"/>
      <c r="E173" s="581"/>
      <c r="F173" s="582"/>
      <c r="G173" s="583"/>
      <c r="H173" s="770"/>
      <c r="I173" s="773"/>
      <c r="J173" s="776"/>
      <c r="K173" s="779"/>
    </row>
    <row r="174" spans="3:11" x14ac:dyDescent="0.2">
      <c r="C174" s="569">
        <v>171</v>
      </c>
      <c r="D174" s="580"/>
      <c r="E174" s="581"/>
      <c r="F174" s="582"/>
      <c r="G174" s="583"/>
      <c r="H174" s="770"/>
      <c r="I174" s="773"/>
      <c r="J174" s="776"/>
      <c r="K174" s="779"/>
    </row>
    <row r="175" spans="3:11" x14ac:dyDescent="0.2">
      <c r="C175" s="569">
        <v>172</v>
      </c>
      <c r="D175" s="580"/>
      <c r="E175" s="581"/>
      <c r="F175" s="582"/>
      <c r="G175" s="583"/>
      <c r="H175" s="770"/>
      <c r="I175" s="773"/>
      <c r="J175" s="776"/>
      <c r="K175" s="779"/>
    </row>
    <row r="176" spans="3:11" x14ac:dyDescent="0.2">
      <c r="C176" s="569">
        <v>173</v>
      </c>
      <c r="D176" s="580"/>
      <c r="E176" s="581"/>
      <c r="F176" s="582"/>
      <c r="G176" s="583"/>
      <c r="H176" s="770"/>
      <c r="I176" s="773"/>
      <c r="J176" s="776"/>
      <c r="K176" s="779"/>
    </row>
    <row r="177" spans="3:11" x14ac:dyDescent="0.2">
      <c r="C177" s="569">
        <v>174</v>
      </c>
      <c r="D177" s="580"/>
      <c r="E177" s="581"/>
      <c r="F177" s="582"/>
      <c r="G177" s="583"/>
      <c r="H177" s="770"/>
      <c r="I177" s="773"/>
      <c r="J177" s="776"/>
      <c r="K177" s="779"/>
    </row>
    <row r="178" spans="3:11" x14ac:dyDescent="0.2">
      <c r="C178" s="569">
        <v>175</v>
      </c>
      <c r="D178" s="580"/>
      <c r="E178" s="581"/>
      <c r="F178" s="582"/>
      <c r="G178" s="583"/>
      <c r="H178" s="770"/>
      <c r="I178" s="773"/>
      <c r="J178" s="776"/>
      <c r="K178" s="779"/>
    </row>
    <row r="179" spans="3:11" x14ac:dyDescent="0.2">
      <c r="C179" s="569">
        <v>176</v>
      </c>
      <c r="D179" s="580"/>
      <c r="E179" s="581"/>
      <c r="F179" s="582"/>
      <c r="G179" s="583"/>
      <c r="H179" s="770"/>
      <c r="I179" s="773"/>
      <c r="J179" s="776"/>
      <c r="K179" s="779"/>
    </row>
    <row r="180" spans="3:11" x14ac:dyDescent="0.2">
      <c r="C180" s="569">
        <v>177</v>
      </c>
      <c r="D180" s="580"/>
      <c r="E180" s="581"/>
      <c r="F180" s="582"/>
      <c r="G180" s="583"/>
      <c r="H180" s="770"/>
      <c r="I180" s="773"/>
      <c r="J180" s="776"/>
      <c r="K180" s="779"/>
    </row>
    <row r="181" spans="3:11" x14ac:dyDescent="0.2">
      <c r="C181" s="569">
        <v>178</v>
      </c>
      <c r="D181" s="580"/>
      <c r="E181" s="581"/>
      <c r="F181" s="582"/>
      <c r="G181" s="583"/>
      <c r="H181" s="770"/>
      <c r="I181" s="773"/>
      <c r="J181" s="776"/>
      <c r="K181" s="779"/>
    </row>
    <row r="182" spans="3:11" x14ac:dyDescent="0.2">
      <c r="C182" s="569">
        <v>179</v>
      </c>
      <c r="D182" s="580"/>
      <c r="E182" s="581"/>
      <c r="F182" s="582"/>
      <c r="G182" s="583"/>
      <c r="H182" s="770"/>
      <c r="I182" s="773"/>
      <c r="J182" s="776"/>
      <c r="K182" s="779"/>
    </row>
    <row r="183" spans="3:11" x14ac:dyDescent="0.2">
      <c r="C183" s="569">
        <v>180</v>
      </c>
      <c r="D183" s="580"/>
      <c r="E183" s="581"/>
      <c r="F183" s="582"/>
      <c r="G183" s="583"/>
      <c r="H183" s="770"/>
      <c r="I183" s="773"/>
      <c r="J183" s="776"/>
      <c r="K183" s="779"/>
    </row>
    <row r="184" spans="3:11" x14ac:dyDescent="0.2">
      <c r="C184" s="569">
        <v>181</v>
      </c>
      <c r="D184" s="580"/>
      <c r="E184" s="581"/>
      <c r="F184" s="582"/>
      <c r="G184" s="583"/>
      <c r="H184" s="770"/>
      <c r="I184" s="773"/>
      <c r="J184" s="776"/>
      <c r="K184" s="779"/>
    </row>
    <row r="185" spans="3:11" x14ac:dyDescent="0.2">
      <c r="C185" s="569">
        <v>182</v>
      </c>
      <c r="D185" s="580"/>
      <c r="E185" s="581"/>
      <c r="F185" s="582"/>
      <c r="G185" s="583"/>
      <c r="H185" s="770"/>
      <c r="I185" s="773"/>
      <c r="J185" s="776"/>
      <c r="K185" s="779"/>
    </row>
    <row r="186" spans="3:11" x14ac:dyDescent="0.2">
      <c r="C186" s="569">
        <v>183</v>
      </c>
      <c r="D186" s="580"/>
      <c r="E186" s="581"/>
      <c r="F186" s="582"/>
      <c r="G186" s="583"/>
      <c r="H186" s="770"/>
      <c r="I186" s="773"/>
      <c r="J186" s="776"/>
      <c r="K186" s="779"/>
    </row>
    <row r="187" spans="3:11" x14ac:dyDescent="0.2">
      <c r="C187" s="569">
        <v>184</v>
      </c>
      <c r="D187" s="580"/>
      <c r="E187" s="581"/>
      <c r="F187" s="582"/>
      <c r="G187" s="583"/>
      <c r="H187" s="770"/>
      <c r="I187" s="773"/>
      <c r="J187" s="776"/>
      <c r="K187" s="779"/>
    </row>
    <row r="188" spans="3:11" x14ac:dyDescent="0.2">
      <c r="C188" s="569">
        <v>185</v>
      </c>
      <c r="D188" s="580"/>
      <c r="E188" s="581"/>
      <c r="F188" s="582"/>
      <c r="G188" s="583"/>
      <c r="H188" s="770"/>
      <c r="I188" s="773"/>
      <c r="J188" s="776"/>
      <c r="K188" s="779"/>
    </row>
    <row r="189" spans="3:11" x14ac:dyDescent="0.2">
      <c r="C189" s="569">
        <v>186</v>
      </c>
      <c r="D189" s="580"/>
      <c r="E189" s="581"/>
      <c r="F189" s="582"/>
      <c r="G189" s="583"/>
      <c r="H189" s="770"/>
      <c r="I189" s="773"/>
      <c r="J189" s="776"/>
      <c r="K189" s="779"/>
    </row>
    <row r="190" spans="3:11" x14ac:dyDescent="0.2">
      <c r="C190" s="569">
        <v>187</v>
      </c>
      <c r="D190" s="580"/>
      <c r="E190" s="581"/>
      <c r="F190" s="582"/>
      <c r="G190" s="583"/>
      <c r="H190" s="770"/>
      <c r="I190" s="773"/>
      <c r="J190" s="776"/>
      <c r="K190" s="779"/>
    </row>
    <row r="191" spans="3:11" x14ac:dyDescent="0.2">
      <c r="C191" s="569">
        <v>188</v>
      </c>
      <c r="D191" s="580"/>
      <c r="E191" s="581"/>
      <c r="F191" s="582"/>
      <c r="G191" s="583"/>
      <c r="H191" s="770"/>
      <c r="I191" s="773"/>
      <c r="J191" s="776"/>
      <c r="K191" s="779"/>
    </row>
    <row r="192" spans="3:11" x14ac:dyDescent="0.2">
      <c r="C192" s="569">
        <v>189</v>
      </c>
      <c r="D192" s="580"/>
      <c r="E192" s="581"/>
      <c r="F192" s="582"/>
      <c r="G192" s="583"/>
      <c r="H192" s="770"/>
      <c r="I192" s="773"/>
      <c r="J192" s="776"/>
      <c r="K192" s="779"/>
    </row>
    <row r="193" spans="3:11" x14ac:dyDescent="0.2">
      <c r="C193" s="569">
        <v>190</v>
      </c>
      <c r="D193" s="580"/>
      <c r="E193" s="581"/>
      <c r="F193" s="582"/>
      <c r="G193" s="583"/>
      <c r="H193" s="770"/>
      <c r="I193" s="773"/>
      <c r="J193" s="776"/>
      <c r="K193" s="779"/>
    </row>
    <row r="194" spans="3:11" x14ac:dyDescent="0.2">
      <c r="C194" s="569">
        <v>191</v>
      </c>
      <c r="D194" s="580"/>
      <c r="E194" s="581"/>
      <c r="F194" s="582"/>
      <c r="G194" s="583"/>
      <c r="H194" s="770"/>
      <c r="I194" s="773"/>
      <c r="J194" s="776"/>
      <c r="K194" s="779"/>
    </row>
    <row r="195" spans="3:11" x14ac:dyDescent="0.2">
      <c r="C195" s="569">
        <v>192</v>
      </c>
      <c r="D195" s="580"/>
      <c r="E195" s="581"/>
      <c r="F195" s="582"/>
      <c r="G195" s="583"/>
      <c r="H195" s="770"/>
      <c r="I195" s="773"/>
      <c r="J195" s="776"/>
      <c r="K195" s="779"/>
    </row>
    <row r="196" spans="3:11" x14ac:dyDescent="0.2">
      <c r="C196" s="569">
        <v>193</v>
      </c>
      <c r="D196" s="580"/>
      <c r="E196" s="581"/>
      <c r="F196" s="582"/>
      <c r="G196" s="583"/>
      <c r="H196" s="770"/>
      <c r="I196" s="773"/>
      <c r="J196" s="776"/>
      <c r="K196" s="779"/>
    </row>
    <row r="197" spans="3:11" x14ac:dyDescent="0.2">
      <c r="C197" s="569">
        <v>194</v>
      </c>
      <c r="D197" s="580"/>
      <c r="E197" s="581"/>
      <c r="F197" s="582"/>
      <c r="G197" s="583"/>
      <c r="H197" s="770"/>
      <c r="I197" s="773"/>
      <c r="J197" s="776"/>
      <c r="K197" s="779"/>
    </row>
    <row r="198" spans="3:11" x14ac:dyDescent="0.2">
      <c r="C198" s="569">
        <v>195</v>
      </c>
      <c r="D198" s="580"/>
      <c r="E198" s="581"/>
      <c r="F198" s="582"/>
      <c r="G198" s="583"/>
      <c r="H198" s="770"/>
      <c r="I198" s="773"/>
      <c r="J198" s="776"/>
      <c r="K198" s="779"/>
    </row>
    <row r="199" spans="3:11" x14ac:dyDescent="0.2">
      <c r="C199" s="569">
        <v>196</v>
      </c>
      <c r="D199" s="580"/>
      <c r="E199" s="581"/>
      <c r="F199" s="582"/>
      <c r="G199" s="583"/>
      <c r="H199" s="770"/>
      <c r="I199" s="773"/>
      <c r="J199" s="776"/>
      <c r="K199" s="779"/>
    </row>
    <row r="200" spans="3:11" x14ac:dyDescent="0.2">
      <c r="C200" s="569">
        <v>197</v>
      </c>
      <c r="D200" s="580"/>
      <c r="E200" s="581"/>
      <c r="F200" s="582"/>
      <c r="G200" s="583"/>
      <c r="H200" s="770"/>
      <c r="I200" s="773"/>
      <c r="J200" s="776"/>
      <c r="K200" s="779"/>
    </row>
    <row r="201" spans="3:11" x14ac:dyDescent="0.2">
      <c r="C201" s="569">
        <v>198</v>
      </c>
      <c r="D201" s="580"/>
      <c r="E201" s="581"/>
      <c r="F201" s="582"/>
      <c r="G201" s="583"/>
      <c r="H201" s="770"/>
      <c r="I201" s="773"/>
      <c r="J201" s="776"/>
      <c r="K201" s="779"/>
    </row>
    <row r="202" spans="3:11" x14ac:dyDescent="0.2">
      <c r="C202" s="569">
        <v>199</v>
      </c>
      <c r="D202" s="580"/>
      <c r="E202" s="581"/>
      <c r="F202" s="582"/>
      <c r="G202" s="583"/>
      <c r="H202" s="770"/>
      <c r="I202" s="773"/>
      <c r="J202" s="776"/>
      <c r="K202" s="779"/>
    </row>
    <row r="203" spans="3:11" x14ac:dyDescent="0.2">
      <c r="C203" s="569">
        <v>200</v>
      </c>
      <c r="D203" s="580"/>
      <c r="E203" s="581"/>
      <c r="F203" s="582"/>
      <c r="G203" s="583"/>
      <c r="H203" s="770"/>
      <c r="I203" s="773"/>
      <c r="J203" s="776"/>
      <c r="K203" s="779"/>
    </row>
    <row r="204" spans="3:11" x14ac:dyDescent="0.2">
      <c r="C204" s="569">
        <v>201</v>
      </c>
      <c r="D204" s="580"/>
      <c r="E204" s="581"/>
      <c r="F204" s="582"/>
      <c r="G204" s="583"/>
      <c r="H204" s="770"/>
      <c r="I204" s="773"/>
      <c r="J204" s="776"/>
      <c r="K204" s="779"/>
    </row>
    <row r="205" spans="3:11" x14ac:dyDescent="0.2">
      <c r="C205" s="569">
        <v>202</v>
      </c>
      <c r="D205" s="580"/>
      <c r="E205" s="581"/>
      <c r="F205" s="582"/>
      <c r="G205" s="583"/>
      <c r="H205" s="770"/>
      <c r="I205" s="773"/>
      <c r="J205" s="776"/>
      <c r="K205" s="779"/>
    </row>
    <row r="206" spans="3:11" x14ac:dyDescent="0.2">
      <c r="C206" s="569">
        <v>203</v>
      </c>
      <c r="D206" s="580"/>
      <c r="E206" s="581"/>
      <c r="F206" s="582"/>
      <c r="G206" s="583"/>
      <c r="H206" s="770"/>
      <c r="I206" s="773"/>
      <c r="J206" s="776"/>
      <c r="K206" s="779"/>
    </row>
    <row r="207" spans="3:11" x14ac:dyDescent="0.2">
      <c r="C207" s="569">
        <v>204</v>
      </c>
      <c r="D207" s="580"/>
      <c r="E207" s="581"/>
      <c r="F207" s="582"/>
      <c r="G207" s="583"/>
      <c r="H207" s="770"/>
      <c r="I207" s="773"/>
      <c r="J207" s="776"/>
      <c r="K207" s="779"/>
    </row>
    <row r="208" spans="3:11" x14ac:dyDescent="0.2">
      <c r="C208" s="569">
        <v>205</v>
      </c>
      <c r="D208" s="580"/>
      <c r="E208" s="581"/>
      <c r="F208" s="582"/>
      <c r="G208" s="583"/>
      <c r="H208" s="770"/>
      <c r="I208" s="773"/>
      <c r="J208" s="776"/>
      <c r="K208" s="779"/>
    </row>
    <row r="209" spans="3:11" x14ac:dyDescent="0.2">
      <c r="C209" s="569">
        <v>206</v>
      </c>
      <c r="D209" s="580"/>
      <c r="E209" s="581"/>
      <c r="F209" s="582"/>
      <c r="G209" s="583"/>
      <c r="H209" s="770"/>
      <c r="I209" s="773"/>
      <c r="J209" s="776"/>
      <c r="K209" s="779"/>
    </row>
    <row r="210" spans="3:11" x14ac:dyDescent="0.2">
      <c r="C210" s="569">
        <v>207</v>
      </c>
      <c r="D210" s="580"/>
      <c r="E210" s="581"/>
      <c r="F210" s="582"/>
      <c r="G210" s="583"/>
      <c r="H210" s="770"/>
      <c r="I210" s="773"/>
      <c r="J210" s="776"/>
      <c r="K210" s="779"/>
    </row>
    <row r="211" spans="3:11" x14ac:dyDescent="0.2">
      <c r="C211" s="569">
        <v>208</v>
      </c>
      <c r="D211" s="580"/>
      <c r="E211" s="581"/>
      <c r="F211" s="582"/>
      <c r="G211" s="583"/>
      <c r="H211" s="770"/>
      <c r="I211" s="773"/>
      <c r="J211" s="776"/>
      <c r="K211" s="779"/>
    </row>
    <row r="212" spans="3:11" x14ac:dyDescent="0.2">
      <c r="C212" s="569">
        <v>209</v>
      </c>
      <c r="D212" s="580"/>
      <c r="E212" s="581"/>
      <c r="F212" s="582"/>
      <c r="G212" s="583"/>
      <c r="H212" s="770"/>
      <c r="I212" s="773"/>
      <c r="J212" s="776"/>
      <c r="K212" s="779"/>
    </row>
    <row r="213" spans="3:11" x14ac:dyDescent="0.2">
      <c r="C213" s="569">
        <v>210</v>
      </c>
      <c r="D213" s="580"/>
      <c r="E213" s="581"/>
      <c r="F213" s="582"/>
      <c r="G213" s="583"/>
      <c r="H213" s="770"/>
      <c r="I213" s="773"/>
      <c r="J213" s="776"/>
      <c r="K213" s="779"/>
    </row>
    <row r="214" spans="3:11" x14ac:dyDescent="0.2">
      <c r="C214" s="569">
        <v>211</v>
      </c>
      <c r="D214" s="580"/>
      <c r="E214" s="581"/>
      <c r="F214" s="582"/>
      <c r="G214" s="583"/>
      <c r="H214" s="770"/>
      <c r="I214" s="773"/>
      <c r="J214" s="776"/>
      <c r="K214" s="779"/>
    </row>
    <row r="215" spans="3:11" x14ac:dyDescent="0.2">
      <c r="C215" s="569">
        <v>212</v>
      </c>
      <c r="D215" s="580"/>
      <c r="E215" s="581"/>
      <c r="F215" s="582"/>
      <c r="G215" s="583"/>
      <c r="H215" s="770"/>
      <c r="I215" s="773"/>
      <c r="J215" s="776"/>
      <c r="K215" s="779"/>
    </row>
    <row r="216" spans="3:11" x14ac:dyDescent="0.2">
      <c r="C216" s="569">
        <v>213</v>
      </c>
      <c r="D216" s="580"/>
      <c r="E216" s="581"/>
      <c r="F216" s="582"/>
      <c r="G216" s="583"/>
      <c r="H216" s="770"/>
      <c r="I216" s="773"/>
      <c r="J216" s="776"/>
      <c r="K216" s="779"/>
    </row>
    <row r="217" spans="3:11" x14ac:dyDescent="0.2">
      <c r="C217" s="569">
        <v>214</v>
      </c>
      <c r="D217" s="580"/>
      <c r="E217" s="581"/>
      <c r="F217" s="582"/>
      <c r="G217" s="583"/>
      <c r="H217" s="770"/>
      <c r="I217" s="773"/>
      <c r="J217" s="776"/>
      <c r="K217" s="779"/>
    </row>
    <row r="218" spans="3:11" x14ac:dyDescent="0.2">
      <c r="C218" s="569">
        <v>215</v>
      </c>
      <c r="D218" s="580"/>
      <c r="E218" s="581"/>
      <c r="F218" s="582"/>
      <c r="G218" s="583"/>
      <c r="H218" s="770"/>
      <c r="I218" s="773"/>
      <c r="J218" s="776"/>
      <c r="K218" s="779"/>
    </row>
    <row r="219" spans="3:11" x14ac:dyDescent="0.2">
      <c r="C219" s="569">
        <v>216</v>
      </c>
      <c r="D219" s="580"/>
      <c r="E219" s="581"/>
      <c r="F219" s="582"/>
      <c r="G219" s="583"/>
      <c r="H219" s="770"/>
      <c r="I219" s="773"/>
      <c r="J219" s="776"/>
      <c r="K219" s="779"/>
    </row>
    <row r="220" spans="3:11" x14ac:dyDescent="0.2">
      <c r="C220" s="569">
        <v>217</v>
      </c>
      <c r="D220" s="580"/>
      <c r="E220" s="581"/>
      <c r="F220" s="582"/>
      <c r="G220" s="583"/>
      <c r="H220" s="770"/>
      <c r="I220" s="773"/>
      <c r="J220" s="776"/>
      <c r="K220" s="779"/>
    </row>
    <row r="221" spans="3:11" x14ac:dyDescent="0.2">
      <c r="C221" s="569">
        <v>218</v>
      </c>
      <c r="D221" s="580"/>
      <c r="E221" s="581"/>
      <c r="F221" s="582"/>
      <c r="G221" s="583"/>
      <c r="H221" s="770"/>
      <c r="I221" s="773"/>
      <c r="J221" s="776"/>
      <c r="K221" s="779"/>
    </row>
    <row r="222" spans="3:11" x14ac:dyDescent="0.2">
      <c r="C222" s="569">
        <v>219</v>
      </c>
      <c r="D222" s="580"/>
      <c r="E222" s="581"/>
      <c r="F222" s="582"/>
      <c r="G222" s="583"/>
      <c r="H222" s="770"/>
      <c r="I222" s="773"/>
      <c r="J222" s="776"/>
      <c r="K222" s="779"/>
    </row>
    <row r="223" spans="3:11" x14ac:dyDescent="0.2">
      <c r="C223" s="569">
        <v>220</v>
      </c>
      <c r="D223" s="580"/>
      <c r="E223" s="581"/>
      <c r="F223" s="582"/>
      <c r="G223" s="583"/>
      <c r="H223" s="770"/>
      <c r="I223" s="773"/>
      <c r="J223" s="776"/>
      <c r="K223" s="779"/>
    </row>
    <row r="224" spans="3:11" x14ac:dyDescent="0.2">
      <c r="C224" s="569">
        <v>221</v>
      </c>
      <c r="D224" s="580"/>
      <c r="E224" s="581"/>
      <c r="F224" s="582"/>
      <c r="G224" s="583"/>
      <c r="H224" s="770"/>
      <c r="I224" s="773"/>
      <c r="J224" s="776"/>
      <c r="K224" s="779"/>
    </row>
    <row r="225" spans="3:11" x14ac:dyDescent="0.2">
      <c r="C225" s="569">
        <v>222</v>
      </c>
      <c r="D225" s="580"/>
      <c r="E225" s="581"/>
      <c r="F225" s="582"/>
      <c r="G225" s="583"/>
      <c r="H225" s="770"/>
      <c r="I225" s="773"/>
      <c r="J225" s="776"/>
      <c r="K225" s="779"/>
    </row>
    <row r="226" spans="3:11" x14ac:dyDescent="0.2">
      <c r="C226" s="569">
        <v>223</v>
      </c>
      <c r="D226" s="580"/>
      <c r="E226" s="581"/>
      <c r="F226" s="582"/>
      <c r="G226" s="583"/>
      <c r="H226" s="770"/>
      <c r="I226" s="773"/>
      <c r="J226" s="776"/>
      <c r="K226" s="779"/>
    </row>
    <row r="227" spans="3:11" x14ac:dyDescent="0.2">
      <c r="C227" s="569">
        <v>224</v>
      </c>
      <c r="D227" s="580"/>
      <c r="E227" s="581"/>
      <c r="F227" s="582"/>
      <c r="G227" s="583"/>
      <c r="H227" s="770"/>
      <c r="I227" s="773"/>
      <c r="J227" s="776"/>
      <c r="K227" s="779"/>
    </row>
    <row r="228" spans="3:11" x14ac:dyDescent="0.2">
      <c r="C228" s="569">
        <v>225</v>
      </c>
      <c r="D228" s="580"/>
      <c r="E228" s="581"/>
      <c r="F228" s="582"/>
      <c r="G228" s="583"/>
      <c r="H228" s="770"/>
      <c r="I228" s="773"/>
      <c r="J228" s="776"/>
      <c r="K228" s="779"/>
    </row>
    <row r="229" spans="3:11" x14ac:dyDescent="0.2">
      <c r="C229" s="569">
        <v>226</v>
      </c>
      <c r="D229" s="580"/>
      <c r="E229" s="581"/>
      <c r="F229" s="582"/>
      <c r="G229" s="583"/>
      <c r="H229" s="770"/>
      <c r="I229" s="773"/>
      <c r="J229" s="776"/>
      <c r="K229" s="779"/>
    </row>
    <row r="230" spans="3:11" x14ac:dyDescent="0.2">
      <c r="C230" s="569">
        <v>227</v>
      </c>
      <c r="D230" s="580"/>
      <c r="E230" s="581"/>
      <c r="F230" s="582"/>
      <c r="G230" s="583"/>
      <c r="H230" s="770"/>
      <c r="I230" s="773"/>
      <c r="J230" s="776"/>
      <c r="K230" s="779"/>
    </row>
    <row r="231" spans="3:11" x14ac:dyDescent="0.2">
      <c r="C231" s="569">
        <v>228</v>
      </c>
      <c r="D231" s="580"/>
      <c r="E231" s="581"/>
      <c r="F231" s="582"/>
      <c r="G231" s="583"/>
      <c r="H231" s="770"/>
      <c r="I231" s="773"/>
      <c r="J231" s="776"/>
      <c r="K231" s="779"/>
    </row>
    <row r="232" spans="3:11" x14ac:dyDescent="0.2">
      <c r="C232" s="569">
        <v>229</v>
      </c>
      <c r="D232" s="580"/>
      <c r="E232" s="581"/>
      <c r="F232" s="582"/>
      <c r="G232" s="583"/>
      <c r="H232" s="770"/>
      <c r="I232" s="773"/>
      <c r="J232" s="776"/>
      <c r="K232" s="779"/>
    </row>
    <row r="233" spans="3:11" x14ac:dyDescent="0.2">
      <c r="C233" s="569">
        <v>230</v>
      </c>
      <c r="D233" s="580"/>
      <c r="E233" s="581"/>
      <c r="F233" s="582"/>
      <c r="G233" s="583"/>
      <c r="H233" s="770"/>
      <c r="I233" s="773"/>
      <c r="J233" s="776"/>
      <c r="K233" s="779"/>
    </row>
    <row r="234" spans="3:11" x14ac:dyDescent="0.2">
      <c r="C234" s="569">
        <v>231</v>
      </c>
      <c r="D234" s="580"/>
      <c r="E234" s="581"/>
      <c r="F234" s="582"/>
      <c r="G234" s="583"/>
      <c r="H234" s="770"/>
      <c r="I234" s="773"/>
      <c r="J234" s="776"/>
      <c r="K234" s="779"/>
    </row>
    <row r="235" spans="3:11" x14ac:dyDescent="0.2">
      <c r="C235" s="569">
        <v>232</v>
      </c>
      <c r="D235" s="580"/>
      <c r="E235" s="581"/>
      <c r="F235" s="582"/>
      <c r="G235" s="583"/>
      <c r="H235" s="770"/>
      <c r="I235" s="773"/>
      <c r="J235" s="776"/>
      <c r="K235" s="779"/>
    </row>
    <row r="236" spans="3:11" x14ac:dyDescent="0.2">
      <c r="C236" s="569">
        <v>233</v>
      </c>
      <c r="D236" s="580"/>
      <c r="E236" s="581"/>
      <c r="F236" s="582"/>
      <c r="G236" s="583"/>
      <c r="H236" s="770"/>
      <c r="I236" s="773"/>
      <c r="J236" s="776"/>
      <c r="K236" s="779"/>
    </row>
    <row r="237" spans="3:11" x14ac:dyDescent="0.2">
      <c r="C237" s="569">
        <v>234</v>
      </c>
      <c r="D237" s="580"/>
      <c r="E237" s="581"/>
      <c r="F237" s="582"/>
      <c r="G237" s="583"/>
      <c r="H237" s="770"/>
      <c r="I237" s="773"/>
      <c r="J237" s="776"/>
      <c r="K237" s="779"/>
    </row>
    <row r="238" spans="3:11" x14ac:dyDescent="0.2">
      <c r="C238" s="569">
        <v>235</v>
      </c>
      <c r="D238" s="580"/>
      <c r="E238" s="581"/>
      <c r="F238" s="582"/>
      <c r="G238" s="583"/>
      <c r="H238" s="770"/>
      <c r="I238" s="773"/>
      <c r="J238" s="776"/>
      <c r="K238" s="779"/>
    </row>
    <row r="239" spans="3:11" x14ac:dyDescent="0.2">
      <c r="C239" s="569">
        <v>236</v>
      </c>
      <c r="D239" s="580"/>
      <c r="E239" s="581"/>
      <c r="F239" s="582"/>
      <c r="G239" s="583"/>
      <c r="H239" s="770"/>
      <c r="I239" s="773"/>
      <c r="J239" s="776"/>
      <c r="K239" s="779"/>
    </row>
    <row r="240" spans="3:11" x14ac:dyDescent="0.2">
      <c r="C240" s="569">
        <v>237</v>
      </c>
      <c r="D240" s="580"/>
      <c r="E240" s="581"/>
      <c r="F240" s="582"/>
      <c r="G240" s="583"/>
      <c r="H240" s="770"/>
      <c r="I240" s="773"/>
      <c r="J240" s="776"/>
      <c r="K240" s="779"/>
    </row>
    <row r="241" spans="3:11" x14ac:dyDescent="0.2">
      <c r="C241" s="569">
        <v>238</v>
      </c>
      <c r="D241" s="580"/>
      <c r="E241" s="581"/>
      <c r="F241" s="582"/>
      <c r="G241" s="583"/>
      <c r="H241" s="770"/>
      <c r="I241" s="773"/>
      <c r="J241" s="776"/>
      <c r="K241" s="779"/>
    </row>
    <row r="242" spans="3:11" x14ac:dyDescent="0.2">
      <c r="C242" s="569">
        <v>239</v>
      </c>
      <c r="D242" s="580"/>
      <c r="E242" s="581"/>
      <c r="F242" s="582"/>
      <c r="G242" s="583"/>
      <c r="H242" s="770"/>
      <c r="I242" s="773"/>
      <c r="J242" s="776"/>
      <c r="K242" s="779"/>
    </row>
    <row r="243" spans="3:11" x14ac:dyDescent="0.2">
      <c r="C243" s="569">
        <v>240</v>
      </c>
      <c r="D243" s="580"/>
      <c r="E243" s="581"/>
      <c r="F243" s="582"/>
      <c r="G243" s="583"/>
      <c r="H243" s="770"/>
      <c r="I243" s="773"/>
      <c r="J243" s="776"/>
      <c r="K243" s="779"/>
    </row>
    <row r="244" spans="3:11" x14ac:dyDescent="0.2">
      <c r="C244" s="569">
        <v>241</v>
      </c>
      <c r="D244" s="580"/>
      <c r="E244" s="581"/>
      <c r="F244" s="582"/>
      <c r="G244" s="583"/>
      <c r="H244" s="770"/>
      <c r="I244" s="773"/>
      <c r="J244" s="776"/>
      <c r="K244" s="779"/>
    </row>
    <row r="245" spans="3:11" x14ac:dyDescent="0.2">
      <c r="C245" s="569">
        <v>242</v>
      </c>
      <c r="D245" s="580"/>
      <c r="E245" s="581"/>
      <c r="F245" s="582"/>
      <c r="G245" s="583"/>
      <c r="H245" s="770"/>
      <c r="I245" s="773"/>
      <c r="J245" s="776"/>
      <c r="K245" s="779"/>
    </row>
    <row r="246" spans="3:11" x14ac:dyDescent="0.2">
      <c r="C246" s="569">
        <v>243</v>
      </c>
      <c r="D246" s="580"/>
      <c r="E246" s="581"/>
      <c r="F246" s="582"/>
      <c r="G246" s="583"/>
      <c r="H246" s="770"/>
      <c r="I246" s="773"/>
      <c r="J246" s="776"/>
      <c r="K246" s="779"/>
    </row>
    <row r="247" spans="3:11" x14ac:dyDescent="0.2">
      <c r="C247" s="569">
        <v>244</v>
      </c>
      <c r="D247" s="580"/>
      <c r="E247" s="581"/>
      <c r="F247" s="582"/>
      <c r="G247" s="583"/>
      <c r="H247" s="770"/>
      <c r="I247" s="773"/>
      <c r="J247" s="776"/>
      <c r="K247" s="779"/>
    </row>
    <row r="248" spans="3:11" x14ac:dyDescent="0.2">
      <c r="C248" s="569">
        <v>245</v>
      </c>
      <c r="D248" s="580"/>
      <c r="E248" s="581"/>
      <c r="F248" s="582"/>
      <c r="G248" s="583"/>
      <c r="H248" s="770"/>
      <c r="I248" s="773"/>
      <c r="J248" s="776"/>
      <c r="K248" s="779"/>
    </row>
    <row r="249" spans="3:11" x14ac:dyDescent="0.2">
      <c r="C249" s="569">
        <v>246</v>
      </c>
      <c r="D249" s="580"/>
      <c r="E249" s="581"/>
      <c r="F249" s="582"/>
      <c r="G249" s="583"/>
      <c r="H249" s="770"/>
      <c r="I249" s="773"/>
      <c r="J249" s="776"/>
      <c r="K249" s="779"/>
    </row>
    <row r="250" spans="3:11" x14ac:dyDescent="0.2">
      <c r="C250" s="569">
        <v>247</v>
      </c>
      <c r="D250" s="580"/>
      <c r="E250" s="581"/>
      <c r="F250" s="582"/>
      <c r="G250" s="583"/>
      <c r="H250" s="770"/>
      <c r="I250" s="773"/>
      <c r="J250" s="776"/>
      <c r="K250" s="779"/>
    </row>
    <row r="251" spans="3:11" x14ac:dyDescent="0.2">
      <c r="C251" s="569">
        <v>248</v>
      </c>
      <c r="D251" s="580"/>
      <c r="E251" s="581"/>
      <c r="F251" s="582"/>
      <c r="G251" s="583"/>
      <c r="H251" s="770"/>
      <c r="I251" s="773"/>
      <c r="J251" s="776"/>
      <c r="K251" s="779"/>
    </row>
    <row r="252" spans="3:11" x14ac:dyDescent="0.2">
      <c r="C252" s="569">
        <v>249</v>
      </c>
      <c r="D252" s="580"/>
      <c r="E252" s="581"/>
      <c r="F252" s="582"/>
      <c r="G252" s="583"/>
      <c r="H252" s="770"/>
      <c r="I252" s="773"/>
      <c r="J252" s="776"/>
      <c r="K252" s="779"/>
    </row>
    <row r="253" spans="3:11" x14ac:dyDescent="0.2">
      <c r="C253" s="569">
        <v>250</v>
      </c>
      <c r="D253" s="580"/>
      <c r="E253" s="581"/>
      <c r="F253" s="582"/>
      <c r="G253" s="583"/>
      <c r="H253" s="770"/>
      <c r="I253" s="773"/>
      <c r="J253" s="776"/>
      <c r="K253" s="779"/>
    </row>
    <row r="254" spans="3:11" x14ac:dyDescent="0.2">
      <c r="C254" s="569">
        <v>251</v>
      </c>
      <c r="D254" s="580"/>
      <c r="E254" s="581"/>
      <c r="F254" s="582"/>
      <c r="G254" s="583"/>
      <c r="H254" s="770"/>
      <c r="I254" s="773"/>
      <c r="J254" s="776"/>
      <c r="K254" s="779"/>
    </row>
    <row r="255" spans="3:11" x14ac:dyDescent="0.2">
      <c r="C255" s="569">
        <v>252</v>
      </c>
      <c r="D255" s="580"/>
      <c r="E255" s="581"/>
      <c r="F255" s="582"/>
      <c r="G255" s="583"/>
      <c r="H255" s="770"/>
      <c r="I255" s="773"/>
      <c r="J255" s="776"/>
      <c r="K255" s="779"/>
    </row>
    <row r="256" spans="3:11" x14ac:dyDescent="0.2">
      <c r="C256" s="569">
        <v>253</v>
      </c>
      <c r="D256" s="580"/>
      <c r="E256" s="581"/>
      <c r="F256" s="582"/>
      <c r="G256" s="583"/>
      <c r="H256" s="770"/>
      <c r="I256" s="773"/>
      <c r="J256" s="776"/>
      <c r="K256" s="779"/>
    </row>
    <row r="257" spans="3:11" x14ac:dyDescent="0.2">
      <c r="C257" s="569">
        <v>254</v>
      </c>
      <c r="D257" s="580"/>
      <c r="E257" s="581"/>
      <c r="F257" s="582"/>
      <c r="G257" s="583"/>
      <c r="H257" s="770"/>
      <c r="I257" s="773"/>
      <c r="J257" s="776"/>
      <c r="K257" s="779"/>
    </row>
    <row r="258" spans="3:11" x14ac:dyDescent="0.2">
      <c r="C258" s="569">
        <v>255</v>
      </c>
      <c r="D258" s="580"/>
      <c r="E258" s="581"/>
      <c r="F258" s="582"/>
      <c r="G258" s="583"/>
      <c r="H258" s="770"/>
      <c r="I258" s="773"/>
      <c r="J258" s="776"/>
      <c r="K258" s="779"/>
    </row>
    <row r="259" spans="3:11" x14ac:dyDescent="0.2">
      <c r="C259" s="569">
        <v>256</v>
      </c>
      <c r="D259" s="580"/>
      <c r="E259" s="581"/>
      <c r="F259" s="582"/>
      <c r="G259" s="583"/>
      <c r="H259" s="770"/>
      <c r="I259" s="773"/>
      <c r="J259" s="776"/>
      <c r="K259" s="779"/>
    </row>
    <row r="260" spans="3:11" x14ac:dyDescent="0.2">
      <c r="C260" s="569">
        <v>257</v>
      </c>
      <c r="D260" s="580"/>
      <c r="E260" s="581"/>
      <c r="F260" s="582"/>
      <c r="G260" s="583"/>
      <c r="H260" s="770"/>
      <c r="I260" s="773"/>
      <c r="J260" s="776"/>
      <c r="K260" s="779"/>
    </row>
    <row r="261" spans="3:11" x14ac:dyDescent="0.2">
      <c r="C261" s="569">
        <v>258</v>
      </c>
      <c r="D261" s="580"/>
      <c r="E261" s="581"/>
      <c r="F261" s="582"/>
      <c r="G261" s="583"/>
      <c r="H261" s="770"/>
      <c r="I261" s="773"/>
      <c r="J261" s="776"/>
      <c r="K261" s="779"/>
    </row>
    <row r="262" spans="3:11" x14ac:dyDescent="0.2">
      <c r="C262" s="569">
        <v>259</v>
      </c>
      <c r="D262" s="580"/>
      <c r="E262" s="581"/>
      <c r="F262" s="582"/>
      <c r="G262" s="583"/>
      <c r="H262" s="770"/>
      <c r="I262" s="773"/>
      <c r="J262" s="776"/>
      <c r="K262" s="779"/>
    </row>
    <row r="263" spans="3:11" x14ac:dyDescent="0.2">
      <c r="C263" s="569">
        <v>260</v>
      </c>
      <c r="D263" s="580"/>
      <c r="E263" s="581"/>
      <c r="F263" s="582"/>
      <c r="G263" s="583"/>
      <c r="H263" s="770"/>
      <c r="I263" s="773"/>
      <c r="J263" s="776"/>
      <c r="K263" s="779"/>
    </row>
    <row r="264" spans="3:11" x14ac:dyDescent="0.2">
      <c r="C264" s="569">
        <v>261</v>
      </c>
      <c r="D264" s="580"/>
      <c r="E264" s="581"/>
      <c r="F264" s="582"/>
      <c r="G264" s="583"/>
      <c r="H264" s="770"/>
      <c r="I264" s="773"/>
      <c r="J264" s="776"/>
      <c r="K264" s="779"/>
    </row>
    <row r="265" spans="3:11" x14ac:dyDescent="0.2">
      <c r="C265" s="569">
        <v>262</v>
      </c>
      <c r="D265" s="580"/>
      <c r="E265" s="581"/>
      <c r="F265" s="582"/>
      <c r="G265" s="583"/>
      <c r="H265" s="770"/>
      <c r="I265" s="773"/>
      <c r="J265" s="776"/>
      <c r="K265" s="779"/>
    </row>
    <row r="266" spans="3:11" x14ac:dyDescent="0.2">
      <c r="C266" s="569">
        <v>263</v>
      </c>
      <c r="D266" s="580"/>
      <c r="E266" s="581"/>
      <c r="F266" s="582"/>
      <c r="G266" s="583"/>
      <c r="H266" s="770"/>
      <c r="I266" s="773"/>
      <c r="J266" s="776"/>
      <c r="K266" s="779"/>
    </row>
    <row r="267" spans="3:11" x14ac:dyDescent="0.2">
      <c r="C267" s="569">
        <v>264</v>
      </c>
      <c r="D267" s="580"/>
      <c r="E267" s="581"/>
      <c r="F267" s="582"/>
      <c r="G267" s="583"/>
      <c r="H267" s="770"/>
      <c r="I267" s="773"/>
      <c r="J267" s="776"/>
      <c r="K267" s="779"/>
    </row>
    <row r="268" spans="3:11" x14ac:dyDescent="0.2">
      <c r="C268" s="569">
        <v>265</v>
      </c>
      <c r="D268" s="580"/>
      <c r="E268" s="581"/>
      <c r="F268" s="582"/>
      <c r="G268" s="583"/>
      <c r="H268" s="770"/>
      <c r="I268" s="773"/>
      <c r="J268" s="776"/>
      <c r="K268" s="779"/>
    </row>
    <row r="269" spans="3:11" x14ac:dyDescent="0.2">
      <c r="C269" s="569">
        <v>266</v>
      </c>
      <c r="D269" s="580"/>
      <c r="E269" s="581"/>
      <c r="F269" s="582"/>
      <c r="G269" s="583"/>
      <c r="H269" s="770"/>
      <c r="I269" s="773"/>
      <c r="J269" s="776"/>
      <c r="K269" s="779"/>
    </row>
    <row r="270" spans="3:11" x14ac:dyDescent="0.2">
      <c r="C270" s="569">
        <v>267</v>
      </c>
      <c r="D270" s="580"/>
      <c r="E270" s="581"/>
      <c r="F270" s="582"/>
      <c r="G270" s="583"/>
      <c r="H270" s="770"/>
      <c r="I270" s="773"/>
      <c r="J270" s="776"/>
      <c r="K270" s="779"/>
    </row>
    <row r="271" spans="3:11" x14ac:dyDescent="0.2">
      <c r="C271" s="569">
        <v>268</v>
      </c>
      <c r="D271" s="580"/>
      <c r="E271" s="581"/>
      <c r="F271" s="582"/>
      <c r="G271" s="583"/>
      <c r="H271" s="770"/>
      <c r="I271" s="773"/>
      <c r="J271" s="776"/>
      <c r="K271" s="779"/>
    </row>
    <row r="272" spans="3:11" x14ac:dyDescent="0.2">
      <c r="C272" s="569">
        <v>269</v>
      </c>
      <c r="D272" s="580"/>
      <c r="E272" s="581"/>
      <c r="F272" s="582"/>
      <c r="G272" s="583"/>
      <c r="H272" s="770"/>
      <c r="I272" s="773"/>
      <c r="J272" s="776"/>
      <c r="K272" s="779"/>
    </row>
    <row r="273" spans="3:11" x14ac:dyDescent="0.2">
      <c r="C273" s="569">
        <v>270</v>
      </c>
      <c r="D273" s="580"/>
      <c r="E273" s="581"/>
      <c r="F273" s="582"/>
      <c r="G273" s="583"/>
      <c r="H273" s="770"/>
      <c r="I273" s="773"/>
      <c r="J273" s="776"/>
      <c r="K273" s="779"/>
    </row>
    <row r="274" spans="3:11" x14ac:dyDescent="0.2">
      <c r="C274" s="569">
        <v>271</v>
      </c>
      <c r="D274" s="580"/>
      <c r="E274" s="581"/>
      <c r="F274" s="582"/>
      <c r="G274" s="583"/>
      <c r="H274" s="770"/>
      <c r="I274" s="773"/>
      <c r="J274" s="776"/>
      <c r="K274" s="779"/>
    </row>
    <row r="275" spans="3:11" x14ac:dyDescent="0.2">
      <c r="C275" s="569">
        <v>272</v>
      </c>
      <c r="D275" s="580"/>
      <c r="E275" s="581"/>
      <c r="F275" s="582"/>
      <c r="G275" s="583"/>
      <c r="H275" s="770"/>
      <c r="I275" s="773"/>
      <c r="J275" s="776"/>
      <c r="K275" s="779"/>
    </row>
    <row r="276" spans="3:11" x14ac:dyDescent="0.2">
      <c r="C276" s="569">
        <v>273</v>
      </c>
      <c r="D276" s="580"/>
      <c r="E276" s="581"/>
      <c r="F276" s="582"/>
      <c r="G276" s="583"/>
      <c r="H276" s="770"/>
      <c r="I276" s="773"/>
      <c r="J276" s="776"/>
      <c r="K276" s="779"/>
    </row>
    <row r="277" spans="3:11" x14ac:dyDescent="0.2">
      <c r="C277" s="569">
        <v>274</v>
      </c>
      <c r="D277" s="580"/>
      <c r="E277" s="581"/>
      <c r="F277" s="582"/>
      <c r="G277" s="583"/>
      <c r="H277" s="770"/>
      <c r="I277" s="773"/>
      <c r="J277" s="776"/>
      <c r="K277" s="779"/>
    </row>
    <row r="278" spans="3:11" x14ac:dyDescent="0.2">
      <c r="C278" s="569">
        <v>275</v>
      </c>
      <c r="D278" s="580"/>
      <c r="E278" s="581"/>
      <c r="F278" s="582"/>
      <c r="G278" s="583"/>
      <c r="H278" s="770"/>
      <c r="I278" s="773"/>
      <c r="J278" s="776"/>
      <c r="K278" s="779"/>
    </row>
    <row r="279" spans="3:11" x14ac:dyDescent="0.2">
      <c r="C279" s="569">
        <v>276</v>
      </c>
      <c r="D279" s="580"/>
      <c r="E279" s="581"/>
      <c r="F279" s="582"/>
      <c r="G279" s="583"/>
      <c r="H279" s="770"/>
      <c r="I279" s="773"/>
      <c r="J279" s="776"/>
      <c r="K279" s="779"/>
    </row>
    <row r="280" spans="3:11" x14ac:dyDescent="0.2">
      <c r="C280" s="569">
        <v>277</v>
      </c>
      <c r="D280" s="580"/>
      <c r="E280" s="581"/>
      <c r="F280" s="582"/>
      <c r="G280" s="583"/>
      <c r="H280" s="770"/>
      <c r="I280" s="773"/>
      <c r="J280" s="776"/>
      <c r="K280" s="779"/>
    </row>
    <row r="281" spans="3:11" x14ac:dyDescent="0.2">
      <c r="C281" s="569">
        <v>278</v>
      </c>
      <c r="D281" s="580"/>
      <c r="E281" s="581"/>
      <c r="F281" s="582"/>
      <c r="G281" s="583"/>
      <c r="H281" s="770"/>
      <c r="I281" s="773"/>
      <c r="J281" s="776"/>
      <c r="K281" s="779"/>
    </row>
    <row r="282" spans="3:11" x14ac:dyDescent="0.2">
      <c r="C282" s="569">
        <v>279</v>
      </c>
      <c r="D282" s="580"/>
      <c r="E282" s="581"/>
      <c r="F282" s="582"/>
      <c r="G282" s="583"/>
      <c r="H282" s="770"/>
      <c r="I282" s="773"/>
      <c r="J282" s="776"/>
      <c r="K282" s="779"/>
    </row>
    <row r="283" spans="3:11" x14ac:dyDescent="0.2">
      <c r="C283" s="569">
        <v>280</v>
      </c>
      <c r="D283" s="580"/>
      <c r="E283" s="581"/>
      <c r="F283" s="582"/>
      <c r="G283" s="583"/>
      <c r="H283" s="770"/>
      <c r="I283" s="773"/>
      <c r="J283" s="776"/>
      <c r="K283" s="779"/>
    </row>
    <row r="284" spans="3:11" x14ac:dyDescent="0.2">
      <c r="C284" s="569">
        <v>281</v>
      </c>
      <c r="D284" s="580"/>
      <c r="E284" s="581"/>
      <c r="F284" s="582"/>
      <c r="G284" s="583"/>
      <c r="H284" s="770"/>
      <c r="I284" s="773"/>
      <c r="J284" s="776"/>
      <c r="K284" s="779"/>
    </row>
    <row r="285" spans="3:11" x14ac:dyDescent="0.2">
      <c r="C285" s="569">
        <v>282</v>
      </c>
      <c r="D285" s="580"/>
      <c r="E285" s="581"/>
      <c r="F285" s="582"/>
      <c r="G285" s="583"/>
      <c r="H285" s="770"/>
      <c r="I285" s="773"/>
      <c r="J285" s="776"/>
      <c r="K285" s="779"/>
    </row>
    <row r="286" spans="3:11" x14ac:dyDescent="0.2">
      <c r="C286" s="569">
        <v>283</v>
      </c>
      <c r="D286" s="580"/>
      <c r="E286" s="581"/>
      <c r="F286" s="582"/>
      <c r="G286" s="583"/>
      <c r="H286" s="770"/>
      <c r="I286" s="773"/>
      <c r="J286" s="776"/>
      <c r="K286" s="779"/>
    </row>
    <row r="287" spans="3:11" x14ac:dyDescent="0.2">
      <c r="C287" s="569">
        <v>284</v>
      </c>
      <c r="D287" s="580"/>
      <c r="E287" s="581"/>
      <c r="F287" s="582"/>
      <c r="G287" s="583"/>
      <c r="H287" s="770"/>
      <c r="I287" s="773"/>
      <c r="J287" s="776"/>
      <c r="K287" s="779"/>
    </row>
    <row r="288" spans="3:11" x14ac:dyDescent="0.2">
      <c r="C288" s="569">
        <v>285</v>
      </c>
      <c r="D288" s="580"/>
      <c r="E288" s="581"/>
      <c r="F288" s="582"/>
      <c r="G288" s="583"/>
      <c r="H288" s="770"/>
      <c r="I288" s="773"/>
      <c r="J288" s="776"/>
      <c r="K288" s="779"/>
    </row>
    <row r="289" spans="3:11" x14ac:dyDescent="0.2">
      <c r="C289" s="569">
        <v>286</v>
      </c>
      <c r="D289" s="580"/>
      <c r="E289" s="581"/>
      <c r="F289" s="582"/>
      <c r="G289" s="583"/>
      <c r="H289" s="770"/>
      <c r="I289" s="773"/>
      <c r="J289" s="776"/>
      <c r="K289" s="779"/>
    </row>
    <row r="290" spans="3:11" x14ac:dyDescent="0.2">
      <c r="C290" s="569">
        <v>287</v>
      </c>
      <c r="D290" s="580"/>
      <c r="E290" s="581"/>
      <c r="F290" s="582"/>
      <c r="G290" s="583"/>
      <c r="H290" s="770"/>
      <c r="I290" s="773"/>
      <c r="J290" s="776"/>
      <c r="K290" s="779"/>
    </row>
    <row r="291" spans="3:11" x14ac:dyDescent="0.2">
      <c r="C291" s="569">
        <v>288</v>
      </c>
      <c r="D291" s="580"/>
      <c r="E291" s="581"/>
      <c r="F291" s="582"/>
      <c r="G291" s="583"/>
      <c r="H291" s="770"/>
      <c r="I291" s="773"/>
      <c r="J291" s="776"/>
      <c r="K291" s="779"/>
    </row>
    <row r="292" spans="3:11" x14ac:dyDescent="0.2">
      <c r="C292" s="569">
        <v>289</v>
      </c>
      <c r="D292" s="580"/>
      <c r="E292" s="581"/>
      <c r="F292" s="582"/>
      <c r="G292" s="583"/>
      <c r="H292" s="770"/>
      <c r="I292" s="773"/>
      <c r="J292" s="776"/>
      <c r="K292" s="779"/>
    </row>
    <row r="293" spans="3:11" x14ac:dyDescent="0.2">
      <c r="C293" s="569">
        <v>290</v>
      </c>
      <c r="D293" s="580"/>
      <c r="E293" s="581"/>
      <c r="F293" s="582"/>
      <c r="G293" s="583"/>
      <c r="H293" s="770"/>
      <c r="I293" s="773"/>
      <c r="J293" s="776"/>
      <c r="K293" s="779"/>
    </row>
    <row r="294" spans="3:11" x14ac:dyDescent="0.2">
      <c r="C294" s="569">
        <v>291</v>
      </c>
      <c r="D294" s="580"/>
      <c r="E294" s="581"/>
      <c r="F294" s="582"/>
      <c r="G294" s="583"/>
      <c r="H294" s="770"/>
      <c r="I294" s="773"/>
      <c r="J294" s="776"/>
      <c r="K294" s="779"/>
    </row>
    <row r="295" spans="3:11" x14ac:dyDescent="0.2">
      <c r="C295" s="569">
        <v>292</v>
      </c>
      <c r="D295" s="580"/>
      <c r="E295" s="581"/>
      <c r="F295" s="582"/>
      <c r="G295" s="583"/>
      <c r="H295" s="770"/>
      <c r="I295" s="773"/>
      <c r="J295" s="776"/>
      <c r="K295" s="779"/>
    </row>
    <row r="296" spans="3:11" x14ac:dyDescent="0.2">
      <c r="C296" s="569">
        <v>293</v>
      </c>
      <c r="D296" s="580"/>
      <c r="E296" s="581"/>
      <c r="F296" s="582"/>
      <c r="G296" s="583"/>
      <c r="H296" s="770"/>
      <c r="I296" s="773"/>
      <c r="J296" s="776"/>
      <c r="K296" s="779"/>
    </row>
    <row r="297" spans="3:11" x14ac:dyDescent="0.2">
      <c r="C297" s="569">
        <v>294</v>
      </c>
      <c r="D297" s="580"/>
      <c r="E297" s="581"/>
      <c r="F297" s="582"/>
      <c r="G297" s="583"/>
      <c r="H297" s="770"/>
      <c r="I297" s="773"/>
      <c r="J297" s="776"/>
      <c r="K297" s="779"/>
    </row>
    <row r="298" spans="3:11" x14ac:dyDescent="0.2">
      <c r="C298" s="569">
        <v>295</v>
      </c>
      <c r="D298" s="580"/>
      <c r="E298" s="581"/>
      <c r="F298" s="582"/>
      <c r="G298" s="583"/>
      <c r="H298" s="770"/>
      <c r="I298" s="773"/>
      <c r="J298" s="776"/>
      <c r="K298" s="779"/>
    </row>
    <row r="299" spans="3:11" x14ac:dyDescent="0.2">
      <c r="C299" s="569">
        <v>296</v>
      </c>
      <c r="D299" s="580"/>
      <c r="E299" s="581"/>
      <c r="F299" s="582"/>
      <c r="G299" s="583"/>
      <c r="H299" s="770"/>
      <c r="I299" s="773"/>
      <c r="J299" s="776"/>
      <c r="K299" s="779"/>
    </row>
    <row r="300" spans="3:11" x14ac:dyDescent="0.2">
      <c r="C300" s="569">
        <v>297</v>
      </c>
      <c r="D300" s="580"/>
      <c r="E300" s="581"/>
      <c r="F300" s="582"/>
      <c r="G300" s="583"/>
      <c r="H300" s="770"/>
      <c r="I300" s="773"/>
      <c r="J300" s="776"/>
      <c r="K300" s="779"/>
    </row>
    <row r="301" spans="3:11" x14ac:dyDescent="0.2">
      <c r="C301" s="569">
        <v>298</v>
      </c>
      <c r="D301" s="580"/>
      <c r="E301" s="581"/>
      <c r="F301" s="582"/>
      <c r="G301" s="583"/>
      <c r="H301" s="770"/>
      <c r="I301" s="773"/>
      <c r="J301" s="776"/>
      <c r="K301" s="779"/>
    </row>
    <row r="302" spans="3:11" x14ac:dyDescent="0.2">
      <c r="C302" s="569">
        <v>299</v>
      </c>
      <c r="D302" s="580"/>
      <c r="E302" s="581"/>
      <c r="F302" s="582"/>
      <c r="G302" s="583"/>
      <c r="H302" s="770"/>
      <c r="I302" s="773"/>
      <c r="J302" s="776"/>
      <c r="K302" s="779"/>
    </row>
    <row r="303" spans="3:11" x14ac:dyDescent="0.2">
      <c r="C303" s="569">
        <v>300</v>
      </c>
      <c r="D303" s="580"/>
      <c r="E303" s="581"/>
      <c r="F303" s="582"/>
      <c r="G303" s="583"/>
      <c r="H303" s="770"/>
      <c r="I303" s="773"/>
      <c r="J303" s="776"/>
      <c r="K303" s="779"/>
    </row>
    <row r="304" spans="3:11" x14ac:dyDescent="0.2">
      <c r="C304" s="569">
        <v>301</v>
      </c>
      <c r="D304" s="580"/>
      <c r="E304" s="581"/>
      <c r="F304" s="582"/>
      <c r="G304" s="583"/>
      <c r="H304" s="770"/>
      <c r="I304" s="773"/>
      <c r="J304" s="776"/>
      <c r="K304" s="779"/>
    </row>
    <row r="305" spans="3:11" x14ac:dyDescent="0.2">
      <c r="C305" s="569">
        <v>302</v>
      </c>
      <c r="D305" s="580"/>
      <c r="E305" s="581"/>
      <c r="F305" s="582"/>
      <c r="G305" s="583"/>
      <c r="H305" s="770"/>
      <c r="I305" s="773"/>
      <c r="J305" s="776"/>
      <c r="K305" s="779"/>
    </row>
    <row r="306" spans="3:11" x14ac:dyDescent="0.2">
      <c r="C306" s="569">
        <v>303</v>
      </c>
      <c r="D306" s="580"/>
      <c r="E306" s="581"/>
      <c r="F306" s="582"/>
      <c r="G306" s="583"/>
      <c r="H306" s="770"/>
      <c r="I306" s="773"/>
      <c r="J306" s="776"/>
      <c r="K306" s="779"/>
    </row>
    <row r="307" spans="3:11" x14ac:dyDescent="0.2">
      <c r="C307" s="569">
        <v>304</v>
      </c>
      <c r="D307" s="580"/>
      <c r="E307" s="581"/>
      <c r="F307" s="582"/>
      <c r="G307" s="583"/>
      <c r="H307" s="770"/>
      <c r="I307" s="773"/>
      <c r="J307" s="776"/>
      <c r="K307" s="779"/>
    </row>
    <row r="308" spans="3:11" x14ac:dyDescent="0.2">
      <c r="C308" s="569">
        <v>305</v>
      </c>
      <c r="D308" s="580"/>
      <c r="E308" s="581"/>
      <c r="F308" s="582"/>
      <c r="G308" s="583"/>
      <c r="H308" s="770"/>
      <c r="I308" s="773"/>
      <c r="J308" s="776"/>
      <c r="K308" s="779"/>
    </row>
    <row r="309" spans="3:11" x14ac:dyDescent="0.2">
      <c r="C309" s="569">
        <v>306</v>
      </c>
      <c r="D309" s="580"/>
      <c r="E309" s="581"/>
      <c r="F309" s="582"/>
      <c r="G309" s="583"/>
      <c r="H309" s="770"/>
      <c r="I309" s="773"/>
      <c r="J309" s="776"/>
      <c r="K309" s="779"/>
    </row>
    <row r="310" spans="3:11" x14ac:dyDescent="0.2">
      <c r="C310" s="569">
        <v>307</v>
      </c>
      <c r="D310" s="580"/>
      <c r="E310" s="581"/>
      <c r="F310" s="582"/>
      <c r="G310" s="583"/>
      <c r="H310" s="770"/>
      <c r="I310" s="773"/>
      <c r="J310" s="776"/>
      <c r="K310" s="779"/>
    </row>
    <row r="311" spans="3:11" x14ac:dyDescent="0.2">
      <c r="C311" s="569">
        <v>308</v>
      </c>
      <c r="D311" s="580"/>
      <c r="E311" s="581"/>
      <c r="F311" s="582"/>
      <c r="G311" s="583"/>
      <c r="H311" s="770"/>
      <c r="I311" s="773"/>
      <c r="J311" s="776"/>
      <c r="K311" s="779"/>
    </row>
    <row r="312" spans="3:11" x14ac:dyDescent="0.2">
      <c r="C312" s="569">
        <v>309</v>
      </c>
      <c r="D312" s="580"/>
      <c r="E312" s="581"/>
      <c r="F312" s="582"/>
      <c r="G312" s="583"/>
      <c r="H312" s="770"/>
      <c r="I312" s="773"/>
      <c r="J312" s="776"/>
      <c r="K312" s="779"/>
    </row>
    <row r="313" spans="3:11" x14ac:dyDescent="0.2">
      <c r="C313" s="569">
        <v>310</v>
      </c>
      <c r="D313" s="580"/>
      <c r="E313" s="581"/>
      <c r="F313" s="582"/>
      <c r="G313" s="583"/>
      <c r="H313" s="770"/>
      <c r="I313" s="773"/>
      <c r="J313" s="776"/>
      <c r="K313" s="779"/>
    </row>
    <row r="314" spans="3:11" x14ac:dyDescent="0.2">
      <c r="C314" s="569">
        <v>311</v>
      </c>
      <c r="D314" s="580"/>
      <c r="E314" s="581"/>
      <c r="F314" s="582"/>
      <c r="G314" s="583"/>
      <c r="H314" s="770"/>
      <c r="I314" s="773"/>
      <c r="J314" s="776"/>
      <c r="K314" s="779"/>
    </row>
    <row r="315" spans="3:11" x14ac:dyDescent="0.2">
      <c r="C315" s="569">
        <v>312</v>
      </c>
      <c r="D315" s="580"/>
      <c r="E315" s="581"/>
      <c r="F315" s="582"/>
      <c r="G315" s="583"/>
      <c r="H315" s="770"/>
      <c r="I315" s="773"/>
      <c r="J315" s="776"/>
      <c r="K315" s="779"/>
    </row>
    <row r="316" spans="3:11" x14ac:dyDescent="0.2">
      <c r="C316" s="569">
        <v>313</v>
      </c>
      <c r="D316" s="580"/>
      <c r="E316" s="581"/>
      <c r="F316" s="582"/>
      <c r="G316" s="583"/>
      <c r="H316" s="770"/>
      <c r="I316" s="773"/>
      <c r="J316" s="776"/>
      <c r="K316" s="779"/>
    </row>
    <row r="317" spans="3:11" x14ac:dyDescent="0.2">
      <c r="C317" s="569">
        <v>314</v>
      </c>
      <c r="D317" s="580"/>
      <c r="E317" s="581"/>
      <c r="F317" s="582"/>
      <c r="G317" s="583"/>
      <c r="H317" s="770"/>
      <c r="I317" s="773"/>
      <c r="J317" s="776"/>
      <c r="K317" s="779"/>
    </row>
    <row r="318" spans="3:11" x14ac:dyDescent="0.2">
      <c r="C318" s="569">
        <v>315</v>
      </c>
      <c r="D318" s="580"/>
      <c r="E318" s="581"/>
      <c r="F318" s="582"/>
      <c r="G318" s="583"/>
      <c r="H318" s="770"/>
      <c r="I318" s="773"/>
      <c r="J318" s="776"/>
      <c r="K318" s="779"/>
    </row>
    <row r="319" spans="3:11" x14ac:dyDescent="0.2">
      <c r="C319" s="569">
        <v>316</v>
      </c>
      <c r="D319" s="580"/>
      <c r="E319" s="581"/>
      <c r="F319" s="582"/>
      <c r="G319" s="583"/>
      <c r="H319" s="770"/>
      <c r="I319" s="773"/>
      <c r="J319" s="776"/>
      <c r="K319" s="779"/>
    </row>
    <row r="320" spans="3:11" x14ac:dyDescent="0.2">
      <c r="C320" s="569">
        <v>317</v>
      </c>
      <c r="D320" s="580"/>
      <c r="E320" s="581"/>
      <c r="F320" s="582"/>
      <c r="G320" s="583"/>
      <c r="H320" s="770"/>
      <c r="I320" s="773"/>
      <c r="J320" s="776"/>
      <c r="K320" s="779"/>
    </row>
    <row r="321" spans="3:11" x14ac:dyDescent="0.2">
      <c r="C321" s="569">
        <v>318</v>
      </c>
      <c r="D321" s="580"/>
      <c r="E321" s="581"/>
      <c r="F321" s="582"/>
      <c r="G321" s="583"/>
      <c r="H321" s="770"/>
      <c r="I321" s="773"/>
      <c r="J321" s="776"/>
      <c r="K321" s="779"/>
    </row>
    <row r="322" spans="3:11" x14ac:dyDescent="0.2">
      <c r="C322" s="569">
        <v>319</v>
      </c>
      <c r="D322" s="580"/>
      <c r="E322" s="581"/>
      <c r="F322" s="582"/>
      <c r="G322" s="583"/>
      <c r="H322" s="770"/>
      <c r="I322" s="773"/>
      <c r="J322" s="776"/>
      <c r="K322" s="779"/>
    </row>
    <row r="323" spans="3:11" x14ac:dyDescent="0.2">
      <c r="C323" s="569">
        <v>320</v>
      </c>
      <c r="D323" s="580"/>
      <c r="E323" s="581"/>
      <c r="F323" s="582"/>
      <c r="G323" s="583"/>
      <c r="H323" s="770"/>
      <c r="I323" s="773"/>
      <c r="J323" s="776"/>
      <c r="K323" s="779"/>
    </row>
    <row r="324" spans="3:11" x14ac:dyDescent="0.2">
      <c r="C324" s="569">
        <v>321</v>
      </c>
      <c r="D324" s="580"/>
      <c r="E324" s="581"/>
      <c r="F324" s="582"/>
      <c r="G324" s="583"/>
      <c r="H324" s="770"/>
      <c r="I324" s="773"/>
      <c r="J324" s="776"/>
      <c r="K324" s="779"/>
    </row>
    <row r="325" spans="3:11" x14ac:dyDescent="0.2">
      <c r="C325" s="569">
        <v>322</v>
      </c>
      <c r="D325" s="580"/>
      <c r="E325" s="581"/>
      <c r="F325" s="582"/>
      <c r="G325" s="583"/>
      <c r="H325" s="770"/>
      <c r="I325" s="773"/>
      <c r="J325" s="776"/>
      <c r="K325" s="779"/>
    </row>
    <row r="326" spans="3:11" x14ac:dyDescent="0.2">
      <c r="C326" s="569">
        <v>323</v>
      </c>
      <c r="D326" s="580"/>
      <c r="E326" s="581"/>
      <c r="F326" s="582"/>
      <c r="G326" s="583"/>
      <c r="H326" s="770"/>
      <c r="I326" s="773"/>
      <c r="J326" s="776"/>
      <c r="K326" s="779"/>
    </row>
    <row r="327" spans="3:11" x14ac:dyDescent="0.2">
      <c r="C327" s="569">
        <v>324</v>
      </c>
      <c r="D327" s="580"/>
      <c r="E327" s="581"/>
      <c r="F327" s="582"/>
      <c r="G327" s="583"/>
      <c r="H327" s="770"/>
      <c r="I327" s="773"/>
      <c r="J327" s="776"/>
      <c r="K327" s="779"/>
    </row>
    <row r="328" spans="3:11" x14ac:dyDescent="0.2">
      <c r="C328" s="569">
        <v>325</v>
      </c>
      <c r="D328" s="580"/>
      <c r="E328" s="581"/>
      <c r="F328" s="582"/>
      <c r="G328" s="583"/>
      <c r="H328" s="770"/>
      <c r="I328" s="773"/>
      <c r="J328" s="776"/>
      <c r="K328" s="779"/>
    </row>
    <row r="329" spans="3:11" x14ac:dyDescent="0.2">
      <c r="C329" s="569">
        <v>326</v>
      </c>
      <c r="D329" s="580"/>
      <c r="E329" s="581"/>
      <c r="F329" s="582"/>
      <c r="G329" s="583"/>
      <c r="H329" s="770"/>
      <c r="I329" s="773"/>
      <c r="J329" s="776"/>
      <c r="K329" s="779"/>
    </row>
    <row r="330" spans="3:11" x14ac:dyDescent="0.2">
      <c r="C330" s="569">
        <v>327</v>
      </c>
      <c r="D330" s="580"/>
      <c r="E330" s="581"/>
      <c r="F330" s="582"/>
      <c r="G330" s="583"/>
      <c r="H330" s="770"/>
      <c r="I330" s="773"/>
      <c r="J330" s="776"/>
      <c r="K330" s="779"/>
    </row>
    <row r="331" spans="3:11" x14ac:dyDescent="0.2">
      <c r="C331" s="569">
        <v>328</v>
      </c>
      <c r="D331" s="580"/>
      <c r="E331" s="581"/>
      <c r="F331" s="582"/>
      <c r="G331" s="583"/>
      <c r="H331" s="770"/>
      <c r="I331" s="773"/>
      <c r="J331" s="776"/>
      <c r="K331" s="779"/>
    </row>
    <row r="332" spans="3:11" x14ac:dyDescent="0.2">
      <c r="C332" s="569">
        <v>329</v>
      </c>
      <c r="D332" s="580"/>
      <c r="E332" s="581"/>
      <c r="F332" s="582"/>
      <c r="G332" s="583"/>
      <c r="H332" s="770"/>
      <c r="I332" s="773"/>
      <c r="J332" s="776"/>
      <c r="K332" s="779"/>
    </row>
    <row r="333" spans="3:11" x14ac:dyDescent="0.2">
      <c r="C333" s="569">
        <v>330</v>
      </c>
      <c r="D333" s="580"/>
      <c r="E333" s="581"/>
      <c r="F333" s="582"/>
      <c r="G333" s="583"/>
      <c r="H333" s="770"/>
      <c r="I333" s="773"/>
      <c r="J333" s="776"/>
      <c r="K333" s="779"/>
    </row>
    <row r="334" spans="3:11" x14ac:dyDescent="0.2">
      <c r="C334" s="569">
        <v>331</v>
      </c>
      <c r="D334" s="580"/>
      <c r="E334" s="581"/>
      <c r="F334" s="582"/>
      <c r="G334" s="583"/>
      <c r="H334" s="770"/>
      <c r="I334" s="773"/>
      <c r="J334" s="776"/>
      <c r="K334" s="779"/>
    </row>
    <row r="335" spans="3:11" x14ac:dyDescent="0.2">
      <c r="C335" s="569">
        <v>332</v>
      </c>
      <c r="D335" s="580"/>
      <c r="E335" s="581"/>
      <c r="F335" s="582"/>
      <c r="G335" s="583"/>
      <c r="H335" s="770"/>
      <c r="I335" s="773"/>
      <c r="J335" s="776"/>
      <c r="K335" s="779"/>
    </row>
    <row r="336" spans="3:11" x14ac:dyDescent="0.2">
      <c r="C336" s="569">
        <v>333</v>
      </c>
      <c r="D336" s="580"/>
      <c r="E336" s="581"/>
      <c r="F336" s="582"/>
      <c r="G336" s="583"/>
      <c r="H336" s="770"/>
      <c r="I336" s="773"/>
      <c r="J336" s="776"/>
      <c r="K336" s="779"/>
    </row>
    <row r="337" spans="3:11" x14ac:dyDescent="0.2">
      <c r="C337" s="569">
        <v>334</v>
      </c>
      <c r="D337" s="580"/>
      <c r="E337" s="581"/>
      <c r="F337" s="582"/>
      <c r="G337" s="583"/>
      <c r="H337" s="770"/>
      <c r="I337" s="773"/>
      <c r="J337" s="776"/>
      <c r="K337" s="779"/>
    </row>
    <row r="338" spans="3:11" x14ac:dyDescent="0.2">
      <c r="C338" s="569">
        <v>335</v>
      </c>
      <c r="D338" s="580"/>
      <c r="E338" s="581"/>
      <c r="F338" s="582"/>
      <c r="G338" s="583"/>
      <c r="H338" s="770"/>
      <c r="I338" s="773"/>
      <c r="J338" s="776"/>
      <c r="K338" s="779"/>
    </row>
    <row r="339" spans="3:11" x14ac:dyDescent="0.2">
      <c r="C339" s="569">
        <v>336</v>
      </c>
      <c r="D339" s="580"/>
      <c r="E339" s="581"/>
      <c r="F339" s="582"/>
      <c r="G339" s="583"/>
      <c r="H339" s="770"/>
      <c r="I339" s="773"/>
      <c r="J339" s="776"/>
      <c r="K339" s="779"/>
    </row>
    <row r="340" spans="3:11" x14ac:dyDescent="0.2">
      <c r="C340" s="569">
        <v>337</v>
      </c>
      <c r="D340" s="580"/>
      <c r="E340" s="581"/>
      <c r="F340" s="582"/>
      <c r="G340" s="583"/>
      <c r="H340" s="770"/>
      <c r="I340" s="773"/>
      <c r="J340" s="776"/>
      <c r="K340" s="779"/>
    </row>
    <row r="341" spans="3:11" x14ac:dyDescent="0.2">
      <c r="C341" s="569">
        <v>338</v>
      </c>
      <c r="D341" s="580"/>
      <c r="E341" s="581"/>
      <c r="F341" s="582"/>
      <c r="G341" s="583"/>
      <c r="H341" s="770"/>
      <c r="I341" s="773"/>
      <c r="J341" s="776"/>
      <c r="K341" s="779"/>
    </row>
    <row r="342" spans="3:11" x14ac:dyDescent="0.2">
      <c r="C342" s="569">
        <v>339</v>
      </c>
      <c r="D342" s="580"/>
      <c r="E342" s="581"/>
      <c r="F342" s="582"/>
      <c r="G342" s="583"/>
      <c r="H342" s="770"/>
      <c r="I342" s="773"/>
      <c r="J342" s="776"/>
      <c r="K342" s="779"/>
    </row>
    <row r="343" spans="3:11" x14ac:dyDescent="0.2">
      <c r="C343" s="569">
        <v>340</v>
      </c>
      <c r="D343" s="580"/>
      <c r="E343" s="581"/>
      <c r="F343" s="582"/>
      <c r="G343" s="583"/>
      <c r="H343" s="770"/>
      <c r="I343" s="773"/>
      <c r="J343" s="776"/>
      <c r="K343" s="779"/>
    </row>
    <row r="344" spans="3:11" x14ac:dyDescent="0.2">
      <c r="C344" s="569">
        <v>341</v>
      </c>
      <c r="D344" s="580"/>
      <c r="E344" s="581"/>
      <c r="F344" s="582"/>
      <c r="G344" s="583"/>
      <c r="H344" s="770"/>
      <c r="I344" s="773"/>
      <c r="J344" s="776"/>
      <c r="K344" s="779"/>
    </row>
    <row r="345" spans="3:11" x14ac:dyDescent="0.2">
      <c r="C345" s="569">
        <v>342</v>
      </c>
      <c r="D345" s="580"/>
      <c r="E345" s="581"/>
      <c r="F345" s="582"/>
      <c r="G345" s="583"/>
      <c r="H345" s="770"/>
      <c r="I345" s="773"/>
      <c r="J345" s="776"/>
      <c r="K345" s="779"/>
    </row>
    <row r="346" spans="3:11" x14ac:dyDescent="0.2">
      <c r="C346" s="569">
        <v>343</v>
      </c>
      <c r="D346" s="580"/>
      <c r="E346" s="581"/>
      <c r="F346" s="582"/>
      <c r="G346" s="583"/>
      <c r="H346" s="770"/>
      <c r="I346" s="773"/>
      <c r="J346" s="776"/>
      <c r="K346" s="779"/>
    </row>
    <row r="347" spans="3:11" x14ac:dyDescent="0.2">
      <c r="C347" s="569">
        <v>344</v>
      </c>
      <c r="D347" s="580"/>
      <c r="E347" s="581"/>
      <c r="F347" s="582"/>
      <c r="G347" s="583"/>
      <c r="H347" s="770"/>
      <c r="I347" s="773"/>
      <c r="J347" s="776"/>
      <c r="K347" s="779"/>
    </row>
    <row r="348" spans="3:11" x14ac:dyDescent="0.2">
      <c r="C348" s="569">
        <v>345</v>
      </c>
      <c r="D348" s="580"/>
      <c r="E348" s="581"/>
      <c r="F348" s="582"/>
      <c r="G348" s="583"/>
      <c r="H348" s="770"/>
      <c r="I348" s="773"/>
      <c r="J348" s="776"/>
      <c r="K348" s="779"/>
    </row>
    <row r="349" spans="3:11" x14ac:dyDescent="0.2">
      <c r="C349" s="569">
        <v>346</v>
      </c>
      <c r="D349" s="580"/>
      <c r="E349" s="581"/>
      <c r="F349" s="582"/>
      <c r="G349" s="583"/>
      <c r="H349" s="770"/>
      <c r="I349" s="773"/>
      <c r="J349" s="776"/>
      <c r="K349" s="779"/>
    </row>
    <row r="350" spans="3:11" x14ac:dyDescent="0.2">
      <c r="C350" s="569">
        <v>347</v>
      </c>
      <c r="D350" s="580"/>
      <c r="E350" s="581"/>
      <c r="F350" s="582"/>
      <c r="G350" s="583"/>
      <c r="H350" s="770"/>
      <c r="I350" s="773"/>
      <c r="J350" s="776"/>
      <c r="K350" s="779"/>
    </row>
    <row r="351" spans="3:11" x14ac:dyDescent="0.2">
      <c r="C351" s="569">
        <v>348</v>
      </c>
      <c r="D351" s="580"/>
      <c r="E351" s="581"/>
      <c r="F351" s="582"/>
      <c r="G351" s="583"/>
      <c r="H351" s="770"/>
      <c r="I351" s="773"/>
      <c r="J351" s="776"/>
      <c r="K351" s="779"/>
    </row>
    <row r="352" spans="3:11" x14ac:dyDescent="0.2">
      <c r="C352" s="569">
        <v>349</v>
      </c>
      <c r="D352" s="580"/>
      <c r="E352" s="581"/>
      <c r="F352" s="582"/>
      <c r="G352" s="583"/>
      <c r="H352" s="770"/>
      <c r="I352" s="773"/>
      <c r="J352" s="776"/>
      <c r="K352" s="779"/>
    </row>
    <row r="353" spans="3:11" x14ac:dyDescent="0.2">
      <c r="C353" s="569">
        <v>350</v>
      </c>
      <c r="D353" s="580"/>
      <c r="E353" s="581"/>
      <c r="F353" s="582"/>
      <c r="G353" s="583"/>
      <c r="H353" s="770"/>
      <c r="I353" s="773"/>
      <c r="J353" s="776"/>
      <c r="K353" s="779"/>
    </row>
    <row r="354" spans="3:11" x14ac:dyDescent="0.2">
      <c r="C354" s="569">
        <v>351</v>
      </c>
      <c r="D354" s="580"/>
      <c r="E354" s="581"/>
      <c r="F354" s="582"/>
      <c r="G354" s="583"/>
      <c r="H354" s="770"/>
      <c r="I354" s="773"/>
      <c r="J354" s="776"/>
      <c r="K354" s="779"/>
    </row>
    <row r="355" spans="3:11" x14ac:dyDescent="0.2">
      <c r="C355" s="569">
        <v>352</v>
      </c>
      <c r="D355" s="580"/>
      <c r="E355" s="581"/>
      <c r="F355" s="582"/>
      <c r="G355" s="583"/>
      <c r="H355" s="770"/>
      <c r="I355" s="773"/>
      <c r="J355" s="776"/>
      <c r="K355" s="779"/>
    </row>
    <row r="356" spans="3:11" x14ac:dyDescent="0.2">
      <c r="C356" s="569">
        <v>353</v>
      </c>
      <c r="D356" s="580"/>
      <c r="E356" s="581"/>
      <c r="F356" s="582"/>
      <c r="G356" s="583"/>
      <c r="H356" s="770"/>
      <c r="I356" s="773"/>
      <c r="J356" s="776"/>
      <c r="K356" s="779"/>
    </row>
    <row r="357" spans="3:11" x14ac:dyDescent="0.2">
      <c r="C357" s="569">
        <v>354</v>
      </c>
      <c r="D357" s="580"/>
      <c r="E357" s="581"/>
      <c r="F357" s="582"/>
      <c r="G357" s="583"/>
      <c r="H357" s="770"/>
      <c r="I357" s="773"/>
      <c r="J357" s="776"/>
      <c r="K357" s="779"/>
    </row>
    <row r="358" spans="3:11" x14ac:dyDescent="0.2">
      <c r="C358" s="569">
        <v>355</v>
      </c>
      <c r="D358" s="580"/>
      <c r="E358" s="581"/>
      <c r="F358" s="582"/>
      <c r="G358" s="583"/>
      <c r="H358" s="770"/>
      <c r="I358" s="773"/>
      <c r="J358" s="776"/>
      <c r="K358" s="779"/>
    </row>
    <row r="359" spans="3:11" x14ac:dyDescent="0.2">
      <c r="C359" s="569">
        <v>356</v>
      </c>
      <c r="D359" s="580"/>
      <c r="E359" s="581"/>
      <c r="F359" s="582"/>
      <c r="G359" s="583"/>
      <c r="H359" s="770"/>
      <c r="I359" s="773"/>
      <c r="J359" s="776"/>
      <c r="K359" s="779"/>
    </row>
    <row r="360" spans="3:11" x14ac:dyDescent="0.2">
      <c r="C360" s="569">
        <v>357</v>
      </c>
      <c r="D360" s="580"/>
      <c r="E360" s="581"/>
      <c r="F360" s="582"/>
      <c r="G360" s="583"/>
      <c r="H360" s="770"/>
      <c r="I360" s="773"/>
      <c r="J360" s="776"/>
      <c r="K360" s="779"/>
    </row>
    <row r="361" spans="3:11" x14ac:dyDescent="0.2">
      <c r="C361" s="569">
        <v>358</v>
      </c>
      <c r="D361" s="580"/>
      <c r="E361" s="581"/>
      <c r="F361" s="582"/>
      <c r="G361" s="583"/>
      <c r="H361" s="770"/>
      <c r="I361" s="773"/>
      <c r="J361" s="776"/>
      <c r="K361" s="779"/>
    </row>
    <row r="362" spans="3:11" x14ac:dyDescent="0.2">
      <c r="C362" s="569">
        <v>359</v>
      </c>
      <c r="D362" s="580"/>
      <c r="E362" s="581"/>
      <c r="F362" s="582"/>
      <c r="G362" s="583"/>
      <c r="H362" s="770"/>
      <c r="I362" s="773"/>
      <c r="J362" s="776"/>
      <c r="K362" s="779"/>
    </row>
    <row r="363" spans="3:11" x14ac:dyDescent="0.2">
      <c r="C363" s="569">
        <v>360</v>
      </c>
      <c r="D363" s="580"/>
      <c r="E363" s="581"/>
      <c r="F363" s="582"/>
      <c r="G363" s="583"/>
      <c r="H363" s="770"/>
      <c r="I363" s="773"/>
      <c r="J363" s="776"/>
      <c r="K363" s="779"/>
    </row>
    <row r="364" spans="3:11" x14ac:dyDescent="0.2">
      <c r="C364" s="569">
        <v>361</v>
      </c>
      <c r="D364" s="580"/>
      <c r="E364" s="581"/>
      <c r="F364" s="582"/>
      <c r="G364" s="583"/>
      <c r="H364" s="770"/>
      <c r="I364" s="773"/>
      <c r="J364" s="776"/>
      <c r="K364" s="779"/>
    </row>
    <row r="365" spans="3:11" x14ac:dyDescent="0.2">
      <c r="C365" s="569">
        <v>362</v>
      </c>
      <c r="D365" s="580"/>
      <c r="E365" s="581"/>
      <c r="F365" s="582"/>
      <c r="G365" s="583"/>
      <c r="H365" s="770"/>
      <c r="I365" s="773"/>
      <c r="J365" s="776"/>
      <c r="K365" s="779"/>
    </row>
    <row r="366" spans="3:11" x14ac:dyDescent="0.2">
      <c r="C366" s="569">
        <v>363</v>
      </c>
      <c r="D366" s="580"/>
      <c r="E366" s="581"/>
      <c r="F366" s="582"/>
      <c r="G366" s="583"/>
      <c r="H366" s="770"/>
      <c r="I366" s="773"/>
      <c r="J366" s="776"/>
      <c r="K366" s="779"/>
    </row>
    <row r="367" spans="3:11" x14ac:dyDescent="0.2">
      <c r="C367" s="569">
        <v>364</v>
      </c>
      <c r="D367" s="580"/>
      <c r="E367" s="581"/>
      <c r="F367" s="582"/>
      <c r="G367" s="583"/>
      <c r="H367" s="770"/>
      <c r="I367" s="773"/>
      <c r="J367" s="776"/>
      <c r="K367" s="779"/>
    </row>
    <row r="368" spans="3:11" x14ac:dyDescent="0.2">
      <c r="C368" s="569">
        <v>365</v>
      </c>
      <c r="D368" s="580"/>
      <c r="E368" s="581"/>
      <c r="F368" s="582"/>
      <c r="G368" s="583"/>
      <c r="H368" s="770"/>
      <c r="I368" s="773"/>
      <c r="J368" s="776"/>
      <c r="K368" s="779"/>
    </row>
    <row r="369" spans="3:11" x14ac:dyDescent="0.2">
      <c r="C369" s="569">
        <v>366</v>
      </c>
      <c r="D369" s="580"/>
      <c r="E369" s="581"/>
      <c r="F369" s="582"/>
      <c r="G369" s="583"/>
      <c r="H369" s="770"/>
      <c r="I369" s="773"/>
      <c r="J369" s="776"/>
      <c r="K369" s="779"/>
    </row>
    <row r="370" spans="3:11" x14ac:dyDescent="0.2">
      <c r="C370" s="569">
        <v>367</v>
      </c>
      <c r="D370" s="580"/>
      <c r="E370" s="581"/>
      <c r="F370" s="582"/>
      <c r="G370" s="583"/>
      <c r="H370" s="770"/>
      <c r="I370" s="773"/>
      <c r="J370" s="776"/>
      <c r="K370" s="779"/>
    </row>
    <row r="371" spans="3:11" x14ac:dyDescent="0.2">
      <c r="C371" s="569">
        <v>368</v>
      </c>
      <c r="D371" s="580"/>
      <c r="E371" s="581"/>
      <c r="F371" s="582"/>
      <c r="G371" s="583"/>
      <c r="H371" s="770"/>
      <c r="I371" s="773"/>
      <c r="J371" s="776"/>
      <c r="K371" s="779"/>
    </row>
    <row r="372" spans="3:11" x14ac:dyDescent="0.2">
      <c r="C372" s="569">
        <v>369</v>
      </c>
      <c r="D372" s="580"/>
      <c r="E372" s="581"/>
      <c r="F372" s="582"/>
      <c r="G372" s="583"/>
      <c r="H372" s="770"/>
      <c r="I372" s="773"/>
      <c r="J372" s="776"/>
      <c r="K372" s="779"/>
    </row>
    <row r="373" spans="3:11" x14ac:dyDescent="0.2">
      <c r="C373" s="569">
        <v>370</v>
      </c>
      <c r="D373" s="580"/>
      <c r="E373" s="581"/>
      <c r="F373" s="582"/>
      <c r="G373" s="583"/>
      <c r="H373" s="770"/>
      <c r="I373" s="773"/>
      <c r="J373" s="776"/>
      <c r="K373" s="779"/>
    </row>
    <row r="374" spans="3:11" x14ac:dyDescent="0.2">
      <c r="C374" s="569">
        <v>371</v>
      </c>
      <c r="D374" s="580"/>
      <c r="E374" s="581"/>
      <c r="F374" s="582"/>
      <c r="G374" s="583"/>
      <c r="H374" s="770"/>
      <c r="I374" s="773"/>
      <c r="J374" s="776"/>
      <c r="K374" s="779"/>
    </row>
    <row r="375" spans="3:11" x14ac:dyDescent="0.2">
      <c r="C375" s="569">
        <v>372</v>
      </c>
      <c r="D375" s="580"/>
      <c r="E375" s="581"/>
      <c r="F375" s="582"/>
      <c r="G375" s="583"/>
      <c r="H375" s="770"/>
      <c r="I375" s="773"/>
      <c r="J375" s="776"/>
      <c r="K375" s="779"/>
    </row>
    <row r="376" spans="3:11" x14ac:dyDescent="0.2">
      <c r="C376" s="569">
        <v>373</v>
      </c>
      <c r="D376" s="580"/>
      <c r="E376" s="581"/>
      <c r="F376" s="582"/>
      <c r="G376" s="583"/>
      <c r="H376" s="770"/>
      <c r="I376" s="773"/>
      <c r="J376" s="776"/>
      <c r="K376" s="779"/>
    </row>
    <row r="377" spans="3:11" x14ac:dyDescent="0.2">
      <c r="C377" s="569">
        <v>374</v>
      </c>
      <c r="D377" s="580"/>
      <c r="E377" s="581"/>
      <c r="F377" s="582"/>
      <c r="G377" s="583"/>
      <c r="H377" s="770"/>
      <c r="I377" s="773"/>
      <c r="J377" s="776"/>
      <c r="K377" s="779"/>
    </row>
    <row r="378" spans="3:11" x14ac:dyDescent="0.2">
      <c r="C378" s="569">
        <v>375</v>
      </c>
      <c r="D378" s="580"/>
      <c r="E378" s="581"/>
      <c r="F378" s="582"/>
      <c r="G378" s="583"/>
      <c r="H378" s="770"/>
      <c r="I378" s="773"/>
      <c r="J378" s="776"/>
      <c r="K378" s="779"/>
    </row>
    <row r="379" spans="3:11" x14ac:dyDescent="0.2">
      <c r="C379" s="569">
        <v>376</v>
      </c>
      <c r="D379" s="580"/>
      <c r="E379" s="581"/>
      <c r="F379" s="582"/>
      <c r="G379" s="583"/>
      <c r="H379" s="770"/>
      <c r="I379" s="773"/>
      <c r="J379" s="776"/>
      <c r="K379" s="779"/>
    </row>
    <row r="380" spans="3:11" x14ac:dyDescent="0.2">
      <c r="C380" s="569">
        <v>377</v>
      </c>
      <c r="D380" s="580"/>
      <c r="E380" s="581"/>
      <c r="F380" s="582"/>
      <c r="G380" s="583"/>
      <c r="H380" s="770"/>
      <c r="I380" s="773"/>
      <c r="J380" s="776"/>
      <c r="K380" s="779"/>
    </row>
    <row r="381" spans="3:11" x14ac:dyDescent="0.2">
      <c r="C381" s="569">
        <v>378</v>
      </c>
      <c r="D381" s="580"/>
      <c r="E381" s="581"/>
      <c r="F381" s="582"/>
      <c r="G381" s="583"/>
      <c r="H381" s="770"/>
      <c r="I381" s="773"/>
      <c r="J381" s="776"/>
      <c r="K381" s="779"/>
    </row>
    <row r="382" spans="3:11" x14ac:dyDescent="0.2">
      <c r="C382" s="569">
        <v>379</v>
      </c>
      <c r="D382" s="580"/>
      <c r="E382" s="581"/>
      <c r="F382" s="582"/>
      <c r="G382" s="583"/>
      <c r="H382" s="770"/>
      <c r="I382" s="773"/>
      <c r="J382" s="776"/>
      <c r="K382" s="779"/>
    </row>
    <row r="383" spans="3:11" x14ac:dyDescent="0.2">
      <c r="C383" s="569">
        <v>380</v>
      </c>
      <c r="D383" s="580"/>
      <c r="E383" s="581"/>
      <c r="F383" s="582"/>
      <c r="G383" s="583"/>
      <c r="H383" s="770"/>
      <c r="I383" s="773"/>
      <c r="J383" s="776"/>
      <c r="K383" s="779"/>
    </row>
    <row r="384" spans="3:11" x14ac:dyDescent="0.2">
      <c r="C384" s="569">
        <v>381</v>
      </c>
      <c r="D384" s="580"/>
      <c r="E384" s="581"/>
      <c r="F384" s="582"/>
      <c r="G384" s="583"/>
      <c r="H384" s="770"/>
      <c r="I384" s="773"/>
      <c r="J384" s="776"/>
      <c r="K384" s="779"/>
    </row>
    <row r="385" spans="3:11" x14ac:dyDescent="0.2">
      <c r="C385" s="569">
        <v>382</v>
      </c>
      <c r="D385" s="580"/>
      <c r="E385" s="581"/>
      <c r="F385" s="582"/>
      <c r="G385" s="583"/>
      <c r="H385" s="770"/>
      <c r="I385" s="773"/>
      <c r="J385" s="776"/>
      <c r="K385" s="779"/>
    </row>
    <row r="386" spans="3:11" x14ac:dyDescent="0.2">
      <c r="C386" s="569">
        <v>383</v>
      </c>
      <c r="D386" s="580"/>
      <c r="E386" s="581"/>
      <c r="F386" s="582"/>
      <c r="G386" s="583"/>
      <c r="H386" s="770"/>
      <c r="I386" s="773"/>
      <c r="J386" s="776"/>
      <c r="K386" s="779"/>
    </row>
    <row r="387" spans="3:11" x14ac:dyDescent="0.2">
      <c r="C387" s="569">
        <v>384</v>
      </c>
      <c r="D387" s="580"/>
      <c r="E387" s="581"/>
      <c r="F387" s="582"/>
      <c r="G387" s="583"/>
      <c r="H387" s="770"/>
      <c r="I387" s="773"/>
      <c r="J387" s="776"/>
      <c r="K387" s="779"/>
    </row>
    <row r="388" spans="3:11" x14ac:dyDescent="0.2">
      <c r="C388" s="569">
        <v>385</v>
      </c>
      <c r="D388" s="580"/>
      <c r="E388" s="581"/>
      <c r="F388" s="582"/>
      <c r="G388" s="583"/>
      <c r="H388" s="770"/>
      <c r="I388" s="773"/>
      <c r="J388" s="776"/>
      <c r="K388" s="779"/>
    </row>
    <row r="389" spans="3:11" x14ac:dyDescent="0.2">
      <c r="C389" s="569">
        <v>386</v>
      </c>
      <c r="D389" s="580"/>
      <c r="E389" s="581"/>
      <c r="F389" s="582"/>
      <c r="G389" s="583"/>
      <c r="H389" s="770"/>
      <c r="I389" s="773"/>
      <c r="J389" s="776"/>
      <c r="K389" s="779"/>
    </row>
    <row r="390" spans="3:11" x14ac:dyDescent="0.2">
      <c r="C390" s="569">
        <v>387</v>
      </c>
      <c r="D390" s="580"/>
      <c r="E390" s="581"/>
      <c r="F390" s="582"/>
      <c r="G390" s="583"/>
      <c r="H390" s="770"/>
      <c r="I390" s="773"/>
      <c r="J390" s="776"/>
      <c r="K390" s="779"/>
    </row>
    <row r="391" spans="3:11" x14ac:dyDescent="0.2">
      <c r="C391" s="569">
        <v>388</v>
      </c>
      <c r="D391" s="580"/>
      <c r="E391" s="581"/>
      <c r="F391" s="582"/>
      <c r="G391" s="583"/>
      <c r="H391" s="770"/>
      <c r="I391" s="773"/>
      <c r="J391" s="776"/>
      <c r="K391" s="779"/>
    </row>
    <row r="392" spans="3:11" x14ac:dyDescent="0.2">
      <c r="C392" s="569">
        <v>389</v>
      </c>
      <c r="D392" s="580"/>
      <c r="E392" s="581"/>
      <c r="F392" s="582"/>
      <c r="G392" s="583"/>
      <c r="H392" s="770"/>
      <c r="I392" s="773"/>
      <c r="J392" s="776"/>
      <c r="K392" s="779"/>
    </row>
    <row r="393" spans="3:11" x14ac:dyDescent="0.2">
      <c r="C393" s="569">
        <v>390</v>
      </c>
      <c r="D393" s="580"/>
      <c r="E393" s="581"/>
      <c r="F393" s="582"/>
      <c r="G393" s="583"/>
      <c r="H393" s="770"/>
      <c r="I393" s="773"/>
      <c r="J393" s="776"/>
      <c r="K393" s="779"/>
    </row>
    <row r="394" spans="3:11" x14ac:dyDescent="0.2">
      <c r="C394" s="569">
        <v>391</v>
      </c>
      <c r="D394" s="580"/>
      <c r="E394" s="581"/>
      <c r="F394" s="582"/>
      <c r="G394" s="583"/>
      <c r="H394" s="770"/>
      <c r="I394" s="773"/>
      <c r="J394" s="776"/>
      <c r="K394" s="779"/>
    </row>
    <row r="395" spans="3:11" x14ac:dyDescent="0.2">
      <c r="C395" s="569">
        <v>392</v>
      </c>
      <c r="D395" s="580"/>
      <c r="E395" s="581"/>
      <c r="F395" s="582"/>
      <c r="G395" s="583"/>
      <c r="H395" s="770"/>
      <c r="I395" s="773"/>
      <c r="J395" s="776"/>
      <c r="K395" s="779"/>
    </row>
    <row r="396" spans="3:11" x14ac:dyDescent="0.2">
      <c r="C396" s="569">
        <v>393</v>
      </c>
      <c r="D396" s="580"/>
      <c r="E396" s="581"/>
      <c r="F396" s="582"/>
      <c r="G396" s="583"/>
      <c r="H396" s="770"/>
      <c r="I396" s="773"/>
      <c r="J396" s="776"/>
      <c r="K396" s="779"/>
    </row>
    <row r="397" spans="3:11" x14ac:dyDescent="0.2">
      <c r="C397" s="569">
        <v>394</v>
      </c>
      <c r="D397" s="580"/>
      <c r="E397" s="581"/>
      <c r="F397" s="582"/>
      <c r="G397" s="583"/>
      <c r="H397" s="770"/>
      <c r="I397" s="773"/>
      <c r="J397" s="776"/>
      <c r="K397" s="779"/>
    </row>
    <row r="398" spans="3:11" x14ac:dyDescent="0.2">
      <c r="C398" s="569">
        <v>395</v>
      </c>
      <c r="D398" s="580"/>
      <c r="E398" s="581"/>
      <c r="F398" s="582"/>
      <c r="G398" s="583"/>
      <c r="H398" s="770"/>
      <c r="I398" s="773"/>
      <c r="J398" s="776"/>
      <c r="K398" s="779"/>
    </row>
    <row r="399" spans="3:11" x14ac:dyDescent="0.2">
      <c r="C399" s="569">
        <v>396</v>
      </c>
      <c r="D399" s="580"/>
      <c r="E399" s="581"/>
      <c r="F399" s="582"/>
      <c r="G399" s="583"/>
      <c r="H399" s="770"/>
      <c r="I399" s="773"/>
      <c r="J399" s="776"/>
      <c r="K399" s="779"/>
    </row>
    <row r="400" spans="3:11" x14ac:dyDescent="0.2">
      <c r="C400" s="569">
        <v>397</v>
      </c>
      <c r="D400" s="580"/>
      <c r="E400" s="581"/>
      <c r="F400" s="582"/>
      <c r="G400" s="583"/>
      <c r="H400" s="770"/>
      <c r="I400" s="773"/>
      <c r="J400" s="776"/>
      <c r="K400" s="779"/>
    </row>
    <row r="401" spans="3:11" x14ac:dyDescent="0.2">
      <c r="C401" s="569">
        <v>398</v>
      </c>
      <c r="D401" s="580"/>
      <c r="E401" s="581"/>
      <c r="F401" s="582"/>
      <c r="G401" s="583"/>
      <c r="H401" s="770"/>
      <c r="I401" s="773"/>
      <c r="J401" s="776"/>
      <c r="K401" s="779"/>
    </row>
    <row r="402" spans="3:11" x14ac:dyDescent="0.2">
      <c r="C402" s="569">
        <v>399</v>
      </c>
      <c r="D402" s="580"/>
      <c r="E402" s="581"/>
      <c r="F402" s="582"/>
      <c r="G402" s="583"/>
      <c r="H402" s="770"/>
      <c r="I402" s="773"/>
      <c r="J402" s="776"/>
      <c r="K402" s="779"/>
    </row>
    <row r="403" spans="3:11" x14ac:dyDescent="0.2">
      <c r="C403" s="569">
        <v>400</v>
      </c>
      <c r="D403" s="580"/>
      <c r="E403" s="581"/>
      <c r="F403" s="582"/>
      <c r="G403" s="583"/>
      <c r="H403" s="770"/>
      <c r="I403" s="773"/>
      <c r="J403" s="776"/>
      <c r="K403" s="779"/>
    </row>
    <row r="404" spans="3:11" x14ac:dyDescent="0.2">
      <c r="C404" s="569">
        <v>401</v>
      </c>
      <c r="D404" s="580"/>
      <c r="E404" s="581"/>
      <c r="F404" s="582"/>
      <c r="G404" s="583"/>
      <c r="H404" s="770"/>
      <c r="I404" s="773"/>
      <c r="J404" s="776"/>
      <c r="K404" s="779"/>
    </row>
    <row r="405" spans="3:11" x14ac:dyDescent="0.2">
      <c r="C405" s="569">
        <v>402</v>
      </c>
      <c r="D405" s="580"/>
      <c r="E405" s="581"/>
      <c r="F405" s="582"/>
      <c r="G405" s="583"/>
      <c r="H405" s="770"/>
      <c r="I405" s="773"/>
      <c r="J405" s="776"/>
      <c r="K405" s="779"/>
    </row>
    <row r="406" spans="3:11" x14ac:dyDescent="0.2">
      <c r="C406" s="569">
        <v>403</v>
      </c>
      <c r="D406" s="580"/>
      <c r="E406" s="581"/>
      <c r="F406" s="582"/>
      <c r="G406" s="583"/>
      <c r="H406" s="770"/>
      <c r="I406" s="773"/>
      <c r="J406" s="776"/>
      <c r="K406" s="779"/>
    </row>
    <row r="407" spans="3:11" x14ac:dyDescent="0.2">
      <c r="C407" s="569">
        <v>404</v>
      </c>
      <c r="D407" s="580"/>
      <c r="E407" s="581"/>
      <c r="F407" s="582"/>
      <c r="G407" s="583"/>
      <c r="H407" s="770"/>
      <c r="I407" s="773"/>
      <c r="J407" s="776"/>
      <c r="K407" s="779"/>
    </row>
    <row r="408" spans="3:11" x14ac:dyDescent="0.2">
      <c r="C408" s="569">
        <v>405</v>
      </c>
      <c r="D408" s="580"/>
      <c r="E408" s="581"/>
      <c r="F408" s="582"/>
      <c r="G408" s="583"/>
      <c r="H408" s="770"/>
      <c r="I408" s="773"/>
      <c r="J408" s="776"/>
      <c r="K408" s="779"/>
    </row>
    <row r="409" spans="3:11" x14ac:dyDescent="0.2">
      <c r="C409" s="569">
        <v>406</v>
      </c>
      <c r="D409" s="580"/>
      <c r="E409" s="581"/>
      <c r="F409" s="582"/>
      <c r="G409" s="583"/>
      <c r="H409" s="770"/>
      <c r="I409" s="773"/>
      <c r="J409" s="776"/>
      <c r="K409" s="779"/>
    </row>
    <row r="410" spans="3:11" x14ac:dyDescent="0.2">
      <c r="C410" s="569">
        <v>407</v>
      </c>
      <c r="D410" s="580"/>
      <c r="E410" s="581"/>
      <c r="F410" s="582"/>
      <c r="G410" s="583"/>
      <c r="H410" s="770"/>
      <c r="I410" s="773"/>
      <c r="J410" s="776"/>
      <c r="K410" s="779"/>
    </row>
    <row r="411" spans="3:11" x14ac:dyDescent="0.2">
      <c r="C411" s="569">
        <v>408</v>
      </c>
      <c r="D411" s="580"/>
      <c r="E411" s="581"/>
      <c r="F411" s="582"/>
      <c r="G411" s="583"/>
      <c r="H411" s="770"/>
      <c r="I411" s="773"/>
      <c r="J411" s="776"/>
      <c r="K411" s="779"/>
    </row>
    <row r="412" spans="3:11" x14ac:dyDescent="0.2">
      <c r="C412" s="569">
        <v>409</v>
      </c>
      <c r="D412" s="580"/>
      <c r="E412" s="581"/>
      <c r="F412" s="582"/>
      <c r="G412" s="583"/>
      <c r="H412" s="770"/>
      <c r="I412" s="773"/>
      <c r="J412" s="776"/>
      <c r="K412" s="779"/>
    </row>
    <row r="413" spans="3:11" x14ac:dyDescent="0.2">
      <c r="C413" s="569">
        <v>410</v>
      </c>
      <c r="D413" s="580"/>
      <c r="E413" s="581"/>
      <c r="F413" s="582"/>
      <c r="G413" s="583"/>
      <c r="H413" s="770"/>
      <c r="I413" s="773"/>
      <c r="J413" s="776"/>
      <c r="K413" s="779"/>
    </row>
    <row r="414" spans="3:11" x14ac:dyDescent="0.2">
      <c r="C414" s="569">
        <v>411</v>
      </c>
      <c r="D414" s="580"/>
      <c r="E414" s="581"/>
      <c r="F414" s="582"/>
      <c r="G414" s="583"/>
      <c r="H414" s="770"/>
      <c r="I414" s="773"/>
      <c r="J414" s="776"/>
      <c r="K414" s="779"/>
    </row>
    <row r="415" spans="3:11" x14ac:dyDescent="0.2">
      <c r="C415" s="569">
        <v>412</v>
      </c>
      <c r="D415" s="580"/>
      <c r="E415" s="581"/>
      <c r="F415" s="582"/>
      <c r="G415" s="583"/>
      <c r="H415" s="770"/>
      <c r="I415" s="773"/>
      <c r="J415" s="776"/>
      <c r="K415" s="779"/>
    </row>
    <row r="416" spans="3:11" x14ac:dyDescent="0.2">
      <c r="C416" s="569">
        <v>413</v>
      </c>
      <c r="D416" s="580"/>
      <c r="E416" s="581"/>
      <c r="F416" s="582"/>
      <c r="G416" s="583"/>
      <c r="H416" s="770"/>
      <c r="I416" s="773"/>
      <c r="J416" s="776"/>
      <c r="K416" s="779"/>
    </row>
    <row r="417" spans="3:11" x14ac:dyDescent="0.2">
      <c r="C417" s="569">
        <v>414</v>
      </c>
      <c r="D417" s="580"/>
      <c r="E417" s="581"/>
      <c r="F417" s="582"/>
      <c r="G417" s="583"/>
      <c r="H417" s="770"/>
      <c r="I417" s="773"/>
      <c r="J417" s="776"/>
      <c r="K417" s="779"/>
    </row>
    <row r="418" spans="3:11" x14ac:dyDescent="0.2">
      <c r="C418" s="569">
        <v>415</v>
      </c>
      <c r="D418" s="580"/>
      <c r="E418" s="581"/>
      <c r="F418" s="582"/>
      <c r="G418" s="583"/>
      <c r="H418" s="770"/>
      <c r="I418" s="773"/>
      <c r="J418" s="776"/>
      <c r="K418" s="779"/>
    </row>
    <row r="419" spans="3:11" x14ac:dyDescent="0.2">
      <c r="C419" s="569">
        <v>416</v>
      </c>
      <c r="D419" s="580"/>
      <c r="E419" s="581"/>
      <c r="F419" s="582"/>
      <c r="G419" s="583"/>
      <c r="H419" s="770"/>
      <c r="I419" s="773"/>
      <c r="J419" s="776"/>
      <c r="K419" s="779"/>
    </row>
    <row r="420" spans="3:11" x14ac:dyDescent="0.2">
      <c r="C420" s="569">
        <v>417</v>
      </c>
      <c r="D420" s="580"/>
      <c r="E420" s="581"/>
      <c r="F420" s="582"/>
      <c r="G420" s="583"/>
      <c r="H420" s="770"/>
      <c r="I420" s="773"/>
      <c r="J420" s="776"/>
      <c r="K420" s="779"/>
    </row>
    <row r="421" spans="3:11" x14ac:dyDescent="0.2">
      <c r="C421" s="569">
        <v>418</v>
      </c>
      <c r="D421" s="580"/>
      <c r="E421" s="581"/>
      <c r="F421" s="582"/>
      <c r="G421" s="583"/>
      <c r="H421" s="770"/>
      <c r="I421" s="773"/>
      <c r="J421" s="776"/>
      <c r="K421" s="779"/>
    </row>
    <row r="422" spans="3:11" x14ac:dyDescent="0.2">
      <c r="C422" s="569">
        <v>419</v>
      </c>
      <c r="D422" s="580"/>
      <c r="E422" s="581"/>
      <c r="F422" s="582"/>
      <c r="G422" s="583"/>
      <c r="H422" s="770"/>
      <c r="I422" s="773"/>
      <c r="J422" s="776"/>
      <c r="K422" s="779"/>
    </row>
    <row r="423" spans="3:11" x14ac:dyDescent="0.2">
      <c r="C423" s="569">
        <v>420</v>
      </c>
      <c r="D423" s="580"/>
      <c r="E423" s="581"/>
      <c r="F423" s="582"/>
      <c r="G423" s="583"/>
      <c r="H423" s="770"/>
      <c r="I423" s="773"/>
      <c r="J423" s="776"/>
      <c r="K423" s="779"/>
    </row>
    <row r="424" spans="3:11" x14ac:dyDescent="0.2">
      <c r="C424" s="569">
        <v>421</v>
      </c>
      <c r="D424" s="580"/>
      <c r="E424" s="581"/>
      <c r="F424" s="582"/>
      <c r="G424" s="583"/>
      <c r="H424" s="770"/>
      <c r="I424" s="773"/>
      <c r="J424" s="776"/>
      <c r="K424" s="779"/>
    </row>
    <row r="425" spans="3:11" x14ac:dyDescent="0.2">
      <c r="C425" s="569">
        <v>422</v>
      </c>
      <c r="D425" s="580"/>
      <c r="E425" s="581"/>
      <c r="F425" s="582"/>
      <c r="G425" s="583"/>
      <c r="H425" s="770"/>
      <c r="I425" s="773"/>
      <c r="J425" s="776"/>
      <c r="K425" s="779"/>
    </row>
    <row r="426" spans="3:11" x14ac:dyDescent="0.2">
      <c r="C426" s="569">
        <v>423</v>
      </c>
      <c r="D426" s="580"/>
      <c r="E426" s="581"/>
      <c r="F426" s="582"/>
      <c r="G426" s="583"/>
      <c r="H426" s="770"/>
      <c r="I426" s="773"/>
      <c r="J426" s="776"/>
      <c r="K426" s="779"/>
    </row>
    <row r="427" spans="3:11" x14ac:dyDescent="0.2">
      <c r="C427" s="569">
        <v>424</v>
      </c>
      <c r="D427" s="580"/>
      <c r="E427" s="581"/>
      <c r="F427" s="582"/>
      <c r="G427" s="583"/>
      <c r="H427" s="770"/>
      <c r="I427" s="773"/>
      <c r="J427" s="776"/>
      <c r="K427" s="779"/>
    </row>
    <row r="428" spans="3:11" x14ac:dyDescent="0.2">
      <c r="C428" s="569">
        <v>425</v>
      </c>
      <c r="D428" s="580"/>
      <c r="E428" s="581"/>
      <c r="F428" s="582"/>
      <c r="G428" s="583"/>
      <c r="H428" s="770"/>
      <c r="I428" s="773"/>
      <c r="J428" s="776"/>
      <c r="K428" s="779"/>
    </row>
    <row r="429" spans="3:11" x14ac:dyDescent="0.2">
      <c r="C429" s="569">
        <v>426</v>
      </c>
      <c r="D429" s="580"/>
      <c r="E429" s="581"/>
      <c r="F429" s="582"/>
      <c r="G429" s="583"/>
      <c r="H429" s="770"/>
      <c r="I429" s="773"/>
      <c r="J429" s="776"/>
      <c r="K429" s="779"/>
    </row>
    <row r="430" spans="3:11" x14ac:dyDescent="0.2">
      <c r="C430" s="569">
        <v>427</v>
      </c>
      <c r="D430" s="580"/>
      <c r="E430" s="581"/>
      <c r="F430" s="582"/>
      <c r="G430" s="583"/>
      <c r="H430" s="770"/>
      <c r="I430" s="773"/>
      <c r="J430" s="776"/>
      <c r="K430" s="779"/>
    </row>
    <row r="431" spans="3:11" x14ac:dyDescent="0.2">
      <c r="C431" s="569">
        <v>428</v>
      </c>
      <c r="D431" s="580"/>
      <c r="E431" s="581"/>
      <c r="F431" s="582"/>
      <c r="G431" s="583"/>
      <c r="H431" s="770"/>
      <c r="I431" s="773"/>
      <c r="J431" s="776"/>
      <c r="K431" s="779"/>
    </row>
    <row r="432" spans="3:11" x14ac:dyDescent="0.2">
      <c r="C432" s="569">
        <v>429</v>
      </c>
      <c r="D432" s="580"/>
      <c r="E432" s="581"/>
      <c r="F432" s="582"/>
      <c r="G432" s="583"/>
      <c r="H432" s="770"/>
      <c r="I432" s="773"/>
      <c r="J432" s="776"/>
      <c r="K432" s="779"/>
    </row>
    <row r="433" spans="3:11" x14ac:dyDescent="0.2">
      <c r="C433" s="569">
        <v>430</v>
      </c>
      <c r="D433" s="580"/>
      <c r="E433" s="581"/>
      <c r="F433" s="582"/>
      <c r="G433" s="583"/>
      <c r="H433" s="770"/>
      <c r="I433" s="773"/>
      <c r="J433" s="776"/>
      <c r="K433" s="779"/>
    </row>
    <row r="434" spans="3:11" x14ac:dyDescent="0.2">
      <c r="C434" s="569">
        <v>431</v>
      </c>
      <c r="D434" s="580"/>
      <c r="E434" s="581"/>
      <c r="F434" s="582"/>
      <c r="G434" s="583"/>
      <c r="H434" s="770"/>
      <c r="I434" s="773"/>
      <c r="J434" s="776"/>
      <c r="K434" s="779"/>
    </row>
    <row r="435" spans="3:11" x14ac:dyDescent="0.2">
      <c r="C435" s="569">
        <v>432</v>
      </c>
      <c r="D435" s="580"/>
      <c r="E435" s="581"/>
      <c r="F435" s="582"/>
      <c r="G435" s="583"/>
      <c r="H435" s="770"/>
      <c r="I435" s="773"/>
      <c r="J435" s="776"/>
      <c r="K435" s="779"/>
    </row>
    <row r="436" spans="3:11" x14ac:dyDescent="0.2">
      <c r="C436" s="569">
        <v>433</v>
      </c>
      <c r="D436" s="580"/>
      <c r="E436" s="581"/>
      <c r="F436" s="582"/>
      <c r="G436" s="583"/>
      <c r="H436" s="770"/>
      <c r="I436" s="773"/>
      <c r="J436" s="776"/>
      <c r="K436" s="779"/>
    </row>
    <row r="437" spans="3:11" x14ac:dyDescent="0.2">
      <c r="C437" s="569">
        <v>434</v>
      </c>
      <c r="D437" s="580"/>
      <c r="E437" s="581"/>
      <c r="F437" s="582"/>
      <c r="G437" s="583"/>
      <c r="H437" s="770"/>
      <c r="I437" s="773"/>
      <c r="J437" s="776"/>
      <c r="K437" s="779"/>
    </row>
    <row r="438" spans="3:11" x14ac:dyDescent="0.2">
      <c r="C438" s="569">
        <v>435</v>
      </c>
      <c r="D438" s="580"/>
      <c r="E438" s="581"/>
      <c r="F438" s="582"/>
      <c r="G438" s="583"/>
      <c r="H438" s="770"/>
      <c r="I438" s="773"/>
      <c r="J438" s="776"/>
      <c r="K438" s="779"/>
    </row>
    <row r="439" spans="3:11" x14ac:dyDescent="0.2">
      <c r="C439" s="569">
        <v>436</v>
      </c>
      <c r="D439" s="580"/>
      <c r="E439" s="581"/>
      <c r="F439" s="582"/>
      <c r="G439" s="583"/>
      <c r="H439" s="770"/>
      <c r="I439" s="773"/>
      <c r="J439" s="776"/>
      <c r="K439" s="779"/>
    </row>
    <row r="440" spans="3:11" x14ac:dyDescent="0.2">
      <c r="C440" s="569">
        <v>437</v>
      </c>
      <c r="D440" s="580"/>
      <c r="E440" s="581"/>
      <c r="F440" s="582"/>
      <c r="G440" s="583"/>
      <c r="H440" s="770"/>
      <c r="I440" s="773"/>
      <c r="J440" s="776"/>
      <c r="K440" s="779"/>
    </row>
    <row r="441" spans="3:11" x14ac:dyDescent="0.2">
      <c r="C441" s="569">
        <v>438</v>
      </c>
      <c r="D441" s="580"/>
      <c r="E441" s="581"/>
      <c r="F441" s="582"/>
      <c r="G441" s="583"/>
      <c r="H441" s="770"/>
      <c r="I441" s="773"/>
      <c r="J441" s="776"/>
      <c r="K441" s="779"/>
    </row>
    <row r="442" spans="3:11" x14ac:dyDescent="0.2">
      <c r="C442" s="569">
        <v>439</v>
      </c>
      <c r="D442" s="580"/>
      <c r="E442" s="581"/>
      <c r="F442" s="582"/>
      <c r="G442" s="583"/>
      <c r="H442" s="770"/>
      <c r="I442" s="773"/>
      <c r="J442" s="776"/>
      <c r="K442" s="779"/>
    </row>
    <row r="443" spans="3:11" x14ac:dyDescent="0.2">
      <c r="C443" s="569">
        <v>440</v>
      </c>
      <c r="D443" s="580"/>
      <c r="E443" s="581"/>
      <c r="F443" s="582"/>
      <c r="G443" s="583"/>
      <c r="H443" s="770"/>
      <c r="I443" s="773"/>
      <c r="J443" s="776"/>
      <c r="K443" s="779"/>
    </row>
    <row r="444" spans="3:11" x14ac:dyDescent="0.2">
      <c r="C444" s="569">
        <v>441</v>
      </c>
      <c r="D444" s="580"/>
      <c r="E444" s="581"/>
      <c r="F444" s="582"/>
      <c r="G444" s="583"/>
      <c r="H444" s="770"/>
      <c r="I444" s="773"/>
      <c r="J444" s="776"/>
      <c r="K444" s="779"/>
    </row>
    <row r="445" spans="3:11" x14ac:dyDescent="0.2">
      <c r="C445" s="569">
        <v>442</v>
      </c>
      <c r="D445" s="580"/>
      <c r="E445" s="581"/>
      <c r="F445" s="582"/>
      <c r="G445" s="583"/>
      <c r="H445" s="770"/>
      <c r="I445" s="773"/>
      <c r="J445" s="776"/>
      <c r="K445" s="779"/>
    </row>
    <row r="446" spans="3:11" x14ac:dyDescent="0.2">
      <c r="C446" s="569">
        <v>443</v>
      </c>
      <c r="D446" s="580"/>
      <c r="E446" s="581"/>
      <c r="F446" s="582"/>
      <c r="G446" s="583"/>
      <c r="H446" s="770"/>
      <c r="I446" s="773"/>
      <c r="J446" s="776"/>
      <c r="K446" s="779"/>
    </row>
    <row r="447" spans="3:11" x14ac:dyDescent="0.2">
      <c r="C447" s="569">
        <v>444</v>
      </c>
      <c r="D447" s="580"/>
      <c r="E447" s="581"/>
      <c r="F447" s="582"/>
      <c r="G447" s="583"/>
      <c r="H447" s="770"/>
      <c r="I447" s="773"/>
      <c r="J447" s="776"/>
      <c r="K447" s="779"/>
    </row>
    <row r="448" spans="3:11" x14ac:dyDescent="0.2">
      <c r="C448" s="569">
        <v>445</v>
      </c>
      <c r="D448" s="580"/>
      <c r="E448" s="581"/>
      <c r="F448" s="582"/>
      <c r="G448" s="583"/>
      <c r="H448" s="770"/>
      <c r="I448" s="773"/>
      <c r="J448" s="776"/>
      <c r="K448" s="779"/>
    </row>
    <row r="449" spans="3:11" x14ac:dyDescent="0.2">
      <c r="C449" s="569">
        <v>446</v>
      </c>
      <c r="D449" s="580"/>
      <c r="E449" s="581"/>
      <c r="F449" s="582"/>
      <c r="G449" s="583"/>
      <c r="H449" s="770"/>
      <c r="I449" s="773"/>
      <c r="J449" s="776"/>
      <c r="K449" s="779"/>
    </row>
    <row r="450" spans="3:11" x14ac:dyDescent="0.2">
      <c r="C450" s="569">
        <v>447</v>
      </c>
      <c r="D450" s="580"/>
      <c r="E450" s="581"/>
      <c r="F450" s="582"/>
      <c r="G450" s="583"/>
      <c r="H450" s="770"/>
      <c r="I450" s="773"/>
      <c r="J450" s="776"/>
      <c r="K450" s="779"/>
    </row>
    <row r="451" spans="3:11" x14ac:dyDescent="0.2">
      <c r="C451" s="569">
        <v>448</v>
      </c>
      <c r="D451" s="580"/>
      <c r="E451" s="581"/>
      <c r="F451" s="582"/>
      <c r="G451" s="583"/>
      <c r="H451" s="770"/>
      <c r="I451" s="773"/>
      <c r="J451" s="776"/>
      <c r="K451" s="779"/>
    </row>
    <row r="452" spans="3:11" x14ac:dyDescent="0.2">
      <c r="C452" s="569">
        <v>449</v>
      </c>
      <c r="D452" s="580"/>
      <c r="E452" s="581"/>
      <c r="F452" s="582"/>
      <c r="G452" s="583"/>
      <c r="H452" s="770"/>
      <c r="I452" s="773"/>
      <c r="J452" s="776"/>
      <c r="K452" s="779"/>
    </row>
    <row r="453" spans="3:11" x14ac:dyDescent="0.2">
      <c r="C453" s="569">
        <v>450</v>
      </c>
      <c r="D453" s="580"/>
      <c r="E453" s="581"/>
      <c r="F453" s="582"/>
      <c r="G453" s="583"/>
      <c r="H453" s="770"/>
      <c r="I453" s="773"/>
      <c r="J453" s="776"/>
      <c r="K453" s="779"/>
    </row>
    <row r="454" spans="3:11" x14ac:dyDescent="0.2">
      <c r="C454" s="569">
        <v>451</v>
      </c>
      <c r="D454" s="580"/>
      <c r="E454" s="581"/>
      <c r="F454" s="582"/>
      <c r="G454" s="583"/>
      <c r="H454" s="770"/>
      <c r="I454" s="773"/>
      <c r="J454" s="776"/>
      <c r="K454" s="779"/>
    </row>
    <row r="455" spans="3:11" x14ac:dyDescent="0.2">
      <c r="C455" s="569">
        <v>452</v>
      </c>
      <c r="D455" s="580"/>
      <c r="E455" s="581"/>
      <c r="F455" s="582"/>
      <c r="G455" s="583"/>
      <c r="H455" s="770"/>
      <c r="I455" s="773"/>
      <c r="J455" s="776"/>
      <c r="K455" s="779"/>
    </row>
    <row r="456" spans="3:11" x14ac:dyDescent="0.2">
      <c r="C456" s="569">
        <v>453</v>
      </c>
      <c r="D456" s="580"/>
      <c r="E456" s="581"/>
      <c r="F456" s="582"/>
      <c r="G456" s="583"/>
      <c r="H456" s="770"/>
      <c r="I456" s="773"/>
      <c r="J456" s="776"/>
      <c r="K456" s="779"/>
    </row>
    <row r="457" spans="3:11" x14ac:dyDescent="0.2">
      <c r="C457" s="569">
        <v>454</v>
      </c>
      <c r="D457" s="580"/>
      <c r="E457" s="581"/>
      <c r="F457" s="582"/>
      <c r="G457" s="583"/>
      <c r="H457" s="770"/>
      <c r="I457" s="773"/>
      <c r="J457" s="776"/>
      <c r="K457" s="779"/>
    </row>
    <row r="458" spans="3:11" x14ac:dyDescent="0.2">
      <c r="C458" s="569">
        <v>455</v>
      </c>
      <c r="D458" s="580"/>
      <c r="E458" s="581"/>
      <c r="F458" s="582"/>
      <c r="G458" s="583"/>
      <c r="H458" s="770"/>
      <c r="I458" s="773"/>
      <c r="J458" s="776"/>
      <c r="K458" s="779"/>
    </row>
    <row r="459" spans="3:11" x14ac:dyDescent="0.2">
      <c r="C459" s="569">
        <v>456</v>
      </c>
      <c r="D459" s="580"/>
      <c r="E459" s="581"/>
      <c r="F459" s="582"/>
      <c r="G459" s="583"/>
      <c r="H459" s="770"/>
      <c r="I459" s="773"/>
      <c r="J459" s="776"/>
      <c r="K459" s="779"/>
    </row>
    <row r="460" spans="3:11" x14ac:dyDescent="0.2">
      <c r="C460" s="569">
        <v>457</v>
      </c>
      <c r="D460" s="580"/>
      <c r="E460" s="581"/>
      <c r="F460" s="582"/>
      <c r="G460" s="583"/>
      <c r="H460" s="770"/>
      <c r="I460" s="773"/>
      <c r="J460" s="776"/>
      <c r="K460" s="779"/>
    </row>
    <row r="461" spans="3:11" x14ac:dyDescent="0.2">
      <c r="C461" s="569">
        <v>458</v>
      </c>
      <c r="D461" s="580"/>
      <c r="E461" s="581"/>
      <c r="F461" s="582"/>
      <c r="G461" s="583"/>
      <c r="H461" s="770"/>
      <c r="I461" s="773"/>
      <c r="J461" s="776"/>
      <c r="K461" s="779"/>
    </row>
    <row r="462" spans="3:11" x14ac:dyDescent="0.2">
      <c r="C462" s="569">
        <v>459</v>
      </c>
      <c r="D462" s="580"/>
      <c r="E462" s="581"/>
      <c r="F462" s="582"/>
      <c r="G462" s="583"/>
      <c r="H462" s="770"/>
      <c r="I462" s="773"/>
      <c r="J462" s="776"/>
      <c r="K462" s="779"/>
    </row>
    <row r="463" spans="3:11" x14ac:dyDescent="0.2">
      <c r="C463" s="569">
        <v>460</v>
      </c>
      <c r="D463" s="580"/>
      <c r="E463" s="581"/>
      <c r="F463" s="582"/>
      <c r="G463" s="583"/>
      <c r="H463" s="770"/>
      <c r="I463" s="773"/>
      <c r="J463" s="776"/>
      <c r="K463" s="779"/>
    </row>
    <row r="464" spans="3:11" x14ac:dyDescent="0.2">
      <c r="C464" s="569">
        <v>461</v>
      </c>
      <c r="D464" s="580"/>
      <c r="E464" s="581"/>
      <c r="F464" s="582"/>
      <c r="G464" s="583"/>
      <c r="H464" s="770"/>
      <c r="I464" s="773"/>
      <c r="J464" s="776"/>
      <c r="K464" s="779"/>
    </row>
    <row r="465" spans="3:11" x14ac:dyDescent="0.2">
      <c r="C465" s="569">
        <v>462</v>
      </c>
      <c r="D465" s="580"/>
      <c r="E465" s="581"/>
      <c r="F465" s="582"/>
      <c r="G465" s="583"/>
      <c r="H465" s="770"/>
      <c r="I465" s="773"/>
      <c r="J465" s="776"/>
      <c r="K465" s="779"/>
    </row>
    <row r="466" spans="3:11" x14ac:dyDescent="0.2">
      <c r="C466" s="569">
        <v>463</v>
      </c>
      <c r="D466" s="580"/>
      <c r="E466" s="581"/>
      <c r="F466" s="582"/>
      <c r="G466" s="583"/>
      <c r="H466" s="770"/>
      <c r="I466" s="773"/>
      <c r="J466" s="776"/>
      <c r="K466" s="779"/>
    </row>
    <row r="467" spans="3:11" x14ac:dyDescent="0.2">
      <c r="C467" s="569">
        <v>464</v>
      </c>
      <c r="D467" s="580"/>
      <c r="E467" s="581"/>
      <c r="F467" s="582"/>
      <c r="G467" s="583"/>
      <c r="H467" s="770"/>
      <c r="I467" s="773"/>
      <c r="J467" s="776"/>
      <c r="K467" s="779"/>
    </row>
    <row r="468" spans="3:11" x14ac:dyDescent="0.2">
      <c r="C468" s="569">
        <v>465</v>
      </c>
      <c r="D468" s="580"/>
      <c r="E468" s="581"/>
      <c r="F468" s="582"/>
      <c r="G468" s="583"/>
      <c r="H468" s="770"/>
      <c r="I468" s="773"/>
      <c r="J468" s="776"/>
      <c r="K468" s="779"/>
    </row>
    <row r="469" spans="3:11" x14ac:dyDescent="0.2">
      <c r="C469" s="569">
        <v>466</v>
      </c>
      <c r="D469" s="580"/>
      <c r="E469" s="581"/>
      <c r="F469" s="582"/>
      <c r="G469" s="583"/>
      <c r="H469" s="770"/>
      <c r="I469" s="773"/>
      <c r="J469" s="776"/>
      <c r="K469" s="779"/>
    </row>
    <row r="470" spans="3:11" x14ac:dyDescent="0.2">
      <c r="C470" s="569">
        <v>467</v>
      </c>
      <c r="D470" s="580"/>
      <c r="E470" s="581"/>
      <c r="F470" s="582"/>
      <c r="G470" s="583"/>
      <c r="H470" s="770"/>
      <c r="I470" s="773"/>
      <c r="J470" s="776"/>
      <c r="K470" s="779"/>
    </row>
    <row r="471" spans="3:11" x14ac:dyDescent="0.2">
      <c r="C471" s="569">
        <v>468</v>
      </c>
      <c r="D471" s="580"/>
      <c r="E471" s="581"/>
      <c r="F471" s="582"/>
      <c r="G471" s="583"/>
      <c r="H471" s="770"/>
      <c r="I471" s="773"/>
      <c r="J471" s="776"/>
      <c r="K471" s="779"/>
    </row>
    <row r="472" spans="3:11" x14ac:dyDescent="0.2">
      <c r="C472" s="569">
        <v>469</v>
      </c>
      <c r="D472" s="580"/>
      <c r="E472" s="581"/>
      <c r="F472" s="582"/>
      <c r="G472" s="583"/>
      <c r="H472" s="770"/>
      <c r="I472" s="773"/>
      <c r="J472" s="776"/>
      <c r="K472" s="779"/>
    </row>
    <row r="473" spans="3:11" x14ac:dyDescent="0.2">
      <c r="C473" s="569">
        <v>470</v>
      </c>
      <c r="D473" s="580"/>
      <c r="E473" s="581"/>
      <c r="F473" s="582"/>
      <c r="G473" s="583"/>
      <c r="H473" s="770"/>
      <c r="I473" s="773"/>
      <c r="J473" s="776"/>
      <c r="K473" s="779"/>
    </row>
    <row r="474" spans="3:11" x14ac:dyDescent="0.2">
      <c r="C474" s="569">
        <v>471</v>
      </c>
      <c r="D474" s="580"/>
      <c r="E474" s="581"/>
      <c r="F474" s="582"/>
      <c r="G474" s="583"/>
      <c r="H474" s="770"/>
      <c r="I474" s="773"/>
      <c r="J474" s="776"/>
      <c r="K474" s="779"/>
    </row>
    <row r="475" spans="3:11" x14ac:dyDescent="0.2">
      <c r="C475" s="569">
        <v>472</v>
      </c>
      <c r="D475" s="580"/>
      <c r="E475" s="581"/>
      <c r="F475" s="582"/>
      <c r="G475" s="583"/>
      <c r="H475" s="770"/>
      <c r="I475" s="773"/>
      <c r="J475" s="776"/>
      <c r="K475" s="779"/>
    </row>
    <row r="476" spans="3:11" x14ac:dyDescent="0.2">
      <c r="C476" s="569">
        <v>473</v>
      </c>
      <c r="D476" s="580"/>
      <c r="E476" s="581"/>
      <c r="F476" s="582"/>
      <c r="G476" s="583"/>
      <c r="H476" s="770"/>
      <c r="I476" s="773"/>
      <c r="J476" s="776"/>
      <c r="K476" s="779"/>
    </row>
    <row r="477" spans="3:11" x14ac:dyDescent="0.2">
      <c r="C477" s="569">
        <v>474</v>
      </c>
      <c r="D477" s="580"/>
      <c r="E477" s="581"/>
      <c r="F477" s="582"/>
      <c r="G477" s="583"/>
      <c r="H477" s="770"/>
      <c r="I477" s="773"/>
      <c r="J477" s="776"/>
      <c r="K477" s="779"/>
    </row>
    <row r="478" spans="3:11" x14ac:dyDescent="0.2">
      <c r="C478" s="569">
        <v>475</v>
      </c>
      <c r="D478" s="580"/>
      <c r="E478" s="581"/>
      <c r="F478" s="582"/>
      <c r="G478" s="583"/>
      <c r="H478" s="770"/>
      <c r="I478" s="773"/>
      <c r="J478" s="776"/>
      <c r="K478" s="779"/>
    </row>
    <row r="479" spans="3:11" x14ac:dyDescent="0.2">
      <c r="C479" s="569">
        <v>476</v>
      </c>
      <c r="D479" s="580"/>
      <c r="E479" s="581"/>
      <c r="F479" s="582"/>
      <c r="G479" s="583"/>
      <c r="H479" s="770"/>
      <c r="I479" s="773"/>
      <c r="J479" s="776"/>
      <c r="K479" s="779"/>
    </row>
    <row r="480" spans="3:11" x14ac:dyDescent="0.2">
      <c r="C480" s="569">
        <v>477</v>
      </c>
      <c r="D480" s="580"/>
      <c r="E480" s="581"/>
      <c r="F480" s="582"/>
      <c r="G480" s="583"/>
      <c r="H480" s="770"/>
      <c r="I480" s="773"/>
      <c r="J480" s="776"/>
      <c r="K480" s="779"/>
    </row>
    <row r="481" spans="3:11" x14ac:dyDescent="0.2">
      <c r="C481" s="569">
        <v>478</v>
      </c>
      <c r="D481" s="580"/>
      <c r="E481" s="581"/>
      <c r="F481" s="582"/>
      <c r="G481" s="583"/>
      <c r="H481" s="770"/>
      <c r="I481" s="773"/>
      <c r="J481" s="776"/>
      <c r="K481" s="779"/>
    </row>
    <row r="482" spans="3:11" x14ac:dyDescent="0.2">
      <c r="C482" s="569">
        <v>479</v>
      </c>
      <c r="D482" s="580"/>
      <c r="E482" s="581"/>
      <c r="F482" s="582"/>
      <c r="G482" s="583"/>
      <c r="H482" s="770"/>
      <c r="I482" s="773"/>
      <c r="J482" s="776"/>
      <c r="K482" s="779"/>
    </row>
    <row r="483" spans="3:11" x14ac:dyDescent="0.2">
      <c r="C483" s="569">
        <v>480</v>
      </c>
      <c r="D483" s="580"/>
      <c r="E483" s="581"/>
      <c r="F483" s="582"/>
      <c r="G483" s="583"/>
      <c r="H483" s="770"/>
      <c r="I483" s="773"/>
      <c r="J483" s="776"/>
      <c r="K483" s="779"/>
    </row>
    <row r="484" spans="3:11" x14ac:dyDescent="0.2">
      <c r="C484" s="569">
        <v>481</v>
      </c>
      <c r="D484" s="580"/>
      <c r="E484" s="581"/>
      <c r="F484" s="582"/>
      <c r="G484" s="583"/>
      <c r="H484" s="770"/>
      <c r="I484" s="773"/>
      <c r="J484" s="776"/>
      <c r="K484" s="779"/>
    </row>
    <row r="485" spans="3:11" x14ac:dyDescent="0.2">
      <c r="C485" s="569">
        <v>482</v>
      </c>
      <c r="D485" s="580"/>
      <c r="E485" s="581"/>
      <c r="F485" s="582"/>
      <c r="G485" s="583"/>
      <c r="H485" s="770"/>
      <c r="I485" s="773"/>
      <c r="J485" s="776"/>
      <c r="K485" s="779"/>
    </row>
    <row r="486" spans="3:11" x14ac:dyDescent="0.2">
      <c r="C486" s="569">
        <v>483</v>
      </c>
      <c r="D486" s="580"/>
      <c r="E486" s="581"/>
      <c r="F486" s="582"/>
      <c r="G486" s="583"/>
      <c r="H486" s="770"/>
      <c r="I486" s="773"/>
      <c r="J486" s="776"/>
      <c r="K486" s="779"/>
    </row>
    <row r="487" spans="3:11" x14ac:dyDescent="0.2">
      <c r="C487" s="569">
        <v>484</v>
      </c>
      <c r="D487" s="580"/>
      <c r="E487" s="581"/>
      <c r="F487" s="582"/>
      <c r="G487" s="583"/>
      <c r="H487" s="770"/>
      <c r="I487" s="773"/>
      <c r="J487" s="776"/>
      <c r="K487" s="779"/>
    </row>
    <row r="488" spans="3:11" x14ac:dyDescent="0.2">
      <c r="C488" s="569">
        <v>485</v>
      </c>
      <c r="D488" s="580"/>
      <c r="E488" s="581"/>
      <c r="F488" s="582"/>
      <c r="G488" s="583"/>
      <c r="H488" s="770"/>
      <c r="I488" s="773"/>
      <c r="J488" s="776"/>
      <c r="K488" s="779"/>
    </row>
    <row r="489" spans="3:11" x14ac:dyDescent="0.2">
      <c r="C489" s="569">
        <v>486</v>
      </c>
      <c r="D489" s="580"/>
      <c r="E489" s="581"/>
      <c r="F489" s="582"/>
      <c r="G489" s="583"/>
      <c r="H489" s="770"/>
      <c r="I489" s="773"/>
      <c r="J489" s="776"/>
      <c r="K489" s="779"/>
    </row>
    <row r="490" spans="3:11" x14ac:dyDescent="0.2">
      <c r="C490" s="569">
        <v>487</v>
      </c>
      <c r="D490" s="580"/>
      <c r="E490" s="581"/>
      <c r="F490" s="582"/>
      <c r="G490" s="583"/>
      <c r="H490" s="770"/>
      <c r="I490" s="773"/>
      <c r="J490" s="776"/>
      <c r="K490" s="779"/>
    </row>
    <row r="491" spans="3:11" x14ac:dyDescent="0.2">
      <c r="C491" s="569">
        <v>488</v>
      </c>
      <c r="D491" s="580"/>
      <c r="E491" s="581"/>
      <c r="F491" s="582"/>
      <c r="G491" s="583"/>
      <c r="H491" s="770"/>
      <c r="I491" s="773"/>
      <c r="J491" s="776"/>
      <c r="K491" s="779"/>
    </row>
    <row r="492" spans="3:11" x14ac:dyDescent="0.2">
      <c r="C492" s="569">
        <v>489</v>
      </c>
      <c r="D492" s="580"/>
      <c r="E492" s="581"/>
      <c r="F492" s="582"/>
      <c r="G492" s="583"/>
      <c r="H492" s="770"/>
      <c r="I492" s="773"/>
      <c r="J492" s="776"/>
      <c r="K492" s="779"/>
    </row>
    <row r="493" spans="3:11" x14ac:dyDescent="0.2">
      <c r="C493" s="569">
        <v>490</v>
      </c>
      <c r="D493" s="580"/>
      <c r="E493" s="581"/>
      <c r="F493" s="582"/>
      <c r="G493" s="583"/>
      <c r="H493" s="770"/>
      <c r="I493" s="773"/>
      <c r="J493" s="776"/>
      <c r="K493" s="779"/>
    </row>
    <row r="494" spans="3:11" x14ac:dyDescent="0.2">
      <c r="C494" s="569">
        <v>491</v>
      </c>
      <c r="D494" s="580"/>
      <c r="E494" s="581"/>
      <c r="F494" s="582"/>
      <c r="G494" s="583"/>
      <c r="H494" s="770"/>
      <c r="I494" s="773"/>
      <c r="J494" s="776"/>
      <c r="K494" s="779"/>
    </row>
    <row r="495" spans="3:11" x14ac:dyDescent="0.2">
      <c r="C495" s="569">
        <v>492</v>
      </c>
      <c r="D495" s="580"/>
      <c r="E495" s="581"/>
      <c r="F495" s="582"/>
      <c r="G495" s="583"/>
      <c r="H495" s="770"/>
      <c r="I495" s="773"/>
      <c r="J495" s="776"/>
      <c r="K495" s="779"/>
    </row>
    <row r="496" spans="3:11" x14ac:dyDescent="0.2">
      <c r="C496" s="569">
        <v>493</v>
      </c>
      <c r="D496" s="580"/>
      <c r="E496" s="581"/>
      <c r="F496" s="582"/>
      <c r="G496" s="583"/>
      <c r="H496" s="770"/>
      <c r="I496" s="773"/>
      <c r="J496" s="776"/>
      <c r="K496" s="779"/>
    </row>
    <row r="497" spans="3:11" x14ac:dyDescent="0.2">
      <c r="C497" s="569">
        <v>494</v>
      </c>
      <c r="D497" s="580"/>
      <c r="E497" s="581"/>
      <c r="F497" s="582"/>
      <c r="G497" s="583"/>
      <c r="H497" s="770"/>
      <c r="I497" s="773"/>
      <c r="J497" s="776"/>
      <c r="K497" s="779"/>
    </row>
    <row r="498" spans="3:11" x14ac:dyDescent="0.2">
      <c r="C498" s="569">
        <v>495</v>
      </c>
      <c r="D498" s="580"/>
      <c r="E498" s="581"/>
      <c r="F498" s="582"/>
      <c r="G498" s="583"/>
      <c r="H498" s="770"/>
      <c r="I498" s="773"/>
      <c r="J498" s="776"/>
      <c r="K498" s="779"/>
    </row>
    <row r="499" spans="3:11" x14ac:dyDescent="0.2">
      <c r="C499" s="569">
        <v>496</v>
      </c>
      <c r="D499" s="580"/>
      <c r="E499" s="581"/>
      <c r="F499" s="582"/>
      <c r="G499" s="583"/>
      <c r="H499" s="770"/>
      <c r="I499" s="773"/>
      <c r="J499" s="776"/>
      <c r="K499" s="779"/>
    </row>
    <row r="500" spans="3:11" x14ac:dyDescent="0.2">
      <c r="C500" s="569">
        <v>497</v>
      </c>
      <c r="D500" s="580"/>
      <c r="E500" s="581"/>
      <c r="F500" s="582"/>
      <c r="G500" s="583"/>
      <c r="H500" s="770"/>
      <c r="I500" s="773"/>
      <c r="J500" s="776"/>
      <c r="K500" s="779"/>
    </row>
    <row r="501" spans="3:11" x14ac:dyDescent="0.2">
      <c r="C501" s="569">
        <v>498</v>
      </c>
      <c r="D501" s="580"/>
      <c r="E501" s="581"/>
      <c r="F501" s="582"/>
      <c r="G501" s="583"/>
      <c r="H501" s="770"/>
      <c r="I501" s="773"/>
      <c r="J501" s="776"/>
      <c r="K501" s="779"/>
    </row>
    <row r="502" spans="3:11" x14ac:dyDescent="0.2">
      <c r="C502" s="569">
        <v>499</v>
      </c>
      <c r="D502" s="580"/>
      <c r="E502" s="581"/>
      <c r="F502" s="582"/>
      <c r="G502" s="583"/>
      <c r="H502" s="770"/>
      <c r="I502" s="773"/>
      <c r="J502" s="776"/>
      <c r="K502" s="779"/>
    </row>
    <row r="503" spans="3:11" x14ac:dyDescent="0.2">
      <c r="C503" s="569">
        <v>500</v>
      </c>
      <c r="D503" s="580"/>
      <c r="E503" s="581"/>
      <c r="F503" s="582"/>
      <c r="G503" s="583"/>
      <c r="H503" s="770"/>
      <c r="I503" s="773"/>
      <c r="J503" s="776"/>
      <c r="K503" s="779"/>
    </row>
    <row r="504" spans="3:11" x14ac:dyDescent="0.2">
      <c r="C504" s="569">
        <v>501</v>
      </c>
      <c r="D504" s="580"/>
      <c r="E504" s="581"/>
      <c r="F504" s="582"/>
      <c r="G504" s="583"/>
      <c r="H504" s="770"/>
      <c r="I504" s="773"/>
      <c r="J504" s="776"/>
      <c r="K504" s="779"/>
    </row>
    <row r="505" spans="3:11" x14ac:dyDescent="0.2">
      <c r="C505" s="569">
        <v>502</v>
      </c>
      <c r="D505" s="580"/>
      <c r="E505" s="581"/>
      <c r="F505" s="582"/>
      <c r="G505" s="583"/>
      <c r="H505" s="770"/>
      <c r="I505" s="773"/>
      <c r="J505" s="776"/>
      <c r="K505" s="779"/>
    </row>
    <row r="506" spans="3:11" x14ac:dyDescent="0.2">
      <c r="C506" s="569">
        <v>503</v>
      </c>
      <c r="D506" s="580"/>
      <c r="E506" s="581"/>
      <c r="F506" s="582"/>
      <c r="G506" s="583"/>
      <c r="H506" s="770"/>
      <c r="I506" s="773"/>
      <c r="J506" s="776"/>
      <c r="K506" s="779"/>
    </row>
    <row r="507" spans="3:11" x14ac:dyDescent="0.2">
      <c r="C507" s="569">
        <v>504</v>
      </c>
      <c r="D507" s="580"/>
      <c r="E507" s="581"/>
      <c r="F507" s="582"/>
      <c r="G507" s="583"/>
      <c r="H507" s="770"/>
      <c r="I507" s="773"/>
      <c r="J507" s="776"/>
      <c r="K507" s="779"/>
    </row>
    <row r="508" spans="3:11" x14ac:dyDescent="0.2">
      <c r="C508" s="569">
        <v>505</v>
      </c>
      <c r="D508" s="580"/>
      <c r="E508" s="581"/>
      <c r="F508" s="582"/>
      <c r="G508" s="583"/>
      <c r="H508" s="770"/>
      <c r="I508" s="773"/>
      <c r="J508" s="776"/>
      <c r="K508" s="779"/>
    </row>
    <row r="509" spans="3:11" x14ac:dyDescent="0.2">
      <c r="C509" s="569">
        <v>506</v>
      </c>
      <c r="D509" s="580"/>
      <c r="E509" s="581"/>
      <c r="F509" s="582"/>
      <c r="G509" s="583"/>
      <c r="H509" s="770"/>
      <c r="I509" s="773"/>
      <c r="J509" s="776"/>
      <c r="K509" s="779"/>
    </row>
    <row r="510" spans="3:11" x14ac:dyDescent="0.2">
      <c r="C510" s="569">
        <v>507</v>
      </c>
      <c r="D510" s="580"/>
      <c r="E510" s="581"/>
      <c r="F510" s="582"/>
      <c r="G510" s="583"/>
      <c r="H510" s="770"/>
      <c r="I510" s="773"/>
      <c r="J510" s="776"/>
      <c r="K510" s="779"/>
    </row>
    <row r="511" spans="3:11" x14ac:dyDescent="0.2">
      <c r="C511" s="569">
        <v>508</v>
      </c>
      <c r="D511" s="580"/>
      <c r="E511" s="581"/>
      <c r="F511" s="582"/>
      <c r="G511" s="583"/>
      <c r="H511" s="770"/>
      <c r="I511" s="773"/>
      <c r="J511" s="776"/>
      <c r="K511" s="779"/>
    </row>
    <row r="512" spans="3:11" x14ac:dyDescent="0.2">
      <c r="C512" s="569">
        <v>509</v>
      </c>
      <c r="D512" s="580"/>
      <c r="E512" s="581"/>
      <c r="F512" s="582"/>
      <c r="G512" s="583"/>
      <c r="H512" s="770"/>
      <c r="I512" s="773"/>
      <c r="J512" s="776"/>
      <c r="K512" s="779"/>
    </row>
    <row r="513" spans="3:11" x14ac:dyDescent="0.2">
      <c r="C513" s="569">
        <v>510</v>
      </c>
      <c r="D513" s="580"/>
      <c r="E513" s="581"/>
      <c r="F513" s="582"/>
      <c r="G513" s="583"/>
      <c r="H513" s="770"/>
      <c r="I513" s="773"/>
      <c r="J513" s="776"/>
      <c r="K513" s="779"/>
    </row>
    <row r="514" spans="3:11" x14ac:dyDescent="0.2">
      <c r="C514" s="569">
        <v>511</v>
      </c>
      <c r="D514" s="580"/>
      <c r="E514" s="581"/>
      <c r="F514" s="582"/>
      <c r="G514" s="583"/>
      <c r="H514" s="770"/>
      <c r="I514" s="773"/>
      <c r="J514" s="776"/>
      <c r="K514" s="779"/>
    </row>
    <row r="515" spans="3:11" x14ac:dyDescent="0.2">
      <c r="C515" s="569">
        <v>512</v>
      </c>
      <c r="D515" s="580"/>
      <c r="E515" s="581"/>
      <c r="F515" s="582"/>
      <c r="G515" s="583"/>
      <c r="H515" s="770"/>
      <c r="I515" s="773"/>
      <c r="J515" s="776"/>
      <c r="K515" s="779"/>
    </row>
    <row r="516" spans="3:11" x14ac:dyDescent="0.2">
      <c r="C516" s="569">
        <v>513</v>
      </c>
      <c r="D516" s="580"/>
      <c r="E516" s="581"/>
      <c r="F516" s="582"/>
      <c r="G516" s="583"/>
      <c r="H516" s="770"/>
      <c r="I516" s="773"/>
      <c r="J516" s="776"/>
      <c r="K516" s="779"/>
    </row>
    <row r="517" spans="3:11" x14ac:dyDescent="0.2">
      <c r="C517" s="569">
        <v>514</v>
      </c>
      <c r="D517" s="580"/>
      <c r="E517" s="581"/>
      <c r="F517" s="582"/>
      <c r="G517" s="583"/>
      <c r="H517" s="770"/>
      <c r="I517" s="773"/>
      <c r="J517" s="776"/>
      <c r="K517" s="779"/>
    </row>
    <row r="518" spans="3:11" x14ac:dyDescent="0.2">
      <c r="C518" s="569">
        <v>515</v>
      </c>
      <c r="D518" s="580"/>
      <c r="E518" s="581"/>
      <c r="F518" s="582"/>
      <c r="G518" s="583"/>
      <c r="H518" s="770"/>
      <c r="I518" s="773"/>
      <c r="J518" s="776"/>
      <c r="K518" s="779"/>
    </row>
    <row r="519" spans="3:11" x14ac:dyDescent="0.2">
      <c r="C519" s="569">
        <v>516</v>
      </c>
      <c r="D519" s="580"/>
      <c r="E519" s="581"/>
      <c r="F519" s="582"/>
      <c r="G519" s="583"/>
      <c r="H519" s="770"/>
      <c r="I519" s="773"/>
      <c r="J519" s="776"/>
      <c r="K519" s="779"/>
    </row>
    <row r="520" spans="3:11" x14ac:dyDescent="0.2">
      <c r="C520" s="569">
        <v>517</v>
      </c>
      <c r="D520" s="580"/>
      <c r="E520" s="581"/>
      <c r="F520" s="582"/>
      <c r="G520" s="583"/>
      <c r="H520" s="770"/>
      <c r="I520" s="773"/>
      <c r="J520" s="776"/>
      <c r="K520" s="779"/>
    </row>
    <row r="521" spans="3:11" x14ac:dyDescent="0.2">
      <c r="C521" s="569">
        <v>518</v>
      </c>
      <c r="D521" s="580"/>
      <c r="E521" s="581"/>
      <c r="F521" s="582"/>
      <c r="G521" s="583"/>
      <c r="H521" s="770"/>
      <c r="I521" s="773"/>
      <c r="J521" s="776"/>
      <c r="K521" s="779"/>
    </row>
    <row r="522" spans="3:11" x14ac:dyDescent="0.2">
      <c r="C522" s="569">
        <v>519</v>
      </c>
      <c r="D522" s="580"/>
      <c r="E522" s="581"/>
      <c r="F522" s="582"/>
      <c r="G522" s="583"/>
      <c r="H522" s="770"/>
      <c r="I522" s="773"/>
      <c r="J522" s="776"/>
      <c r="K522" s="779"/>
    </row>
    <row r="523" spans="3:11" x14ac:dyDescent="0.2">
      <c r="C523" s="569">
        <v>520</v>
      </c>
      <c r="D523" s="580"/>
      <c r="E523" s="581"/>
      <c r="F523" s="582"/>
      <c r="G523" s="583"/>
      <c r="H523" s="770"/>
      <c r="I523" s="773"/>
      <c r="J523" s="776"/>
      <c r="K523" s="779"/>
    </row>
    <row r="524" spans="3:11" x14ac:dyDescent="0.2">
      <c r="C524" s="569">
        <v>521</v>
      </c>
      <c r="D524" s="580"/>
      <c r="E524" s="581"/>
      <c r="F524" s="582"/>
      <c r="G524" s="583"/>
      <c r="H524" s="770"/>
      <c r="I524" s="773"/>
      <c r="J524" s="776"/>
      <c r="K524" s="779"/>
    </row>
    <row r="525" spans="3:11" x14ac:dyDescent="0.2">
      <c r="C525" s="569">
        <v>522</v>
      </c>
      <c r="D525" s="580"/>
      <c r="E525" s="581"/>
      <c r="F525" s="582"/>
      <c r="G525" s="583"/>
      <c r="H525" s="770"/>
      <c r="I525" s="773"/>
      <c r="J525" s="776"/>
      <c r="K525" s="779"/>
    </row>
    <row r="526" spans="3:11" x14ac:dyDescent="0.2">
      <c r="C526" s="569">
        <v>523</v>
      </c>
      <c r="D526" s="580"/>
      <c r="E526" s="581"/>
      <c r="F526" s="582"/>
      <c r="G526" s="583"/>
      <c r="H526" s="770"/>
      <c r="I526" s="773"/>
      <c r="J526" s="776"/>
      <c r="K526" s="779"/>
    </row>
    <row r="527" spans="3:11" x14ac:dyDescent="0.2">
      <c r="C527" s="569">
        <v>524</v>
      </c>
      <c r="D527" s="580"/>
      <c r="E527" s="581"/>
      <c r="F527" s="582"/>
      <c r="G527" s="583"/>
      <c r="H527" s="770"/>
      <c r="I527" s="773"/>
      <c r="J527" s="776"/>
      <c r="K527" s="779"/>
    </row>
    <row r="528" spans="3:11" x14ac:dyDescent="0.2">
      <c r="C528" s="569">
        <v>525</v>
      </c>
      <c r="D528" s="580"/>
      <c r="E528" s="581"/>
      <c r="F528" s="582"/>
      <c r="G528" s="583"/>
      <c r="H528" s="770"/>
      <c r="I528" s="773"/>
      <c r="J528" s="776"/>
      <c r="K528" s="779"/>
    </row>
    <row r="529" spans="3:11" x14ac:dyDescent="0.2">
      <c r="C529" s="569">
        <v>526</v>
      </c>
      <c r="D529" s="580"/>
      <c r="E529" s="581"/>
      <c r="F529" s="582"/>
      <c r="G529" s="583"/>
      <c r="H529" s="770"/>
      <c r="I529" s="773"/>
      <c r="J529" s="776"/>
      <c r="K529" s="779"/>
    </row>
    <row r="530" spans="3:11" x14ac:dyDescent="0.2">
      <c r="C530" s="569">
        <v>527</v>
      </c>
      <c r="D530" s="580"/>
      <c r="E530" s="581"/>
      <c r="F530" s="582"/>
      <c r="G530" s="583"/>
      <c r="H530" s="770"/>
      <c r="I530" s="773"/>
      <c r="J530" s="776"/>
      <c r="K530" s="779"/>
    </row>
    <row r="531" spans="3:11" x14ac:dyDescent="0.2">
      <c r="C531" s="569">
        <v>528</v>
      </c>
      <c r="D531" s="580"/>
      <c r="E531" s="581"/>
      <c r="F531" s="582"/>
      <c r="G531" s="583"/>
      <c r="H531" s="770"/>
      <c r="I531" s="773"/>
      <c r="J531" s="776"/>
      <c r="K531" s="779"/>
    </row>
    <row r="532" spans="3:11" x14ac:dyDescent="0.2">
      <c r="C532" s="569">
        <v>529</v>
      </c>
      <c r="D532" s="580"/>
      <c r="E532" s="581"/>
      <c r="F532" s="582"/>
      <c r="G532" s="583"/>
      <c r="H532" s="770"/>
      <c r="I532" s="773"/>
      <c r="J532" s="776"/>
      <c r="K532" s="779"/>
    </row>
    <row r="533" spans="3:11" x14ac:dyDescent="0.2">
      <c r="C533" s="569">
        <v>530</v>
      </c>
      <c r="D533" s="580"/>
      <c r="E533" s="581"/>
      <c r="F533" s="582"/>
      <c r="G533" s="583"/>
      <c r="H533" s="770"/>
      <c r="I533" s="773"/>
      <c r="J533" s="776"/>
      <c r="K533" s="779"/>
    </row>
    <row r="534" spans="3:11" x14ac:dyDescent="0.2">
      <c r="C534" s="569">
        <v>531</v>
      </c>
      <c r="D534" s="580"/>
      <c r="E534" s="581"/>
      <c r="F534" s="582"/>
      <c r="G534" s="583"/>
      <c r="H534" s="770"/>
      <c r="I534" s="773"/>
      <c r="J534" s="776"/>
      <c r="K534" s="779"/>
    </row>
    <row r="535" spans="3:11" x14ac:dyDescent="0.2">
      <c r="C535" s="569">
        <v>532</v>
      </c>
      <c r="D535" s="580"/>
      <c r="E535" s="581"/>
      <c r="F535" s="582"/>
      <c r="G535" s="583"/>
      <c r="H535" s="770"/>
      <c r="I535" s="773"/>
      <c r="J535" s="776"/>
      <c r="K535" s="779"/>
    </row>
    <row r="536" spans="3:11" x14ac:dyDescent="0.2">
      <c r="C536" s="569">
        <v>533</v>
      </c>
      <c r="D536" s="580"/>
      <c r="E536" s="581"/>
      <c r="F536" s="582"/>
      <c r="G536" s="583"/>
      <c r="H536" s="770"/>
      <c r="I536" s="773"/>
      <c r="J536" s="776"/>
      <c r="K536" s="779"/>
    </row>
    <row r="537" spans="3:11" x14ac:dyDescent="0.2">
      <c r="C537" s="569">
        <v>534</v>
      </c>
      <c r="D537" s="580"/>
      <c r="E537" s="581"/>
      <c r="F537" s="582"/>
      <c r="G537" s="583"/>
      <c r="H537" s="770"/>
      <c r="I537" s="773"/>
      <c r="J537" s="776"/>
      <c r="K537" s="779"/>
    </row>
    <row r="538" spans="3:11" x14ac:dyDescent="0.2">
      <c r="C538" s="569">
        <v>535</v>
      </c>
      <c r="D538" s="580"/>
      <c r="E538" s="581"/>
      <c r="F538" s="582"/>
      <c r="G538" s="583"/>
      <c r="H538" s="770"/>
      <c r="I538" s="773"/>
      <c r="J538" s="776"/>
      <c r="K538" s="779"/>
    </row>
    <row r="539" spans="3:11" x14ac:dyDescent="0.2">
      <c r="C539" s="569">
        <v>536</v>
      </c>
      <c r="D539" s="580"/>
      <c r="E539" s="581"/>
      <c r="F539" s="582"/>
      <c r="G539" s="583"/>
      <c r="H539" s="770"/>
      <c r="I539" s="773"/>
      <c r="J539" s="776"/>
      <c r="K539" s="779"/>
    </row>
    <row r="540" spans="3:11" x14ac:dyDescent="0.2">
      <c r="C540" s="569">
        <v>537</v>
      </c>
      <c r="D540" s="580"/>
      <c r="E540" s="581"/>
      <c r="F540" s="582"/>
      <c r="G540" s="583"/>
      <c r="H540" s="770"/>
      <c r="I540" s="773"/>
      <c r="J540" s="776"/>
      <c r="K540" s="779"/>
    </row>
    <row r="541" spans="3:11" x14ac:dyDescent="0.2">
      <c r="C541" s="569">
        <v>538</v>
      </c>
      <c r="D541" s="580"/>
      <c r="E541" s="581"/>
      <c r="F541" s="582"/>
      <c r="G541" s="583"/>
      <c r="H541" s="770"/>
      <c r="I541" s="773"/>
      <c r="J541" s="776"/>
      <c r="K541" s="779"/>
    </row>
    <row r="542" spans="3:11" x14ac:dyDescent="0.2">
      <c r="C542" s="569">
        <v>539</v>
      </c>
      <c r="D542" s="580"/>
      <c r="E542" s="581"/>
      <c r="F542" s="582"/>
      <c r="G542" s="583"/>
      <c r="H542" s="770"/>
      <c r="I542" s="773"/>
      <c r="J542" s="776"/>
      <c r="K542" s="779"/>
    </row>
    <row r="543" spans="3:11" x14ac:dyDescent="0.2">
      <c r="C543" s="569">
        <v>540</v>
      </c>
      <c r="D543" s="580"/>
      <c r="E543" s="581"/>
      <c r="F543" s="582"/>
      <c r="G543" s="583"/>
      <c r="H543" s="770"/>
      <c r="I543" s="773"/>
      <c r="J543" s="776"/>
      <c r="K543" s="779"/>
    </row>
    <row r="544" spans="3:11" x14ac:dyDescent="0.2">
      <c r="C544" s="569">
        <v>541</v>
      </c>
      <c r="D544" s="580"/>
      <c r="E544" s="581"/>
      <c r="F544" s="582"/>
      <c r="G544" s="583"/>
      <c r="H544" s="770"/>
      <c r="I544" s="773"/>
      <c r="J544" s="776"/>
      <c r="K544" s="779"/>
    </row>
    <row r="545" spans="3:11" x14ac:dyDescent="0.2">
      <c r="C545" s="569">
        <v>542</v>
      </c>
      <c r="D545" s="580"/>
      <c r="E545" s="581"/>
      <c r="F545" s="582"/>
      <c r="G545" s="583"/>
      <c r="H545" s="770"/>
      <c r="I545" s="773"/>
      <c r="J545" s="776"/>
      <c r="K545" s="779"/>
    </row>
    <row r="546" spans="3:11" x14ac:dyDescent="0.2">
      <c r="C546" s="569">
        <v>543</v>
      </c>
      <c r="D546" s="580"/>
      <c r="E546" s="581"/>
      <c r="F546" s="582"/>
      <c r="G546" s="583"/>
      <c r="H546" s="770"/>
      <c r="I546" s="773"/>
      <c r="J546" s="776"/>
      <c r="K546" s="779"/>
    </row>
    <row r="547" spans="3:11" x14ac:dyDescent="0.2">
      <c r="C547" s="569">
        <v>544</v>
      </c>
      <c r="D547" s="580"/>
      <c r="E547" s="581"/>
      <c r="F547" s="582"/>
      <c r="G547" s="583"/>
      <c r="H547" s="770"/>
      <c r="I547" s="773"/>
      <c r="J547" s="776"/>
      <c r="K547" s="779"/>
    </row>
    <row r="548" spans="3:11" x14ac:dyDescent="0.2">
      <c r="C548" s="569">
        <v>545</v>
      </c>
      <c r="D548" s="580"/>
      <c r="E548" s="581"/>
      <c r="F548" s="582"/>
      <c r="G548" s="583"/>
      <c r="H548" s="770"/>
      <c r="I548" s="773"/>
      <c r="J548" s="776"/>
      <c r="K548" s="779"/>
    </row>
    <row r="549" spans="3:11" x14ac:dyDescent="0.2">
      <c r="C549" s="569">
        <v>546</v>
      </c>
      <c r="D549" s="580"/>
      <c r="E549" s="581"/>
      <c r="F549" s="582"/>
      <c r="G549" s="583"/>
      <c r="H549" s="770"/>
      <c r="I549" s="773"/>
      <c r="J549" s="776"/>
      <c r="K549" s="779"/>
    </row>
    <row r="550" spans="3:11" x14ac:dyDescent="0.2">
      <c r="C550" s="569">
        <v>547</v>
      </c>
      <c r="D550" s="580"/>
      <c r="E550" s="581"/>
      <c r="F550" s="582"/>
      <c r="G550" s="583"/>
      <c r="H550" s="770"/>
      <c r="I550" s="773"/>
      <c r="J550" s="776"/>
      <c r="K550" s="779"/>
    </row>
    <row r="551" spans="3:11" x14ac:dyDescent="0.2">
      <c r="C551" s="569">
        <v>548</v>
      </c>
      <c r="D551" s="580"/>
      <c r="E551" s="581"/>
      <c r="F551" s="582"/>
      <c r="G551" s="583"/>
      <c r="H551" s="770"/>
      <c r="I551" s="773"/>
      <c r="J551" s="776"/>
      <c r="K551" s="779"/>
    </row>
    <row r="552" spans="3:11" x14ac:dyDescent="0.2">
      <c r="C552" s="569">
        <v>549</v>
      </c>
      <c r="D552" s="580"/>
      <c r="E552" s="581"/>
      <c r="F552" s="582"/>
      <c r="G552" s="583"/>
      <c r="H552" s="770"/>
      <c r="I552" s="773"/>
      <c r="J552" s="776"/>
      <c r="K552" s="779"/>
    </row>
    <row r="553" spans="3:11" x14ac:dyDescent="0.2">
      <c r="C553" s="569">
        <v>550</v>
      </c>
      <c r="D553" s="580"/>
      <c r="E553" s="581"/>
      <c r="F553" s="582"/>
      <c r="G553" s="583"/>
      <c r="H553" s="770"/>
      <c r="I553" s="773"/>
      <c r="J553" s="776"/>
      <c r="K553" s="779"/>
    </row>
    <row r="554" spans="3:11" x14ac:dyDescent="0.2">
      <c r="C554" s="569">
        <v>551</v>
      </c>
      <c r="D554" s="580"/>
      <c r="E554" s="581"/>
      <c r="F554" s="582"/>
      <c r="G554" s="583"/>
      <c r="H554" s="770"/>
      <c r="I554" s="773"/>
      <c r="J554" s="776"/>
      <c r="K554" s="779"/>
    </row>
    <row r="555" spans="3:11" x14ac:dyDescent="0.2">
      <c r="C555" s="569">
        <v>552</v>
      </c>
      <c r="D555" s="580"/>
      <c r="E555" s="581"/>
      <c r="F555" s="582"/>
      <c r="G555" s="583"/>
      <c r="H555" s="770"/>
      <c r="I555" s="773"/>
      <c r="J555" s="776"/>
      <c r="K555" s="779"/>
    </row>
    <row r="556" spans="3:11" x14ac:dyDescent="0.2">
      <c r="C556" s="569">
        <v>553</v>
      </c>
      <c r="D556" s="580"/>
      <c r="E556" s="581"/>
      <c r="F556" s="582"/>
      <c r="G556" s="583"/>
      <c r="H556" s="770"/>
      <c r="I556" s="773"/>
      <c r="J556" s="776"/>
      <c r="K556" s="779"/>
    </row>
    <row r="557" spans="3:11" x14ac:dyDescent="0.2">
      <c r="C557" s="569">
        <v>554</v>
      </c>
      <c r="D557" s="580"/>
      <c r="E557" s="581"/>
      <c r="F557" s="582"/>
      <c r="G557" s="583"/>
      <c r="H557" s="770"/>
      <c r="I557" s="773"/>
      <c r="J557" s="776"/>
      <c r="K557" s="779"/>
    </row>
    <row r="558" spans="3:11" x14ac:dyDescent="0.2">
      <c r="C558" s="569">
        <v>555</v>
      </c>
      <c r="D558" s="580"/>
      <c r="E558" s="581"/>
      <c r="F558" s="582"/>
      <c r="G558" s="583"/>
      <c r="H558" s="770"/>
      <c r="I558" s="773"/>
      <c r="J558" s="776"/>
      <c r="K558" s="779"/>
    </row>
    <row r="559" spans="3:11" x14ac:dyDescent="0.2">
      <c r="C559" s="569">
        <v>556</v>
      </c>
      <c r="D559" s="580"/>
      <c r="E559" s="581"/>
      <c r="F559" s="582"/>
      <c r="G559" s="583"/>
      <c r="H559" s="770"/>
      <c r="I559" s="773"/>
      <c r="J559" s="776"/>
      <c r="K559" s="779"/>
    </row>
    <row r="560" spans="3:11" x14ac:dyDescent="0.2">
      <c r="C560" s="569">
        <v>557</v>
      </c>
      <c r="D560" s="580"/>
      <c r="E560" s="581"/>
      <c r="F560" s="582"/>
      <c r="G560" s="583"/>
      <c r="H560" s="770"/>
      <c r="I560" s="773"/>
      <c r="J560" s="776"/>
      <c r="K560" s="779"/>
    </row>
    <row r="561" spans="3:11" x14ac:dyDescent="0.2">
      <c r="C561" s="569">
        <v>558</v>
      </c>
      <c r="D561" s="580"/>
      <c r="E561" s="581"/>
      <c r="F561" s="582"/>
      <c r="G561" s="583"/>
      <c r="H561" s="770"/>
      <c r="I561" s="773"/>
      <c r="J561" s="776"/>
      <c r="K561" s="779"/>
    </row>
    <row r="562" spans="3:11" x14ac:dyDescent="0.2">
      <c r="C562" s="569">
        <v>559</v>
      </c>
      <c r="D562" s="580"/>
      <c r="E562" s="581"/>
      <c r="F562" s="582"/>
      <c r="G562" s="583"/>
      <c r="H562" s="770"/>
      <c r="I562" s="773"/>
      <c r="J562" s="776"/>
      <c r="K562" s="779"/>
    </row>
    <row r="563" spans="3:11" x14ac:dyDescent="0.2">
      <c r="C563" s="569">
        <v>560</v>
      </c>
      <c r="D563" s="580"/>
      <c r="E563" s="581"/>
      <c r="F563" s="582"/>
      <c r="G563" s="583"/>
      <c r="H563" s="770"/>
      <c r="I563" s="773"/>
      <c r="J563" s="776"/>
      <c r="K563" s="779"/>
    </row>
    <row r="564" spans="3:11" x14ac:dyDescent="0.2">
      <c r="C564" s="569">
        <v>561</v>
      </c>
      <c r="D564" s="580"/>
      <c r="E564" s="581"/>
      <c r="F564" s="582"/>
      <c r="G564" s="583"/>
      <c r="H564" s="770"/>
      <c r="I564" s="773"/>
      <c r="J564" s="776"/>
      <c r="K564" s="779"/>
    </row>
    <row r="565" spans="3:11" x14ac:dyDescent="0.2">
      <c r="C565" s="569">
        <v>562</v>
      </c>
      <c r="D565" s="580"/>
      <c r="E565" s="581"/>
      <c r="F565" s="582"/>
      <c r="G565" s="583"/>
      <c r="H565" s="770"/>
      <c r="I565" s="773"/>
      <c r="J565" s="776"/>
      <c r="K565" s="779"/>
    </row>
    <row r="566" spans="3:11" x14ac:dyDescent="0.2">
      <c r="C566" s="569">
        <v>563</v>
      </c>
      <c r="D566" s="580"/>
      <c r="E566" s="581"/>
      <c r="F566" s="582"/>
      <c r="G566" s="583"/>
      <c r="H566" s="770"/>
      <c r="I566" s="773"/>
      <c r="J566" s="776"/>
      <c r="K566" s="779"/>
    </row>
    <row r="567" spans="3:11" x14ac:dyDescent="0.2">
      <c r="C567" s="569">
        <v>564</v>
      </c>
      <c r="D567" s="580"/>
      <c r="E567" s="581"/>
      <c r="F567" s="582"/>
      <c r="G567" s="583"/>
      <c r="H567" s="770"/>
      <c r="I567" s="773"/>
      <c r="J567" s="776"/>
      <c r="K567" s="779"/>
    </row>
    <row r="568" spans="3:11" x14ac:dyDescent="0.2">
      <c r="C568" s="569">
        <v>565</v>
      </c>
      <c r="D568" s="580"/>
      <c r="E568" s="581"/>
      <c r="F568" s="582"/>
      <c r="G568" s="583"/>
      <c r="H568" s="770"/>
      <c r="I568" s="773"/>
      <c r="J568" s="776"/>
      <c r="K568" s="779"/>
    </row>
    <row r="569" spans="3:11" x14ac:dyDescent="0.2">
      <c r="C569" s="569">
        <v>566</v>
      </c>
      <c r="D569" s="580"/>
      <c r="E569" s="581"/>
      <c r="F569" s="582"/>
      <c r="G569" s="583"/>
      <c r="H569" s="770"/>
      <c r="I569" s="773"/>
      <c r="J569" s="776"/>
      <c r="K569" s="779"/>
    </row>
    <row r="570" spans="3:11" x14ac:dyDescent="0.2">
      <c r="C570" s="569">
        <v>567</v>
      </c>
      <c r="D570" s="580"/>
      <c r="E570" s="581"/>
      <c r="F570" s="582"/>
      <c r="G570" s="583"/>
      <c r="H570" s="770"/>
      <c r="I570" s="773"/>
      <c r="J570" s="776"/>
      <c r="K570" s="779"/>
    </row>
    <row r="571" spans="3:11" x14ac:dyDescent="0.2">
      <c r="C571" s="569">
        <v>568</v>
      </c>
      <c r="D571" s="580"/>
      <c r="E571" s="581"/>
      <c r="F571" s="582"/>
      <c r="G571" s="583"/>
      <c r="H571" s="770"/>
      <c r="I571" s="773"/>
      <c r="J571" s="776"/>
      <c r="K571" s="779"/>
    </row>
    <row r="572" spans="3:11" x14ac:dyDescent="0.2">
      <c r="C572" s="569">
        <v>569</v>
      </c>
      <c r="D572" s="580"/>
      <c r="E572" s="581"/>
      <c r="F572" s="582"/>
      <c r="G572" s="583"/>
      <c r="H572" s="770"/>
      <c r="I572" s="773"/>
      <c r="J572" s="776"/>
      <c r="K572" s="779"/>
    </row>
    <row r="573" spans="3:11" x14ac:dyDescent="0.2">
      <c r="C573" s="569">
        <v>570</v>
      </c>
      <c r="D573" s="580"/>
      <c r="E573" s="581"/>
      <c r="F573" s="582"/>
      <c r="G573" s="583"/>
      <c r="H573" s="770"/>
      <c r="I573" s="773"/>
      <c r="J573" s="776"/>
      <c r="K573" s="779"/>
    </row>
    <row r="574" spans="3:11" x14ac:dyDescent="0.2">
      <c r="C574" s="569">
        <v>571</v>
      </c>
      <c r="D574" s="580"/>
      <c r="E574" s="581"/>
      <c r="F574" s="582"/>
      <c r="G574" s="583"/>
      <c r="H574" s="770"/>
      <c r="I574" s="773"/>
      <c r="J574" s="776"/>
      <c r="K574" s="779"/>
    </row>
    <row r="575" spans="3:11" x14ac:dyDescent="0.2">
      <c r="C575" s="569">
        <v>572</v>
      </c>
      <c r="D575" s="580"/>
      <c r="E575" s="581"/>
      <c r="F575" s="582"/>
      <c r="G575" s="583"/>
      <c r="H575" s="770"/>
      <c r="I575" s="773"/>
      <c r="J575" s="776"/>
      <c r="K575" s="779"/>
    </row>
    <row r="576" spans="3:11" x14ac:dyDescent="0.2">
      <c r="C576" s="569">
        <v>573</v>
      </c>
      <c r="D576" s="580"/>
      <c r="E576" s="581"/>
      <c r="F576" s="582"/>
      <c r="G576" s="583"/>
      <c r="H576" s="770"/>
      <c r="I576" s="773"/>
      <c r="J576" s="776"/>
      <c r="K576" s="779"/>
    </row>
    <row r="577" spans="3:11" x14ac:dyDescent="0.2">
      <c r="C577" s="569">
        <v>574</v>
      </c>
      <c r="D577" s="580"/>
      <c r="E577" s="581"/>
      <c r="F577" s="582"/>
      <c r="G577" s="583"/>
      <c r="H577" s="770"/>
      <c r="I577" s="773"/>
      <c r="J577" s="776"/>
      <c r="K577" s="779"/>
    </row>
    <row r="578" spans="3:11" x14ac:dyDescent="0.2">
      <c r="C578" s="569">
        <v>575</v>
      </c>
      <c r="D578" s="580"/>
      <c r="E578" s="581"/>
      <c r="F578" s="582"/>
      <c r="G578" s="583"/>
      <c r="H578" s="770"/>
      <c r="I578" s="773"/>
      <c r="J578" s="776"/>
      <c r="K578" s="779"/>
    </row>
    <row r="579" spans="3:11" x14ac:dyDescent="0.2">
      <c r="C579" s="569">
        <v>576</v>
      </c>
      <c r="D579" s="580"/>
      <c r="E579" s="581"/>
      <c r="F579" s="582"/>
      <c r="G579" s="583"/>
      <c r="H579" s="770"/>
      <c r="I579" s="773"/>
      <c r="J579" s="776"/>
      <c r="K579" s="779"/>
    </row>
    <row r="580" spans="3:11" x14ac:dyDescent="0.2">
      <c r="C580" s="569">
        <v>577</v>
      </c>
      <c r="D580" s="580"/>
      <c r="E580" s="581"/>
      <c r="F580" s="582"/>
      <c r="G580" s="583"/>
      <c r="H580" s="770"/>
      <c r="I580" s="773"/>
      <c r="J580" s="776"/>
      <c r="K580" s="779"/>
    </row>
    <row r="581" spans="3:11" x14ac:dyDescent="0.2">
      <c r="C581" s="569">
        <v>578</v>
      </c>
      <c r="D581" s="580"/>
      <c r="E581" s="581"/>
      <c r="F581" s="582"/>
      <c r="G581" s="583"/>
      <c r="H581" s="770"/>
      <c r="I581" s="773"/>
      <c r="J581" s="776"/>
      <c r="K581" s="779"/>
    </row>
    <row r="582" spans="3:11" x14ac:dyDescent="0.2">
      <c r="C582" s="569">
        <v>579</v>
      </c>
      <c r="D582" s="580"/>
      <c r="E582" s="581"/>
      <c r="F582" s="582"/>
      <c r="G582" s="583"/>
      <c r="H582" s="770"/>
      <c r="I582" s="773"/>
      <c r="J582" s="776"/>
      <c r="K582" s="779"/>
    </row>
    <row r="583" spans="3:11" x14ac:dyDescent="0.2">
      <c r="C583" s="569">
        <v>580</v>
      </c>
      <c r="D583" s="580"/>
      <c r="E583" s="581"/>
      <c r="F583" s="582"/>
      <c r="G583" s="583"/>
      <c r="H583" s="770"/>
      <c r="I583" s="773"/>
      <c r="J583" s="776"/>
      <c r="K583" s="779"/>
    </row>
    <row r="584" spans="3:11" x14ac:dyDescent="0.2">
      <c r="C584" s="569">
        <v>581</v>
      </c>
      <c r="D584" s="580"/>
      <c r="E584" s="581"/>
      <c r="F584" s="582"/>
      <c r="G584" s="583"/>
      <c r="H584" s="770"/>
      <c r="I584" s="773"/>
      <c r="J584" s="776"/>
      <c r="K584" s="779"/>
    </row>
    <row r="585" spans="3:11" x14ac:dyDescent="0.2">
      <c r="C585" s="569">
        <v>582</v>
      </c>
      <c r="D585" s="580"/>
      <c r="E585" s="581"/>
      <c r="F585" s="582"/>
      <c r="G585" s="583"/>
      <c r="H585" s="770"/>
      <c r="I585" s="773"/>
      <c r="J585" s="776"/>
      <c r="K585" s="779"/>
    </row>
    <row r="586" spans="3:11" x14ac:dyDescent="0.2">
      <c r="C586" s="569">
        <v>583</v>
      </c>
      <c r="D586" s="580"/>
      <c r="E586" s="581"/>
      <c r="F586" s="582"/>
      <c r="G586" s="583"/>
      <c r="H586" s="770"/>
      <c r="I586" s="773"/>
      <c r="J586" s="776"/>
      <c r="K586" s="779"/>
    </row>
    <row r="587" spans="3:11" x14ac:dyDescent="0.2">
      <c r="C587" s="569">
        <v>584</v>
      </c>
      <c r="D587" s="580"/>
      <c r="E587" s="581"/>
      <c r="F587" s="582"/>
      <c r="G587" s="583"/>
      <c r="H587" s="770"/>
      <c r="I587" s="773"/>
      <c r="J587" s="776"/>
      <c r="K587" s="779"/>
    </row>
    <row r="588" spans="3:11" x14ac:dyDescent="0.2">
      <c r="C588" s="569">
        <v>585</v>
      </c>
      <c r="D588" s="580"/>
      <c r="E588" s="581"/>
      <c r="F588" s="582"/>
      <c r="G588" s="583"/>
      <c r="H588" s="770"/>
      <c r="I588" s="773"/>
      <c r="J588" s="776"/>
      <c r="K588" s="779"/>
    </row>
    <row r="589" spans="3:11" x14ac:dyDescent="0.2">
      <c r="C589" s="569">
        <v>586</v>
      </c>
      <c r="D589" s="580"/>
      <c r="E589" s="581"/>
      <c r="F589" s="582"/>
      <c r="G589" s="583"/>
      <c r="H589" s="770"/>
      <c r="I589" s="773"/>
      <c r="J589" s="776"/>
      <c r="K589" s="779"/>
    </row>
    <row r="590" spans="3:11" x14ac:dyDescent="0.2">
      <c r="C590" s="569">
        <v>587</v>
      </c>
      <c r="D590" s="580"/>
      <c r="E590" s="581"/>
      <c r="F590" s="582"/>
      <c r="G590" s="583"/>
      <c r="H590" s="770"/>
      <c r="I590" s="773"/>
      <c r="J590" s="776"/>
      <c r="K590" s="779"/>
    </row>
    <row r="591" spans="3:11" x14ac:dyDescent="0.2">
      <c r="C591" s="569">
        <v>588</v>
      </c>
      <c r="D591" s="580"/>
      <c r="E591" s="581"/>
      <c r="F591" s="582"/>
      <c r="G591" s="583"/>
      <c r="H591" s="770"/>
      <c r="I591" s="773"/>
      <c r="J591" s="776"/>
      <c r="K591" s="779"/>
    </row>
    <row r="592" spans="3:11" x14ac:dyDescent="0.2">
      <c r="C592" s="569">
        <v>589</v>
      </c>
      <c r="D592" s="580"/>
      <c r="E592" s="581"/>
      <c r="F592" s="582"/>
      <c r="G592" s="583"/>
      <c r="H592" s="770"/>
      <c r="I592" s="773"/>
      <c r="J592" s="776"/>
      <c r="K592" s="779"/>
    </row>
    <row r="593" spans="3:11" x14ac:dyDescent="0.2">
      <c r="C593" s="569">
        <v>590</v>
      </c>
      <c r="D593" s="580"/>
      <c r="E593" s="581"/>
      <c r="F593" s="582"/>
      <c r="G593" s="583"/>
      <c r="H593" s="770"/>
      <c r="I593" s="773"/>
      <c r="J593" s="776"/>
      <c r="K593" s="779"/>
    </row>
    <row r="594" spans="3:11" x14ac:dyDescent="0.2">
      <c r="C594" s="569">
        <v>591</v>
      </c>
      <c r="D594" s="580"/>
      <c r="E594" s="581"/>
      <c r="F594" s="582"/>
      <c r="G594" s="583"/>
      <c r="H594" s="770"/>
      <c r="I594" s="773"/>
      <c r="J594" s="776"/>
      <c r="K594" s="779"/>
    </row>
    <row r="595" spans="3:11" x14ac:dyDescent="0.2">
      <c r="C595" s="569">
        <v>592</v>
      </c>
      <c r="D595" s="580"/>
      <c r="E595" s="581"/>
      <c r="F595" s="582"/>
      <c r="G595" s="583"/>
      <c r="H595" s="770"/>
      <c r="I595" s="773"/>
      <c r="J595" s="776"/>
      <c r="K595" s="779"/>
    </row>
    <row r="596" spans="3:11" x14ac:dyDescent="0.2">
      <c r="C596" s="569">
        <v>593</v>
      </c>
      <c r="D596" s="580"/>
      <c r="E596" s="581"/>
      <c r="F596" s="582"/>
      <c r="G596" s="583"/>
      <c r="H596" s="770"/>
      <c r="I596" s="773"/>
      <c r="J596" s="776"/>
      <c r="K596" s="779"/>
    </row>
    <row r="597" spans="3:11" x14ac:dyDescent="0.2">
      <c r="C597" s="569">
        <v>594</v>
      </c>
      <c r="D597" s="580"/>
      <c r="E597" s="581"/>
      <c r="F597" s="582"/>
      <c r="G597" s="583"/>
      <c r="H597" s="770"/>
      <c r="I597" s="773"/>
      <c r="J597" s="776"/>
      <c r="K597" s="779"/>
    </row>
    <row r="598" spans="3:11" x14ac:dyDescent="0.2">
      <c r="C598" s="569">
        <v>595</v>
      </c>
      <c r="D598" s="580"/>
      <c r="E598" s="581"/>
      <c r="F598" s="582"/>
      <c r="G598" s="583"/>
      <c r="H598" s="770"/>
      <c r="I598" s="773"/>
      <c r="J598" s="776"/>
      <c r="K598" s="779"/>
    </row>
    <row r="599" spans="3:11" x14ac:dyDescent="0.2">
      <c r="C599" s="569">
        <v>596</v>
      </c>
      <c r="D599" s="580"/>
      <c r="E599" s="581"/>
      <c r="F599" s="582"/>
      <c r="G599" s="583"/>
      <c r="H599" s="770"/>
      <c r="I599" s="773"/>
      <c r="J599" s="776"/>
      <c r="K599" s="779"/>
    </row>
    <row r="600" spans="3:11" x14ac:dyDescent="0.2">
      <c r="C600" s="569">
        <v>597</v>
      </c>
      <c r="D600" s="580"/>
      <c r="E600" s="581"/>
      <c r="F600" s="582"/>
      <c r="G600" s="583"/>
      <c r="H600" s="770"/>
      <c r="I600" s="773"/>
      <c r="J600" s="776"/>
      <c r="K600" s="779"/>
    </row>
    <row r="601" spans="3:11" x14ac:dyDescent="0.2">
      <c r="C601" s="569">
        <v>598</v>
      </c>
      <c r="D601" s="580"/>
      <c r="E601" s="581"/>
      <c r="F601" s="582"/>
      <c r="G601" s="583"/>
      <c r="H601" s="770"/>
      <c r="I601" s="773"/>
      <c r="J601" s="776"/>
      <c r="K601" s="779"/>
    </row>
    <row r="602" spans="3:11" x14ac:dyDescent="0.2">
      <c r="C602" s="569">
        <v>599</v>
      </c>
      <c r="D602" s="580"/>
      <c r="E602" s="581"/>
      <c r="F602" s="582"/>
      <c r="G602" s="583"/>
      <c r="H602" s="770"/>
      <c r="I602" s="773"/>
      <c r="J602" s="776"/>
      <c r="K602" s="779"/>
    </row>
    <row r="603" spans="3:11" x14ac:dyDescent="0.2">
      <c r="C603" s="569">
        <v>600</v>
      </c>
      <c r="D603" s="580"/>
      <c r="E603" s="581"/>
      <c r="F603" s="582"/>
      <c r="G603" s="583"/>
      <c r="H603" s="770"/>
      <c r="I603" s="773"/>
      <c r="J603" s="776"/>
      <c r="K603" s="779"/>
    </row>
    <row r="604" spans="3:11" x14ac:dyDescent="0.2">
      <c r="C604" s="569">
        <v>601</v>
      </c>
      <c r="D604" s="580"/>
      <c r="E604" s="581"/>
      <c r="F604" s="582"/>
      <c r="G604" s="583"/>
      <c r="H604" s="770"/>
      <c r="I604" s="773"/>
      <c r="J604" s="776"/>
      <c r="K604" s="779"/>
    </row>
    <row r="605" spans="3:11" x14ac:dyDescent="0.2">
      <c r="C605" s="569">
        <v>602</v>
      </c>
      <c r="D605" s="580"/>
      <c r="E605" s="581"/>
      <c r="F605" s="582"/>
      <c r="G605" s="583"/>
      <c r="H605" s="770"/>
      <c r="I605" s="773"/>
      <c r="J605" s="776"/>
      <c r="K605" s="779"/>
    </row>
    <row r="606" spans="3:11" x14ac:dyDescent="0.2">
      <c r="C606" s="569">
        <v>603</v>
      </c>
      <c r="D606" s="580"/>
      <c r="E606" s="581"/>
      <c r="F606" s="582"/>
      <c r="G606" s="583"/>
      <c r="H606" s="770"/>
      <c r="I606" s="773"/>
      <c r="J606" s="776"/>
      <c r="K606" s="779"/>
    </row>
    <row r="607" spans="3:11" x14ac:dyDescent="0.2">
      <c r="C607" s="569">
        <v>604</v>
      </c>
      <c r="D607" s="580"/>
      <c r="E607" s="581"/>
      <c r="F607" s="582"/>
      <c r="G607" s="583"/>
      <c r="H607" s="770"/>
      <c r="I607" s="773"/>
      <c r="J607" s="776"/>
      <c r="K607" s="779"/>
    </row>
    <row r="608" spans="3:11" x14ac:dyDescent="0.2">
      <c r="C608" s="569">
        <v>605</v>
      </c>
      <c r="D608" s="580"/>
      <c r="E608" s="581"/>
      <c r="F608" s="582"/>
      <c r="G608" s="583"/>
      <c r="H608" s="770"/>
      <c r="I608" s="773"/>
      <c r="J608" s="776"/>
      <c r="K608" s="779"/>
    </row>
    <row r="609" spans="3:11" x14ac:dyDescent="0.2">
      <c r="C609" s="569">
        <v>606</v>
      </c>
      <c r="D609" s="580"/>
      <c r="E609" s="581"/>
      <c r="F609" s="582"/>
      <c r="G609" s="583"/>
      <c r="H609" s="770"/>
      <c r="I609" s="773"/>
      <c r="J609" s="776"/>
      <c r="K609" s="779"/>
    </row>
    <row r="610" spans="3:11" x14ac:dyDescent="0.2">
      <c r="C610" s="569">
        <v>607</v>
      </c>
      <c r="D610" s="580"/>
      <c r="E610" s="581"/>
      <c r="F610" s="582"/>
      <c r="G610" s="583"/>
      <c r="H610" s="770"/>
      <c r="I610" s="773"/>
      <c r="J610" s="776"/>
      <c r="K610" s="779"/>
    </row>
    <row r="611" spans="3:11" x14ac:dyDescent="0.2">
      <c r="C611" s="569">
        <v>608</v>
      </c>
      <c r="D611" s="580"/>
      <c r="E611" s="581"/>
      <c r="F611" s="582"/>
      <c r="G611" s="583"/>
      <c r="H611" s="770"/>
      <c r="I611" s="773"/>
      <c r="J611" s="776"/>
      <c r="K611" s="779"/>
    </row>
    <row r="612" spans="3:11" x14ac:dyDescent="0.2">
      <c r="C612" s="569">
        <v>609</v>
      </c>
      <c r="D612" s="580"/>
      <c r="E612" s="581"/>
      <c r="F612" s="582"/>
      <c r="G612" s="583"/>
      <c r="H612" s="770"/>
      <c r="I612" s="773"/>
      <c r="J612" s="776"/>
      <c r="K612" s="779"/>
    </row>
    <row r="613" spans="3:11" x14ac:dyDescent="0.2">
      <c r="C613" s="569">
        <v>610</v>
      </c>
      <c r="D613" s="580"/>
      <c r="E613" s="581"/>
      <c r="F613" s="582"/>
      <c r="G613" s="583"/>
      <c r="H613" s="770"/>
      <c r="I613" s="773"/>
      <c r="J613" s="776"/>
      <c r="K613" s="779"/>
    </row>
    <row r="614" spans="3:11" x14ac:dyDescent="0.2">
      <c r="C614" s="569">
        <v>611</v>
      </c>
      <c r="D614" s="580"/>
      <c r="E614" s="581"/>
      <c r="F614" s="582"/>
      <c r="G614" s="583"/>
      <c r="H614" s="770"/>
      <c r="I614" s="773"/>
      <c r="J614" s="776"/>
      <c r="K614" s="779"/>
    </row>
    <row r="615" spans="3:11" x14ac:dyDescent="0.2">
      <c r="C615" s="569">
        <v>612</v>
      </c>
      <c r="D615" s="580"/>
      <c r="E615" s="581"/>
      <c r="F615" s="582"/>
      <c r="G615" s="583"/>
      <c r="H615" s="770"/>
      <c r="I615" s="773"/>
      <c r="J615" s="776"/>
      <c r="K615" s="779"/>
    </row>
    <row r="616" spans="3:11" x14ac:dyDescent="0.2">
      <c r="C616" s="569">
        <v>613</v>
      </c>
      <c r="D616" s="580"/>
      <c r="E616" s="581"/>
      <c r="F616" s="582"/>
      <c r="G616" s="583"/>
      <c r="H616" s="770"/>
      <c r="I616" s="773"/>
      <c r="J616" s="776"/>
      <c r="K616" s="779"/>
    </row>
    <row r="617" spans="3:11" x14ac:dyDescent="0.2">
      <c r="C617" s="569">
        <v>614</v>
      </c>
      <c r="D617" s="580"/>
      <c r="E617" s="581"/>
      <c r="F617" s="582"/>
      <c r="G617" s="583"/>
      <c r="H617" s="770"/>
      <c r="I617" s="773"/>
      <c r="J617" s="776"/>
      <c r="K617" s="779"/>
    </row>
    <row r="618" spans="3:11" x14ac:dyDescent="0.2">
      <c r="C618" s="569">
        <v>615</v>
      </c>
      <c r="D618" s="580"/>
      <c r="E618" s="581"/>
      <c r="F618" s="582"/>
      <c r="G618" s="583"/>
      <c r="H618" s="770"/>
      <c r="I618" s="773"/>
      <c r="J618" s="776"/>
      <c r="K618" s="779"/>
    </row>
    <row r="619" spans="3:11" x14ac:dyDescent="0.2">
      <c r="C619" s="569">
        <v>616</v>
      </c>
      <c r="D619" s="580"/>
      <c r="E619" s="581"/>
      <c r="F619" s="582"/>
      <c r="G619" s="583"/>
      <c r="H619" s="770"/>
      <c r="I619" s="773"/>
      <c r="J619" s="776"/>
      <c r="K619" s="779"/>
    </row>
    <row r="620" spans="3:11" x14ac:dyDescent="0.2">
      <c r="C620" s="569">
        <v>617</v>
      </c>
      <c r="D620" s="580"/>
      <c r="E620" s="581"/>
      <c r="F620" s="582"/>
      <c r="G620" s="583"/>
      <c r="H620" s="770"/>
      <c r="I620" s="773"/>
      <c r="J620" s="776"/>
      <c r="K620" s="779"/>
    </row>
    <row r="621" spans="3:11" x14ac:dyDescent="0.2">
      <c r="C621" s="569">
        <v>618</v>
      </c>
      <c r="D621" s="580"/>
      <c r="E621" s="581"/>
      <c r="F621" s="582"/>
      <c r="G621" s="583"/>
      <c r="H621" s="770"/>
      <c r="I621" s="773"/>
      <c r="J621" s="776"/>
      <c r="K621" s="779"/>
    </row>
    <row r="622" spans="3:11" x14ac:dyDescent="0.2">
      <c r="C622" s="569">
        <v>619</v>
      </c>
      <c r="D622" s="580"/>
      <c r="E622" s="581"/>
      <c r="F622" s="582"/>
      <c r="G622" s="583"/>
      <c r="H622" s="770"/>
      <c r="I622" s="773"/>
      <c r="J622" s="776"/>
      <c r="K622" s="779"/>
    </row>
    <row r="623" spans="3:11" x14ac:dyDescent="0.2">
      <c r="C623" s="569">
        <v>620</v>
      </c>
      <c r="D623" s="580"/>
      <c r="E623" s="581"/>
      <c r="F623" s="582"/>
      <c r="G623" s="583"/>
      <c r="H623" s="770"/>
      <c r="I623" s="773"/>
      <c r="J623" s="776"/>
      <c r="K623" s="779"/>
    </row>
    <row r="624" spans="3:11" x14ac:dyDescent="0.2">
      <c r="C624" s="569">
        <v>621</v>
      </c>
      <c r="D624" s="580"/>
      <c r="E624" s="581"/>
      <c r="F624" s="582"/>
      <c r="G624" s="583"/>
      <c r="H624" s="770"/>
      <c r="I624" s="773"/>
      <c r="J624" s="776"/>
      <c r="K624" s="779"/>
    </row>
    <row r="625" spans="3:11" x14ac:dyDescent="0.2">
      <c r="C625" s="569">
        <v>622</v>
      </c>
      <c r="D625" s="580"/>
      <c r="E625" s="581"/>
      <c r="F625" s="582"/>
      <c r="G625" s="583"/>
      <c r="H625" s="770"/>
      <c r="I625" s="773"/>
      <c r="J625" s="776"/>
      <c r="K625" s="779"/>
    </row>
    <row r="626" spans="3:11" x14ac:dyDescent="0.2">
      <c r="C626" s="569">
        <v>623</v>
      </c>
      <c r="D626" s="580"/>
      <c r="E626" s="581"/>
      <c r="F626" s="582"/>
      <c r="G626" s="583"/>
      <c r="H626" s="770"/>
      <c r="I626" s="773"/>
      <c r="J626" s="776"/>
      <c r="K626" s="779"/>
    </row>
    <row r="627" spans="3:11" x14ac:dyDescent="0.2">
      <c r="C627" s="569">
        <v>624</v>
      </c>
      <c r="D627" s="580"/>
      <c r="E627" s="581"/>
      <c r="F627" s="582"/>
      <c r="G627" s="583"/>
      <c r="H627" s="770"/>
      <c r="I627" s="773"/>
      <c r="J627" s="776"/>
      <c r="K627" s="779"/>
    </row>
    <row r="628" spans="3:11" x14ac:dyDescent="0.2">
      <c r="C628" s="569">
        <v>625</v>
      </c>
      <c r="D628" s="580"/>
      <c r="E628" s="581"/>
      <c r="F628" s="582"/>
      <c r="G628" s="583"/>
      <c r="H628" s="770"/>
      <c r="I628" s="773"/>
      <c r="J628" s="776"/>
      <c r="K628" s="779"/>
    </row>
    <row r="629" spans="3:11" x14ac:dyDescent="0.2">
      <c r="C629" s="569">
        <v>626</v>
      </c>
      <c r="D629" s="580"/>
      <c r="E629" s="581"/>
      <c r="F629" s="582"/>
      <c r="G629" s="583"/>
      <c r="H629" s="770"/>
      <c r="I629" s="773"/>
      <c r="J629" s="776"/>
      <c r="K629" s="779"/>
    </row>
    <row r="630" spans="3:11" x14ac:dyDescent="0.2">
      <c r="C630" s="569">
        <v>627</v>
      </c>
      <c r="D630" s="580"/>
      <c r="E630" s="581"/>
      <c r="F630" s="582"/>
      <c r="G630" s="583"/>
      <c r="H630" s="770"/>
      <c r="I630" s="773"/>
      <c r="J630" s="776"/>
      <c r="K630" s="779"/>
    </row>
    <row r="631" spans="3:11" x14ac:dyDescent="0.2">
      <c r="C631" s="569">
        <v>628</v>
      </c>
      <c r="D631" s="580"/>
      <c r="E631" s="581"/>
      <c r="F631" s="582"/>
      <c r="G631" s="583"/>
      <c r="H631" s="770"/>
      <c r="I631" s="773"/>
      <c r="J631" s="776"/>
      <c r="K631" s="779"/>
    </row>
    <row r="632" spans="3:11" x14ac:dyDescent="0.2">
      <c r="C632" s="569">
        <v>629</v>
      </c>
      <c r="D632" s="580"/>
      <c r="E632" s="581"/>
      <c r="F632" s="582"/>
      <c r="G632" s="583"/>
      <c r="H632" s="770"/>
      <c r="I632" s="773"/>
      <c r="J632" s="776"/>
      <c r="K632" s="779"/>
    </row>
    <row r="633" spans="3:11" x14ac:dyDescent="0.2">
      <c r="C633" s="569">
        <v>630</v>
      </c>
      <c r="D633" s="580"/>
      <c r="E633" s="581"/>
      <c r="F633" s="582"/>
      <c r="G633" s="583"/>
      <c r="H633" s="770"/>
      <c r="I633" s="773"/>
      <c r="J633" s="776"/>
      <c r="K633" s="779"/>
    </row>
    <row r="634" spans="3:11" x14ac:dyDescent="0.2">
      <c r="C634" s="569">
        <v>631</v>
      </c>
      <c r="D634" s="580"/>
      <c r="E634" s="581"/>
      <c r="F634" s="582"/>
      <c r="G634" s="583"/>
      <c r="H634" s="770"/>
      <c r="I634" s="773"/>
      <c r="J634" s="776"/>
      <c r="K634" s="779"/>
    </row>
    <row r="635" spans="3:11" x14ac:dyDescent="0.2">
      <c r="C635" s="569">
        <v>632</v>
      </c>
      <c r="D635" s="580"/>
      <c r="E635" s="581"/>
      <c r="F635" s="582"/>
      <c r="G635" s="583"/>
      <c r="H635" s="770"/>
      <c r="I635" s="773"/>
      <c r="J635" s="776"/>
      <c r="K635" s="779"/>
    </row>
    <row r="636" spans="3:11" x14ac:dyDescent="0.2">
      <c r="C636" s="569">
        <v>633</v>
      </c>
      <c r="D636" s="580"/>
      <c r="E636" s="581"/>
      <c r="F636" s="582"/>
      <c r="G636" s="583"/>
      <c r="H636" s="770"/>
      <c r="I636" s="773"/>
      <c r="J636" s="776"/>
      <c r="K636" s="779"/>
    </row>
    <row r="637" spans="3:11" x14ac:dyDescent="0.2">
      <c r="C637" s="569">
        <v>634</v>
      </c>
      <c r="D637" s="580"/>
      <c r="E637" s="581"/>
      <c r="F637" s="582"/>
      <c r="G637" s="583"/>
      <c r="H637" s="770"/>
      <c r="I637" s="773"/>
      <c r="J637" s="776"/>
      <c r="K637" s="779"/>
    </row>
    <row r="638" spans="3:11" x14ac:dyDescent="0.2">
      <c r="C638" s="569">
        <v>635</v>
      </c>
      <c r="D638" s="580"/>
      <c r="E638" s="581"/>
      <c r="F638" s="582"/>
      <c r="G638" s="583"/>
      <c r="H638" s="770"/>
      <c r="I638" s="773"/>
      <c r="J638" s="776"/>
      <c r="K638" s="779"/>
    </row>
    <row r="639" spans="3:11" x14ac:dyDescent="0.2">
      <c r="C639" s="569">
        <v>636</v>
      </c>
      <c r="D639" s="580"/>
      <c r="E639" s="581"/>
      <c r="F639" s="582"/>
      <c r="G639" s="583"/>
      <c r="H639" s="770"/>
      <c r="I639" s="773"/>
      <c r="J639" s="776"/>
      <c r="K639" s="779"/>
    </row>
    <row r="640" spans="3:11" x14ac:dyDescent="0.2">
      <c r="C640" s="569">
        <v>637</v>
      </c>
      <c r="D640" s="580"/>
      <c r="E640" s="581"/>
      <c r="F640" s="582"/>
      <c r="G640" s="583"/>
      <c r="H640" s="770"/>
      <c r="I640" s="773"/>
      <c r="J640" s="776"/>
      <c r="K640" s="779"/>
    </row>
    <row r="641" spans="3:11" x14ac:dyDescent="0.2">
      <c r="C641" s="569">
        <v>638</v>
      </c>
      <c r="D641" s="580"/>
      <c r="E641" s="581"/>
      <c r="F641" s="582"/>
      <c r="G641" s="583"/>
      <c r="H641" s="770"/>
      <c r="I641" s="773"/>
      <c r="J641" s="776"/>
      <c r="K641" s="779"/>
    </row>
    <row r="642" spans="3:11" x14ac:dyDescent="0.2">
      <c r="C642" s="569">
        <v>639</v>
      </c>
      <c r="D642" s="580"/>
      <c r="E642" s="581"/>
      <c r="F642" s="582"/>
      <c r="G642" s="583"/>
      <c r="H642" s="770"/>
      <c r="I642" s="773"/>
      <c r="J642" s="776"/>
      <c r="K642" s="779"/>
    </row>
    <row r="643" spans="3:11" x14ac:dyDescent="0.2">
      <c r="C643" s="569">
        <v>640</v>
      </c>
      <c r="D643" s="580"/>
      <c r="E643" s="581"/>
      <c r="F643" s="582"/>
      <c r="G643" s="583"/>
      <c r="H643" s="770"/>
      <c r="I643" s="773"/>
      <c r="J643" s="776"/>
      <c r="K643" s="779"/>
    </row>
    <row r="644" spans="3:11" x14ac:dyDescent="0.2">
      <c r="C644" s="569">
        <v>641</v>
      </c>
      <c r="D644" s="580"/>
      <c r="E644" s="581"/>
      <c r="F644" s="582"/>
      <c r="G644" s="583"/>
      <c r="H644" s="770"/>
      <c r="I644" s="773"/>
      <c r="J644" s="776"/>
      <c r="K644" s="779"/>
    </row>
    <row r="645" spans="3:11" x14ac:dyDescent="0.2">
      <c r="C645" s="569">
        <v>642</v>
      </c>
      <c r="D645" s="580"/>
      <c r="E645" s="581"/>
      <c r="F645" s="582"/>
      <c r="G645" s="583"/>
      <c r="H645" s="770"/>
      <c r="I645" s="773"/>
      <c r="J645" s="776"/>
      <c r="K645" s="779"/>
    </row>
    <row r="646" spans="3:11" x14ac:dyDescent="0.2">
      <c r="C646" s="569">
        <v>643</v>
      </c>
      <c r="D646" s="580"/>
      <c r="E646" s="581"/>
      <c r="F646" s="582"/>
      <c r="G646" s="583"/>
      <c r="H646" s="770"/>
      <c r="I646" s="773"/>
      <c r="J646" s="776"/>
      <c r="K646" s="779"/>
    </row>
    <row r="647" spans="3:11" x14ac:dyDescent="0.2">
      <c r="C647" s="569">
        <v>644</v>
      </c>
      <c r="D647" s="580"/>
      <c r="E647" s="581"/>
      <c r="F647" s="582"/>
      <c r="G647" s="583"/>
      <c r="H647" s="770"/>
      <c r="I647" s="773"/>
      <c r="J647" s="776"/>
      <c r="K647" s="779"/>
    </row>
    <row r="648" spans="3:11" x14ac:dyDescent="0.2">
      <c r="C648" s="569">
        <v>645</v>
      </c>
      <c r="D648" s="580"/>
      <c r="E648" s="581"/>
      <c r="F648" s="582"/>
      <c r="G648" s="583"/>
      <c r="H648" s="770"/>
      <c r="I648" s="773"/>
      <c r="J648" s="776"/>
      <c r="K648" s="779"/>
    </row>
    <row r="649" spans="3:11" x14ac:dyDescent="0.2">
      <c r="C649" s="569">
        <v>646</v>
      </c>
      <c r="D649" s="580"/>
      <c r="E649" s="581"/>
      <c r="F649" s="582"/>
      <c r="G649" s="583"/>
      <c r="H649" s="770"/>
      <c r="I649" s="773"/>
      <c r="J649" s="776"/>
      <c r="K649" s="779"/>
    </row>
    <row r="650" spans="3:11" x14ac:dyDescent="0.2">
      <c r="C650" s="569">
        <v>647</v>
      </c>
      <c r="D650" s="580"/>
      <c r="E650" s="581"/>
      <c r="F650" s="582"/>
      <c r="G650" s="583"/>
      <c r="H650" s="770"/>
      <c r="I650" s="773"/>
      <c r="J650" s="776"/>
      <c r="K650" s="779"/>
    </row>
    <row r="651" spans="3:11" x14ac:dyDescent="0.2">
      <c r="C651" s="569">
        <v>648</v>
      </c>
      <c r="D651" s="580"/>
      <c r="E651" s="581"/>
      <c r="F651" s="582"/>
      <c r="G651" s="583"/>
      <c r="H651" s="770"/>
      <c r="I651" s="773"/>
      <c r="J651" s="776"/>
      <c r="K651" s="779"/>
    </row>
    <row r="652" spans="3:11" x14ac:dyDescent="0.2">
      <c r="C652" s="569">
        <v>649</v>
      </c>
      <c r="D652" s="580"/>
      <c r="E652" s="581"/>
      <c r="F652" s="582"/>
      <c r="G652" s="583"/>
      <c r="H652" s="770"/>
      <c r="I652" s="773"/>
      <c r="J652" s="776"/>
      <c r="K652" s="779"/>
    </row>
    <row r="653" spans="3:11" x14ac:dyDescent="0.2">
      <c r="C653" s="569">
        <v>650</v>
      </c>
      <c r="D653" s="580"/>
      <c r="E653" s="581"/>
      <c r="F653" s="582"/>
      <c r="G653" s="583"/>
      <c r="H653" s="770"/>
      <c r="I653" s="773"/>
      <c r="J653" s="776"/>
      <c r="K653" s="779"/>
    </row>
    <row r="654" spans="3:11" x14ac:dyDescent="0.2">
      <c r="C654" s="569">
        <v>651</v>
      </c>
      <c r="D654" s="580"/>
      <c r="E654" s="581"/>
      <c r="F654" s="582"/>
      <c r="G654" s="583"/>
      <c r="H654" s="770"/>
      <c r="I654" s="773"/>
      <c r="J654" s="776"/>
      <c r="K654" s="779"/>
    </row>
    <row r="655" spans="3:11" x14ac:dyDescent="0.2">
      <c r="C655" s="569">
        <v>652</v>
      </c>
      <c r="D655" s="580"/>
      <c r="E655" s="581"/>
      <c r="F655" s="582"/>
      <c r="G655" s="583"/>
      <c r="H655" s="770"/>
      <c r="I655" s="773"/>
      <c r="J655" s="776"/>
      <c r="K655" s="779"/>
    </row>
    <row r="656" spans="3:11" x14ac:dyDescent="0.2">
      <c r="C656" s="569">
        <v>653</v>
      </c>
      <c r="D656" s="580"/>
      <c r="E656" s="581"/>
      <c r="F656" s="582"/>
      <c r="G656" s="583"/>
      <c r="H656" s="770"/>
      <c r="I656" s="773"/>
      <c r="J656" s="776"/>
      <c r="K656" s="779"/>
    </row>
    <row r="657" spans="3:11" x14ac:dyDescent="0.2">
      <c r="C657" s="569">
        <v>654</v>
      </c>
      <c r="D657" s="580"/>
      <c r="E657" s="581"/>
      <c r="F657" s="582"/>
      <c r="G657" s="583"/>
      <c r="H657" s="770"/>
      <c r="I657" s="773"/>
      <c r="J657" s="776"/>
      <c r="K657" s="779"/>
    </row>
    <row r="658" spans="3:11" x14ac:dyDescent="0.2">
      <c r="C658" s="569">
        <v>655</v>
      </c>
      <c r="D658" s="580"/>
      <c r="E658" s="581"/>
      <c r="F658" s="582"/>
      <c r="G658" s="583"/>
      <c r="H658" s="770"/>
      <c r="I658" s="773"/>
      <c r="J658" s="776"/>
      <c r="K658" s="779"/>
    </row>
    <row r="659" spans="3:11" x14ac:dyDescent="0.2">
      <c r="C659" s="569">
        <v>656</v>
      </c>
      <c r="D659" s="580"/>
      <c r="E659" s="581"/>
      <c r="F659" s="582"/>
      <c r="G659" s="583"/>
      <c r="H659" s="770"/>
      <c r="I659" s="773"/>
      <c r="J659" s="776"/>
      <c r="K659" s="779"/>
    </row>
    <row r="660" spans="3:11" x14ac:dyDescent="0.2">
      <c r="C660" s="569">
        <v>657</v>
      </c>
      <c r="D660" s="580"/>
      <c r="E660" s="581"/>
      <c r="F660" s="582"/>
      <c r="G660" s="583"/>
      <c r="H660" s="770"/>
      <c r="I660" s="773"/>
      <c r="J660" s="776"/>
      <c r="K660" s="779"/>
    </row>
    <row r="661" spans="3:11" x14ac:dyDescent="0.2">
      <c r="C661" s="569">
        <v>658</v>
      </c>
      <c r="D661" s="580"/>
      <c r="E661" s="581"/>
      <c r="F661" s="582"/>
      <c r="G661" s="583"/>
      <c r="H661" s="770"/>
      <c r="I661" s="773"/>
      <c r="J661" s="776"/>
      <c r="K661" s="779"/>
    </row>
    <row r="662" spans="3:11" x14ac:dyDescent="0.2">
      <c r="C662" s="569">
        <v>659</v>
      </c>
      <c r="D662" s="580"/>
      <c r="E662" s="581"/>
      <c r="F662" s="582"/>
      <c r="G662" s="583"/>
      <c r="H662" s="770"/>
      <c r="I662" s="773"/>
      <c r="J662" s="776"/>
      <c r="K662" s="779"/>
    </row>
    <row r="663" spans="3:11" x14ac:dyDescent="0.2">
      <c r="C663" s="569">
        <v>660</v>
      </c>
      <c r="D663" s="580"/>
      <c r="E663" s="581"/>
      <c r="F663" s="582"/>
      <c r="G663" s="583"/>
      <c r="H663" s="770"/>
      <c r="I663" s="773"/>
      <c r="J663" s="776"/>
      <c r="K663" s="779"/>
    </row>
    <row r="664" spans="3:11" x14ac:dyDescent="0.2">
      <c r="C664" s="569">
        <v>661</v>
      </c>
      <c r="D664" s="580"/>
      <c r="E664" s="581"/>
      <c r="F664" s="582"/>
      <c r="G664" s="583"/>
      <c r="H664" s="770"/>
      <c r="I664" s="773"/>
      <c r="J664" s="776"/>
      <c r="K664" s="779"/>
    </row>
    <row r="665" spans="3:11" x14ac:dyDescent="0.2">
      <c r="C665" s="569">
        <v>662</v>
      </c>
      <c r="D665" s="580"/>
      <c r="E665" s="581"/>
      <c r="F665" s="582"/>
      <c r="G665" s="583"/>
      <c r="H665" s="770"/>
      <c r="I665" s="773"/>
      <c r="J665" s="776"/>
      <c r="K665" s="779"/>
    </row>
    <row r="666" spans="3:11" x14ac:dyDescent="0.2">
      <c r="C666" s="569">
        <v>663</v>
      </c>
      <c r="D666" s="580"/>
      <c r="E666" s="581"/>
      <c r="F666" s="582"/>
      <c r="G666" s="583"/>
      <c r="H666" s="770"/>
      <c r="I666" s="773"/>
      <c r="J666" s="776"/>
      <c r="K666" s="779"/>
    </row>
    <row r="667" spans="3:11" x14ac:dyDescent="0.2">
      <c r="C667" s="569">
        <v>664</v>
      </c>
      <c r="D667" s="580"/>
      <c r="E667" s="581"/>
      <c r="F667" s="582"/>
      <c r="G667" s="583"/>
      <c r="H667" s="770"/>
      <c r="I667" s="773"/>
      <c r="J667" s="776"/>
      <c r="K667" s="779"/>
    </row>
    <row r="668" spans="3:11" x14ac:dyDescent="0.2">
      <c r="C668" s="569">
        <v>665</v>
      </c>
      <c r="D668" s="580"/>
      <c r="E668" s="581"/>
      <c r="F668" s="582"/>
      <c r="G668" s="583"/>
      <c r="H668" s="770"/>
      <c r="I668" s="773"/>
      <c r="J668" s="776"/>
      <c r="K668" s="779"/>
    </row>
    <row r="669" spans="3:11" x14ac:dyDescent="0.2">
      <c r="C669" s="569">
        <v>666</v>
      </c>
      <c r="D669" s="580"/>
      <c r="E669" s="581"/>
      <c r="F669" s="582"/>
      <c r="G669" s="583"/>
      <c r="H669" s="770"/>
      <c r="I669" s="773"/>
      <c r="J669" s="776"/>
      <c r="K669" s="779"/>
    </row>
    <row r="670" spans="3:11" x14ac:dyDescent="0.2">
      <c r="C670" s="569">
        <v>667</v>
      </c>
      <c r="D670" s="580"/>
      <c r="E670" s="581"/>
      <c r="F670" s="582"/>
      <c r="G670" s="583"/>
      <c r="H670" s="770"/>
      <c r="I670" s="773"/>
      <c r="J670" s="776"/>
      <c r="K670" s="779"/>
    </row>
    <row r="671" spans="3:11" x14ac:dyDescent="0.2">
      <c r="C671" s="569">
        <v>668</v>
      </c>
      <c r="D671" s="580"/>
      <c r="E671" s="581"/>
      <c r="F671" s="582"/>
      <c r="G671" s="583"/>
      <c r="H671" s="770"/>
      <c r="I671" s="773"/>
      <c r="J671" s="776"/>
      <c r="K671" s="779"/>
    </row>
    <row r="672" spans="3:11" x14ac:dyDescent="0.2">
      <c r="C672" s="569">
        <v>669</v>
      </c>
      <c r="D672" s="580"/>
      <c r="E672" s="581"/>
      <c r="F672" s="582"/>
      <c r="G672" s="583"/>
      <c r="H672" s="770"/>
      <c r="I672" s="773"/>
      <c r="J672" s="776"/>
      <c r="K672" s="779"/>
    </row>
    <row r="673" spans="3:11" x14ac:dyDescent="0.2">
      <c r="C673" s="569">
        <v>670</v>
      </c>
      <c r="D673" s="580"/>
      <c r="E673" s="581"/>
      <c r="F673" s="582"/>
      <c r="G673" s="583"/>
      <c r="H673" s="770"/>
      <c r="I673" s="773"/>
      <c r="J673" s="776"/>
      <c r="K673" s="779"/>
    </row>
    <row r="674" spans="3:11" x14ac:dyDescent="0.2">
      <c r="C674" s="569">
        <v>671</v>
      </c>
      <c r="D674" s="580"/>
      <c r="E674" s="581"/>
      <c r="F674" s="582"/>
      <c r="G674" s="583"/>
      <c r="H674" s="770"/>
      <c r="I674" s="773"/>
      <c r="J674" s="776"/>
      <c r="K674" s="779"/>
    </row>
    <row r="675" spans="3:11" x14ac:dyDescent="0.2">
      <c r="C675" s="569">
        <v>672</v>
      </c>
      <c r="D675" s="580"/>
      <c r="E675" s="581"/>
      <c r="F675" s="582"/>
      <c r="G675" s="583"/>
      <c r="H675" s="770"/>
      <c r="I675" s="773"/>
      <c r="J675" s="776"/>
      <c r="K675" s="779"/>
    </row>
    <row r="676" spans="3:11" x14ac:dyDescent="0.2">
      <c r="C676" s="569">
        <v>673</v>
      </c>
      <c r="D676" s="580"/>
      <c r="E676" s="581"/>
      <c r="F676" s="582"/>
      <c r="G676" s="583"/>
      <c r="H676" s="770"/>
      <c r="I676" s="773"/>
      <c r="J676" s="776"/>
      <c r="K676" s="779"/>
    </row>
    <row r="677" spans="3:11" x14ac:dyDescent="0.2">
      <c r="C677" s="569">
        <v>674</v>
      </c>
      <c r="D677" s="580"/>
      <c r="E677" s="581"/>
      <c r="F677" s="582"/>
      <c r="G677" s="583"/>
      <c r="H677" s="770"/>
      <c r="I677" s="773"/>
      <c r="J677" s="776"/>
      <c r="K677" s="779"/>
    </row>
    <row r="678" spans="3:11" x14ac:dyDescent="0.2">
      <c r="C678" s="569">
        <v>675</v>
      </c>
      <c r="D678" s="580"/>
      <c r="E678" s="581"/>
      <c r="F678" s="582"/>
      <c r="G678" s="583"/>
      <c r="H678" s="770"/>
      <c r="I678" s="773"/>
      <c r="J678" s="776"/>
      <c r="K678" s="779"/>
    </row>
    <row r="679" spans="3:11" x14ac:dyDescent="0.2">
      <c r="C679" s="569">
        <v>676</v>
      </c>
      <c r="D679" s="580"/>
      <c r="E679" s="581"/>
      <c r="F679" s="582"/>
      <c r="G679" s="583"/>
      <c r="H679" s="770"/>
      <c r="I679" s="773"/>
      <c r="J679" s="776"/>
      <c r="K679" s="779"/>
    </row>
    <row r="680" spans="3:11" x14ac:dyDescent="0.2">
      <c r="C680" s="569">
        <v>677</v>
      </c>
      <c r="D680" s="580"/>
      <c r="E680" s="581"/>
      <c r="F680" s="582"/>
      <c r="G680" s="583"/>
      <c r="H680" s="770"/>
      <c r="I680" s="773"/>
      <c r="J680" s="776"/>
      <c r="K680" s="779"/>
    </row>
    <row r="681" spans="3:11" x14ac:dyDescent="0.2">
      <c r="C681" s="569">
        <v>678</v>
      </c>
      <c r="D681" s="580"/>
      <c r="E681" s="581"/>
      <c r="F681" s="582"/>
      <c r="G681" s="583"/>
      <c r="H681" s="770"/>
      <c r="I681" s="773"/>
      <c r="J681" s="776"/>
      <c r="K681" s="779"/>
    </row>
    <row r="682" spans="3:11" x14ac:dyDescent="0.2">
      <c r="C682" s="569">
        <v>679</v>
      </c>
      <c r="D682" s="580"/>
      <c r="E682" s="581"/>
      <c r="F682" s="582"/>
      <c r="G682" s="583"/>
      <c r="H682" s="770"/>
      <c r="I682" s="773"/>
      <c r="J682" s="776"/>
      <c r="K682" s="779"/>
    </row>
    <row r="683" spans="3:11" x14ac:dyDescent="0.2">
      <c r="C683" s="569">
        <v>680</v>
      </c>
      <c r="D683" s="580"/>
      <c r="E683" s="581"/>
      <c r="F683" s="582"/>
      <c r="G683" s="583"/>
      <c r="H683" s="770"/>
      <c r="I683" s="773"/>
      <c r="J683" s="776"/>
      <c r="K683" s="779"/>
    </row>
    <row r="684" spans="3:11" x14ac:dyDescent="0.2">
      <c r="C684" s="569">
        <v>681</v>
      </c>
      <c r="D684" s="580"/>
      <c r="E684" s="581"/>
      <c r="F684" s="582"/>
      <c r="G684" s="583"/>
      <c r="H684" s="770"/>
      <c r="I684" s="773"/>
      <c r="J684" s="776"/>
      <c r="K684" s="779"/>
    </row>
    <row r="685" spans="3:11" x14ac:dyDescent="0.2">
      <c r="C685" s="569">
        <v>682</v>
      </c>
      <c r="D685" s="580"/>
      <c r="E685" s="581"/>
      <c r="F685" s="582"/>
      <c r="G685" s="583"/>
      <c r="H685" s="770"/>
      <c r="I685" s="773"/>
      <c r="J685" s="776"/>
      <c r="K685" s="779"/>
    </row>
    <row r="686" spans="3:11" x14ac:dyDescent="0.2">
      <c r="C686" s="569">
        <v>683</v>
      </c>
      <c r="D686" s="580"/>
      <c r="E686" s="581"/>
      <c r="F686" s="582"/>
      <c r="G686" s="583"/>
      <c r="H686" s="770"/>
      <c r="I686" s="773"/>
      <c r="J686" s="776"/>
      <c r="K686" s="779"/>
    </row>
    <row r="687" spans="3:11" x14ac:dyDescent="0.2">
      <c r="C687" s="569">
        <v>684</v>
      </c>
      <c r="D687" s="580"/>
      <c r="E687" s="581"/>
      <c r="F687" s="582"/>
      <c r="G687" s="583"/>
      <c r="H687" s="770"/>
      <c r="I687" s="773"/>
      <c r="J687" s="776"/>
      <c r="K687" s="779"/>
    </row>
    <row r="688" spans="3:11" x14ac:dyDescent="0.2">
      <c r="C688" s="569">
        <v>685</v>
      </c>
      <c r="D688" s="580"/>
      <c r="E688" s="581"/>
      <c r="F688" s="582"/>
      <c r="G688" s="583"/>
      <c r="H688" s="770"/>
      <c r="I688" s="773"/>
      <c r="J688" s="776"/>
      <c r="K688" s="779"/>
    </row>
    <row r="689" spans="3:11" x14ac:dyDescent="0.2">
      <c r="C689" s="569">
        <v>686</v>
      </c>
      <c r="D689" s="580"/>
      <c r="E689" s="581"/>
      <c r="F689" s="582"/>
      <c r="G689" s="583"/>
      <c r="H689" s="770"/>
      <c r="I689" s="773"/>
      <c r="J689" s="776"/>
      <c r="K689" s="779"/>
    </row>
    <row r="690" spans="3:11" x14ac:dyDescent="0.2">
      <c r="C690" s="569">
        <v>687</v>
      </c>
      <c r="D690" s="580"/>
      <c r="E690" s="581"/>
      <c r="F690" s="582"/>
      <c r="G690" s="583"/>
      <c r="H690" s="770"/>
      <c r="I690" s="773"/>
      <c r="J690" s="776"/>
      <c r="K690" s="779"/>
    </row>
    <row r="691" spans="3:11" x14ac:dyDescent="0.2">
      <c r="C691" s="569">
        <v>688</v>
      </c>
      <c r="D691" s="580"/>
      <c r="E691" s="581"/>
      <c r="F691" s="582"/>
      <c r="G691" s="583"/>
      <c r="H691" s="770"/>
      <c r="I691" s="773"/>
      <c r="J691" s="776"/>
      <c r="K691" s="779"/>
    </row>
    <row r="692" spans="3:11" x14ac:dyDescent="0.2">
      <c r="C692" s="569">
        <v>689</v>
      </c>
      <c r="D692" s="580"/>
      <c r="E692" s="581"/>
      <c r="F692" s="582"/>
      <c r="G692" s="583"/>
      <c r="H692" s="770"/>
      <c r="I692" s="773"/>
      <c r="J692" s="776"/>
      <c r="K692" s="779"/>
    </row>
    <row r="693" spans="3:11" x14ac:dyDescent="0.2">
      <c r="C693" s="569">
        <v>690</v>
      </c>
      <c r="D693" s="580"/>
      <c r="E693" s="581"/>
      <c r="F693" s="582"/>
      <c r="G693" s="583"/>
      <c r="H693" s="770"/>
      <c r="I693" s="773"/>
      <c r="J693" s="776"/>
      <c r="K693" s="779"/>
    </row>
    <row r="694" spans="3:11" x14ac:dyDescent="0.2">
      <c r="C694" s="569">
        <v>691</v>
      </c>
      <c r="D694" s="580"/>
      <c r="E694" s="581"/>
      <c r="F694" s="582"/>
      <c r="G694" s="583"/>
      <c r="H694" s="770"/>
      <c r="I694" s="773"/>
      <c r="J694" s="776"/>
      <c r="K694" s="779"/>
    </row>
    <row r="695" spans="3:11" x14ac:dyDescent="0.2">
      <c r="C695" s="569">
        <v>692</v>
      </c>
      <c r="D695" s="580"/>
      <c r="E695" s="581"/>
      <c r="F695" s="582"/>
      <c r="G695" s="583"/>
      <c r="H695" s="770"/>
      <c r="I695" s="773"/>
      <c r="J695" s="776"/>
      <c r="K695" s="779"/>
    </row>
    <row r="696" spans="3:11" x14ac:dyDescent="0.2">
      <c r="C696" s="569">
        <v>693</v>
      </c>
      <c r="D696" s="580"/>
      <c r="E696" s="581"/>
      <c r="F696" s="582"/>
      <c r="G696" s="583"/>
      <c r="H696" s="770"/>
      <c r="I696" s="773"/>
      <c r="J696" s="776"/>
      <c r="K696" s="779"/>
    </row>
    <row r="697" spans="3:11" x14ac:dyDescent="0.2">
      <c r="C697" s="569">
        <v>694</v>
      </c>
      <c r="D697" s="580"/>
      <c r="E697" s="581"/>
      <c r="F697" s="582"/>
      <c r="G697" s="583"/>
      <c r="H697" s="770"/>
      <c r="I697" s="773"/>
      <c r="J697" s="776"/>
      <c r="K697" s="779"/>
    </row>
    <row r="698" spans="3:11" x14ac:dyDescent="0.2">
      <c r="C698" s="569">
        <v>695</v>
      </c>
      <c r="D698" s="580"/>
      <c r="E698" s="581"/>
      <c r="F698" s="582"/>
      <c r="G698" s="583"/>
      <c r="H698" s="770"/>
      <c r="I698" s="773"/>
      <c r="J698" s="776"/>
      <c r="K698" s="779"/>
    </row>
    <row r="699" spans="3:11" x14ac:dyDescent="0.2">
      <c r="C699" s="569">
        <v>696</v>
      </c>
      <c r="D699" s="580"/>
      <c r="E699" s="581"/>
      <c r="F699" s="582"/>
      <c r="G699" s="583"/>
      <c r="H699" s="770"/>
      <c r="I699" s="773"/>
      <c r="J699" s="776"/>
      <c r="K699" s="779"/>
    </row>
    <row r="700" spans="3:11" x14ac:dyDescent="0.2">
      <c r="C700" s="569">
        <v>697</v>
      </c>
      <c r="D700" s="580"/>
      <c r="E700" s="581"/>
      <c r="F700" s="582"/>
      <c r="G700" s="583"/>
      <c r="H700" s="770"/>
      <c r="I700" s="773"/>
      <c r="J700" s="776"/>
      <c r="K700" s="779"/>
    </row>
    <row r="701" spans="3:11" x14ac:dyDescent="0.2">
      <c r="C701" s="569">
        <v>698</v>
      </c>
      <c r="D701" s="580"/>
      <c r="E701" s="581"/>
      <c r="F701" s="582"/>
      <c r="G701" s="583"/>
      <c r="H701" s="770"/>
      <c r="I701" s="773"/>
      <c r="J701" s="776"/>
      <c r="K701" s="779"/>
    </row>
    <row r="702" spans="3:11" x14ac:dyDescent="0.2">
      <c r="C702" s="569">
        <v>699</v>
      </c>
      <c r="D702" s="580"/>
      <c r="E702" s="581"/>
      <c r="F702" s="582"/>
      <c r="G702" s="583"/>
      <c r="H702" s="770"/>
      <c r="I702" s="773"/>
      <c r="J702" s="776"/>
      <c r="K702" s="779"/>
    </row>
    <row r="703" spans="3:11" x14ac:dyDescent="0.2">
      <c r="C703" s="569">
        <v>700</v>
      </c>
      <c r="D703" s="580"/>
      <c r="E703" s="581"/>
      <c r="F703" s="582"/>
      <c r="G703" s="583"/>
      <c r="H703" s="770"/>
      <c r="I703" s="773"/>
      <c r="J703" s="776"/>
      <c r="K703" s="779"/>
    </row>
    <row r="704" spans="3:11" x14ac:dyDescent="0.2">
      <c r="C704" s="569">
        <v>701</v>
      </c>
      <c r="D704" s="580"/>
      <c r="E704" s="581"/>
      <c r="F704" s="582"/>
      <c r="G704" s="583"/>
      <c r="H704" s="770"/>
      <c r="I704" s="773"/>
      <c r="J704" s="776"/>
      <c r="K704" s="779"/>
    </row>
    <row r="705" spans="3:11" x14ac:dyDescent="0.2">
      <c r="C705" s="569">
        <v>702</v>
      </c>
      <c r="D705" s="580"/>
      <c r="E705" s="581"/>
      <c r="F705" s="582"/>
      <c r="G705" s="583"/>
      <c r="H705" s="770"/>
      <c r="I705" s="773"/>
      <c r="J705" s="776"/>
      <c r="K705" s="779"/>
    </row>
    <row r="706" spans="3:11" x14ac:dyDescent="0.2">
      <c r="C706" s="569">
        <v>703</v>
      </c>
      <c r="D706" s="580"/>
      <c r="E706" s="581"/>
      <c r="F706" s="582"/>
      <c r="G706" s="583"/>
      <c r="H706" s="770"/>
      <c r="I706" s="773"/>
      <c r="J706" s="776"/>
      <c r="K706" s="779"/>
    </row>
    <row r="707" spans="3:11" x14ac:dyDescent="0.2">
      <c r="C707" s="569">
        <v>704</v>
      </c>
      <c r="D707" s="580"/>
      <c r="E707" s="581"/>
      <c r="F707" s="582"/>
      <c r="G707" s="583"/>
      <c r="H707" s="770"/>
      <c r="I707" s="773"/>
      <c r="J707" s="776"/>
      <c r="K707" s="779"/>
    </row>
    <row r="708" spans="3:11" x14ac:dyDescent="0.2">
      <c r="C708" s="569">
        <v>705</v>
      </c>
      <c r="D708" s="580"/>
      <c r="E708" s="581"/>
      <c r="F708" s="582"/>
      <c r="G708" s="583"/>
      <c r="H708" s="770"/>
      <c r="I708" s="773"/>
      <c r="J708" s="776"/>
      <c r="K708" s="779"/>
    </row>
    <row r="709" spans="3:11" x14ac:dyDescent="0.2">
      <c r="C709" s="569">
        <v>706</v>
      </c>
      <c r="D709" s="580"/>
      <c r="E709" s="581"/>
      <c r="F709" s="582"/>
      <c r="G709" s="583"/>
      <c r="H709" s="770"/>
      <c r="I709" s="773"/>
      <c r="J709" s="776"/>
      <c r="K709" s="779"/>
    </row>
    <row r="710" spans="3:11" x14ac:dyDescent="0.2">
      <c r="C710" s="569">
        <v>707</v>
      </c>
      <c r="D710" s="580"/>
      <c r="E710" s="581"/>
      <c r="F710" s="582"/>
      <c r="G710" s="583"/>
      <c r="H710" s="770"/>
      <c r="I710" s="773"/>
      <c r="J710" s="776"/>
      <c r="K710" s="779"/>
    </row>
    <row r="711" spans="3:11" x14ac:dyDescent="0.2">
      <c r="C711" s="569">
        <v>708</v>
      </c>
      <c r="D711" s="580"/>
      <c r="E711" s="581"/>
      <c r="F711" s="582"/>
      <c r="G711" s="583"/>
      <c r="H711" s="770"/>
      <c r="I711" s="773"/>
      <c r="J711" s="776"/>
      <c r="K711" s="779"/>
    </row>
    <row r="712" spans="3:11" x14ac:dyDescent="0.2">
      <c r="C712" s="569">
        <v>709</v>
      </c>
      <c r="D712" s="580"/>
      <c r="E712" s="581"/>
      <c r="F712" s="582"/>
      <c r="G712" s="583"/>
      <c r="H712" s="770"/>
      <c r="I712" s="773"/>
      <c r="J712" s="776"/>
      <c r="K712" s="779"/>
    </row>
    <row r="713" spans="3:11" x14ac:dyDescent="0.2">
      <c r="C713" s="569">
        <v>710</v>
      </c>
      <c r="D713" s="580"/>
      <c r="E713" s="581"/>
      <c r="F713" s="582"/>
      <c r="G713" s="583"/>
      <c r="H713" s="770"/>
      <c r="I713" s="773"/>
      <c r="J713" s="776"/>
      <c r="K713" s="779"/>
    </row>
    <row r="714" spans="3:11" x14ac:dyDescent="0.2">
      <c r="C714" s="569">
        <v>711</v>
      </c>
      <c r="D714" s="580"/>
      <c r="E714" s="581"/>
      <c r="F714" s="582"/>
      <c r="G714" s="583"/>
      <c r="H714" s="770"/>
      <c r="I714" s="773"/>
      <c r="J714" s="776"/>
      <c r="K714" s="779"/>
    </row>
    <row r="715" spans="3:11" x14ac:dyDescent="0.2">
      <c r="C715" s="569">
        <v>712</v>
      </c>
      <c r="D715" s="580"/>
      <c r="E715" s="581"/>
      <c r="F715" s="582"/>
      <c r="G715" s="583"/>
      <c r="H715" s="770"/>
      <c r="I715" s="773"/>
      <c r="J715" s="776"/>
      <c r="K715" s="779"/>
    </row>
    <row r="716" spans="3:11" x14ac:dyDescent="0.2">
      <c r="C716" s="569">
        <v>713</v>
      </c>
      <c r="D716" s="580"/>
      <c r="E716" s="581"/>
      <c r="F716" s="582"/>
      <c r="G716" s="583"/>
      <c r="H716" s="770"/>
      <c r="I716" s="773"/>
      <c r="J716" s="776"/>
      <c r="K716" s="779"/>
    </row>
    <row r="717" spans="3:11" x14ac:dyDescent="0.2">
      <c r="C717" s="569">
        <v>714</v>
      </c>
      <c r="D717" s="580"/>
      <c r="E717" s="581"/>
      <c r="F717" s="582"/>
      <c r="G717" s="583"/>
      <c r="H717" s="770"/>
      <c r="I717" s="773"/>
      <c r="J717" s="776"/>
      <c r="K717" s="779"/>
    </row>
    <row r="718" spans="3:11" x14ac:dyDescent="0.2">
      <c r="C718" s="569">
        <v>715</v>
      </c>
      <c r="D718" s="580"/>
      <c r="E718" s="581"/>
      <c r="F718" s="582"/>
      <c r="G718" s="583"/>
      <c r="H718" s="770"/>
      <c r="I718" s="773"/>
      <c r="J718" s="776"/>
      <c r="K718" s="779"/>
    </row>
    <row r="719" spans="3:11" x14ac:dyDescent="0.2">
      <c r="C719" s="569">
        <v>716</v>
      </c>
      <c r="D719" s="580"/>
      <c r="E719" s="581"/>
      <c r="F719" s="582"/>
      <c r="G719" s="583"/>
      <c r="H719" s="770"/>
      <c r="I719" s="773"/>
      <c r="J719" s="776"/>
      <c r="K719" s="779"/>
    </row>
    <row r="720" spans="3:11" x14ac:dyDescent="0.2">
      <c r="C720" s="569">
        <v>717</v>
      </c>
      <c r="D720" s="580"/>
      <c r="E720" s="581"/>
      <c r="F720" s="582"/>
      <c r="G720" s="583"/>
      <c r="H720" s="770"/>
      <c r="I720" s="773"/>
      <c r="J720" s="776"/>
      <c r="K720" s="779"/>
    </row>
    <row r="721" spans="3:11" x14ac:dyDescent="0.2">
      <c r="C721" s="569">
        <v>718</v>
      </c>
      <c r="D721" s="580"/>
      <c r="E721" s="581"/>
      <c r="F721" s="582"/>
      <c r="G721" s="583"/>
      <c r="H721" s="770"/>
      <c r="I721" s="773"/>
      <c r="J721" s="776"/>
      <c r="K721" s="779"/>
    </row>
    <row r="722" spans="3:11" x14ac:dyDescent="0.2">
      <c r="C722" s="569">
        <v>719</v>
      </c>
      <c r="D722" s="580"/>
      <c r="E722" s="581"/>
      <c r="F722" s="582"/>
      <c r="G722" s="583"/>
      <c r="H722" s="770"/>
      <c r="I722" s="773"/>
      <c r="J722" s="776"/>
      <c r="K722" s="779"/>
    </row>
    <row r="723" spans="3:11" x14ac:dyDescent="0.2">
      <c r="C723" s="569">
        <v>720</v>
      </c>
      <c r="D723" s="580"/>
      <c r="E723" s="581"/>
      <c r="F723" s="582"/>
      <c r="G723" s="583"/>
      <c r="H723" s="770"/>
      <c r="I723" s="773"/>
      <c r="J723" s="776"/>
      <c r="K723" s="779"/>
    </row>
    <row r="724" spans="3:11" x14ac:dyDescent="0.2">
      <c r="C724" s="569">
        <v>721</v>
      </c>
      <c r="D724" s="580"/>
      <c r="E724" s="581"/>
      <c r="F724" s="582"/>
      <c r="G724" s="583"/>
      <c r="H724" s="770"/>
      <c r="I724" s="773"/>
      <c r="J724" s="776"/>
      <c r="K724" s="779"/>
    </row>
    <row r="725" spans="3:11" x14ac:dyDescent="0.2">
      <c r="C725" s="569">
        <v>722</v>
      </c>
      <c r="D725" s="580"/>
      <c r="E725" s="581"/>
      <c r="F725" s="582"/>
      <c r="G725" s="583"/>
      <c r="H725" s="770"/>
      <c r="I725" s="773"/>
      <c r="J725" s="776"/>
      <c r="K725" s="779"/>
    </row>
    <row r="726" spans="3:11" x14ac:dyDescent="0.2">
      <c r="C726" s="569">
        <v>723</v>
      </c>
      <c r="D726" s="580"/>
      <c r="E726" s="581"/>
      <c r="F726" s="582"/>
      <c r="G726" s="583"/>
      <c r="H726" s="770"/>
      <c r="I726" s="773"/>
      <c r="J726" s="776"/>
      <c r="K726" s="779"/>
    </row>
    <row r="727" spans="3:11" x14ac:dyDescent="0.2">
      <c r="C727" s="569">
        <v>724</v>
      </c>
      <c r="D727" s="580"/>
      <c r="E727" s="581"/>
      <c r="F727" s="582"/>
      <c r="G727" s="583"/>
      <c r="H727" s="770"/>
      <c r="I727" s="773"/>
      <c r="J727" s="776"/>
      <c r="K727" s="779"/>
    </row>
    <row r="728" spans="3:11" x14ac:dyDescent="0.2">
      <c r="C728" s="569">
        <v>725</v>
      </c>
      <c r="D728" s="580"/>
      <c r="E728" s="581"/>
      <c r="F728" s="582"/>
      <c r="G728" s="583"/>
      <c r="H728" s="770"/>
      <c r="I728" s="773"/>
      <c r="J728" s="776"/>
      <c r="K728" s="779"/>
    </row>
    <row r="729" spans="3:11" x14ac:dyDescent="0.2">
      <c r="C729" s="569">
        <v>726</v>
      </c>
      <c r="D729" s="580"/>
      <c r="E729" s="581"/>
      <c r="F729" s="582"/>
      <c r="G729" s="583"/>
      <c r="H729" s="770"/>
      <c r="I729" s="773"/>
      <c r="J729" s="776"/>
      <c r="K729" s="779"/>
    </row>
    <row r="730" spans="3:11" x14ac:dyDescent="0.2">
      <c r="C730" s="569">
        <v>727</v>
      </c>
      <c r="D730" s="580"/>
      <c r="E730" s="581"/>
      <c r="F730" s="582"/>
      <c r="G730" s="583"/>
      <c r="H730" s="770"/>
      <c r="I730" s="773"/>
      <c r="J730" s="776"/>
      <c r="K730" s="779"/>
    </row>
    <row r="731" spans="3:11" x14ac:dyDescent="0.2">
      <c r="C731" s="569">
        <v>728</v>
      </c>
      <c r="D731" s="580"/>
      <c r="E731" s="581"/>
      <c r="F731" s="582"/>
      <c r="G731" s="583"/>
      <c r="H731" s="770"/>
      <c r="I731" s="773"/>
      <c r="J731" s="776"/>
      <c r="K731" s="779"/>
    </row>
    <row r="732" spans="3:11" x14ac:dyDescent="0.2">
      <c r="C732" s="569">
        <v>729</v>
      </c>
      <c r="D732" s="580"/>
      <c r="E732" s="581"/>
      <c r="F732" s="582"/>
      <c r="G732" s="583"/>
      <c r="H732" s="770"/>
      <c r="I732" s="773"/>
      <c r="J732" s="776"/>
      <c r="K732" s="779"/>
    </row>
    <row r="733" spans="3:11" x14ac:dyDescent="0.2">
      <c r="C733" s="569">
        <v>730</v>
      </c>
      <c r="D733" s="580"/>
      <c r="E733" s="581"/>
      <c r="F733" s="582"/>
      <c r="G733" s="583"/>
      <c r="H733" s="770"/>
      <c r="I733" s="773"/>
      <c r="J733" s="776"/>
      <c r="K733" s="779"/>
    </row>
    <row r="734" spans="3:11" x14ac:dyDescent="0.2">
      <c r="C734" s="569">
        <v>731</v>
      </c>
      <c r="D734" s="580"/>
      <c r="E734" s="581"/>
      <c r="F734" s="582"/>
      <c r="G734" s="583"/>
      <c r="H734" s="770"/>
      <c r="I734" s="773"/>
      <c r="J734" s="776"/>
      <c r="K734" s="779"/>
    </row>
    <row r="735" spans="3:11" x14ac:dyDescent="0.2">
      <c r="C735" s="569">
        <v>732</v>
      </c>
      <c r="D735" s="580"/>
      <c r="E735" s="581"/>
      <c r="F735" s="582"/>
      <c r="G735" s="583"/>
      <c r="H735" s="770"/>
      <c r="I735" s="773"/>
      <c r="J735" s="776"/>
      <c r="K735" s="779"/>
    </row>
    <row r="736" spans="3:11" x14ac:dyDescent="0.2">
      <c r="C736" s="569">
        <v>733</v>
      </c>
      <c r="D736" s="580"/>
      <c r="E736" s="581"/>
      <c r="F736" s="582"/>
      <c r="G736" s="583"/>
      <c r="H736" s="770"/>
      <c r="I736" s="773"/>
      <c r="J736" s="776"/>
      <c r="K736" s="779"/>
    </row>
    <row r="737" spans="3:11" x14ac:dyDescent="0.2">
      <c r="C737" s="569">
        <v>734</v>
      </c>
      <c r="D737" s="580"/>
      <c r="E737" s="581"/>
      <c r="F737" s="582"/>
      <c r="G737" s="583"/>
      <c r="H737" s="770"/>
      <c r="I737" s="773"/>
      <c r="J737" s="776"/>
      <c r="K737" s="779"/>
    </row>
    <row r="738" spans="3:11" x14ac:dyDescent="0.2">
      <c r="C738" s="569">
        <v>735</v>
      </c>
      <c r="D738" s="580"/>
      <c r="E738" s="581"/>
      <c r="F738" s="582"/>
      <c r="G738" s="583"/>
      <c r="H738" s="770"/>
      <c r="I738" s="773"/>
      <c r="J738" s="776"/>
      <c r="K738" s="779"/>
    </row>
    <row r="739" spans="3:11" x14ac:dyDescent="0.2">
      <c r="C739" s="569">
        <v>736</v>
      </c>
      <c r="D739" s="580"/>
      <c r="E739" s="581"/>
      <c r="F739" s="582"/>
      <c r="G739" s="583"/>
      <c r="H739" s="770"/>
      <c r="I739" s="773"/>
      <c r="J739" s="776"/>
      <c r="K739" s="779"/>
    </row>
    <row r="740" spans="3:11" x14ac:dyDescent="0.2">
      <c r="C740" s="569">
        <v>737</v>
      </c>
      <c r="D740" s="580"/>
      <c r="E740" s="581"/>
      <c r="F740" s="582"/>
      <c r="G740" s="583"/>
      <c r="H740" s="770"/>
      <c r="I740" s="773"/>
      <c r="J740" s="776"/>
      <c r="K740" s="779"/>
    </row>
    <row r="741" spans="3:11" x14ac:dyDescent="0.2">
      <c r="C741" s="569">
        <v>738</v>
      </c>
      <c r="D741" s="580"/>
      <c r="E741" s="581"/>
      <c r="F741" s="582"/>
      <c r="G741" s="583"/>
      <c r="H741" s="770"/>
      <c r="I741" s="773"/>
      <c r="J741" s="776"/>
      <c r="K741" s="779"/>
    </row>
    <row r="742" spans="3:11" x14ac:dyDescent="0.2">
      <c r="C742" s="569">
        <v>739</v>
      </c>
      <c r="D742" s="580"/>
      <c r="E742" s="581"/>
      <c r="F742" s="582"/>
      <c r="G742" s="583"/>
      <c r="H742" s="770"/>
      <c r="I742" s="773"/>
      <c r="J742" s="776"/>
      <c r="K742" s="779"/>
    </row>
    <row r="743" spans="3:11" x14ac:dyDescent="0.2">
      <c r="C743" s="569">
        <v>740</v>
      </c>
      <c r="D743" s="580"/>
      <c r="E743" s="581"/>
      <c r="F743" s="582"/>
      <c r="G743" s="583"/>
      <c r="H743" s="770"/>
      <c r="I743" s="773"/>
      <c r="J743" s="776"/>
      <c r="K743" s="779"/>
    </row>
    <row r="744" spans="3:11" x14ac:dyDescent="0.2">
      <c r="C744" s="569">
        <v>741</v>
      </c>
      <c r="D744" s="580"/>
      <c r="E744" s="581"/>
      <c r="F744" s="582"/>
      <c r="G744" s="583"/>
      <c r="H744" s="770"/>
      <c r="I744" s="773"/>
      <c r="J744" s="776"/>
      <c r="K744" s="779"/>
    </row>
    <row r="745" spans="3:11" x14ac:dyDescent="0.2">
      <c r="C745" s="569">
        <v>742</v>
      </c>
      <c r="D745" s="580"/>
      <c r="E745" s="581"/>
      <c r="F745" s="582"/>
      <c r="G745" s="583"/>
      <c r="H745" s="770"/>
      <c r="I745" s="773"/>
      <c r="J745" s="776"/>
      <c r="K745" s="779"/>
    </row>
    <row r="746" spans="3:11" x14ac:dyDescent="0.2">
      <c r="C746" s="569">
        <v>743</v>
      </c>
      <c r="D746" s="580"/>
      <c r="E746" s="581"/>
      <c r="F746" s="582"/>
      <c r="G746" s="583"/>
      <c r="H746" s="770"/>
      <c r="I746" s="773"/>
      <c r="J746" s="776"/>
      <c r="K746" s="779"/>
    </row>
    <row r="747" spans="3:11" x14ac:dyDescent="0.2">
      <c r="C747" s="569">
        <v>744</v>
      </c>
      <c r="D747" s="580"/>
      <c r="E747" s="581"/>
      <c r="F747" s="582"/>
      <c r="G747" s="583"/>
      <c r="H747" s="770"/>
      <c r="I747" s="773"/>
      <c r="J747" s="776"/>
      <c r="K747" s="779"/>
    </row>
    <row r="748" spans="3:11" x14ac:dyDescent="0.2">
      <c r="C748" s="569">
        <v>745</v>
      </c>
      <c r="D748" s="580"/>
      <c r="E748" s="581"/>
      <c r="F748" s="582"/>
      <c r="G748" s="583"/>
      <c r="H748" s="770"/>
      <c r="I748" s="773"/>
      <c r="J748" s="776"/>
      <c r="K748" s="779"/>
    </row>
    <row r="749" spans="3:11" x14ac:dyDescent="0.2">
      <c r="C749" s="569">
        <v>746</v>
      </c>
      <c r="D749" s="580"/>
      <c r="E749" s="581"/>
      <c r="F749" s="582"/>
      <c r="G749" s="583"/>
      <c r="H749" s="770"/>
      <c r="I749" s="773"/>
      <c r="J749" s="776"/>
      <c r="K749" s="779"/>
    </row>
    <row r="750" spans="3:11" x14ac:dyDescent="0.2">
      <c r="C750" s="569">
        <v>747</v>
      </c>
      <c r="D750" s="580"/>
      <c r="E750" s="581"/>
      <c r="F750" s="582"/>
      <c r="G750" s="583"/>
      <c r="H750" s="770"/>
      <c r="I750" s="773"/>
      <c r="J750" s="776"/>
      <c r="K750" s="779"/>
    </row>
    <row r="751" spans="3:11" x14ac:dyDescent="0.2">
      <c r="C751" s="569">
        <v>748</v>
      </c>
      <c r="D751" s="580"/>
      <c r="E751" s="581"/>
      <c r="F751" s="582"/>
      <c r="G751" s="583"/>
      <c r="H751" s="770"/>
      <c r="I751" s="773"/>
      <c r="J751" s="776"/>
      <c r="K751" s="779"/>
    </row>
    <row r="752" spans="3:11" x14ac:dyDescent="0.2">
      <c r="C752" s="569">
        <v>749</v>
      </c>
      <c r="D752" s="580"/>
      <c r="E752" s="581"/>
      <c r="F752" s="582"/>
      <c r="G752" s="583"/>
      <c r="H752" s="770"/>
      <c r="I752" s="773"/>
      <c r="J752" s="776"/>
      <c r="K752" s="779"/>
    </row>
    <row r="753" spans="3:11" x14ac:dyDescent="0.2">
      <c r="C753" s="569">
        <v>750</v>
      </c>
      <c r="D753" s="580"/>
      <c r="E753" s="581"/>
      <c r="F753" s="582"/>
      <c r="G753" s="583"/>
      <c r="H753" s="770"/>
      <c r="I753" s="773"/>
      <c r="J753" s="776"/>
      <c r="K753" s="779"/>
    </row>
    <row r="754" spans="3:11" x14ac:dyDescent="0.2">
      <c r="C754" s="569">
        <v>751</v>
      </c>
      <c r="D754" s="580"/>
      <c r="E754" s="581"/>
      <c r="F754" s="582"/>
      <c r="G754" s="583"/>
      <c r="H754" s="770"/>
      <c r="I754" s="773"/>
      <c r="J754" s="776"/>
      <c r="K754" s="779"/>
    </row>
    <row r="755" spans="3:11" x14ac:dyDescent="0.2">
      <c r="C755" s="569">
        <v>752</v>
      </c>
      <c r="D755" s="580"/>
      <c r="E755" s="581"/>
      <c r="F755" s="582"/>
      <c r="G755" s="583"/>
      <c r="H755" s="770"/>
      <c r="I755" s="773"/>
      <c r="J755" s="776"/>
      <c r="K755" s="779"/>
    </row>
    <row r="756" spans="3:11" x14ac:dyDescent="0.2">
      <c r="C756" s="569">
        <v>753</v>
      </c>
      <c r="D756" s="580"/>
      <c r="E756" s="581"/>
      <c r="F756" s="582"/>
      <c r="G756" s="583"/>
      <c r="H756" s="770"/>
      <c r="I756" s="773"/>
      <c r="J756" s="776"/>
      <c r="K756" s="779"/>
    </row>
    <row r="757" spans="3:11" x14ac:dyDescent="0.2">
      <c r="C757" s="569">
        <v>754</v>
      </c>
      <c r="D757" s="580"/>
      <c r="E757" s="581"/>
      <c r="F757" s="582"/>
      <c r="G757" s="583"/>
      <c r="H757" s="770"/>
      <c r="I757" s="773"/>
      <c r="J757" s="776"/>
      <c r="K757" s="779"/>
    </row>
    <row r="758" spans="3:11" x14ac:dyDescent="0.2">
      <c r="C758" s="569">
        <v>755</v>
      </c>
      <c r="D758" s="580"/>
      <c r="E758" s="581"/>
      <c r="F758" s="582"/>
      <c r="G758" s="583"/>
      <c r="H758" s="770"/>
      <c r="I758" s="773"/>
      <c r="J758" s="776"/>
      <c r="K758" s="779"/>
    </row>
    <row r="759" spans="3:11" x14ac:dyDescent="0.2">
      <c r="C759" s="569">
        <v>756</v>
      </c>
      <c r="D759" s="580"/>
      <c r="E759" s="581"/>
      <c r="F759" s="582"/>
      <c r="G759" s="583"/>
      <c r="H759" s="770"/>
      <c r="I759" s="773"/>
      <c r="J759" s="776"/>
      <c r="K759" s="779"/>
    </row>
    <row r="760" spans="3:11" x14ac:dyDescent="0.2">
      <c r="C760" s="569">
        <v>757</v>
      </c>
      <c r="D760" s="580"/>
      <c r="E760" s="581"/>
      <c r="F760" s="582"/>
      <c r="G760" s="583"/>
      <c r="H760" s="770"/>
      <c r="I760" s="773"/>
      <c r="J760" s="776"/>
      <c r="K760" s="779"/>
    </row>
    <row r="761" spans="3:11" x14ac:dyDescent="0.2">
      <c r="C761" s="569">
        <v>758</v>
      </c>
      <c r="D761" s="580"/>
      <c r="E761" s="581"/>
      <c r="F761" s="582"/>
      <c r="G761" s="583"/>
      <c r="H761" s="770"/>
      <c r="I761" s="773"/>
      <c r="J761" s="776"/>
      <c r="K761" s="779"/>
    </row>
    <row r="762" spans="3:11" x14ac:dyDescent="0.2">
      <c r="C762" s="569">
        <v>759</v>
      </c>
      <c r="D762" s="580"/>
      <c r="E762" s="581"/>
      <c r="F762" s="582"/>
      <c r="G762" s="583"/>
      <c r="H762" s="770"/>
      <c r="I762" s="773"/>
      <c r="J762" s="776"/>
      <c r="K762" s="779"/>
    </row>
    <row r="763" spans="3:11" x14ac:dyDescent="0.2">
      <c r="C763" s="569">
        <v>760</v>
      </c>
      <c r="D763" s="580"/>
      <c r="E763" s="581"/>
      <c r="F763" s="582"/>
      <c r="G763" s="583"/>
      <c r="H763" s="770"/>
      <c r="I763" s="773"/>
      <c r="J763" s="776"/>
      <c r="K763" s="779"/>
    </row>
    <row r="764" spans="3:11" x14ac:dyDescent="0.2">
      <c r="C764" s="569">
        <v>761</v>
      </c>
      <c r="D764" s="580"/>
      <c r="E764" s="581"/>
      <c r="F764" s="582"/>
      <c r="G764" s="583"/>
      <c r="H764" s="770"/>
      <c r="I764" s="773"/>
      <c r="J764" s="776"/>
      <c r="K764" s="779"/>
    </row>
    <row r="765" spans="3:11" x14ac:dyDescent="0.2">
      <c r="C765" s="569">
        <v>762</v>
      </c>
      <c r="D765" s="580"/>
      <c r="E765" s="581"/>
      <c r="F765" s="582"/>
      <c r="G765" s="583"/>
      <c r="H765" s="770"/>
      <c r="I765" s="773"/>
      <c r="J765" s="776"/>
      <c r="K765" s="779"/>
    </row>
    <row r="766" spans="3:11" x14ac:dyDescent="0.2">
      <c r="C766" s="569">
        <v>763</v>
      </c>
      <c r="D766" s="580"/>
      <c r="E766" s="581"/>
      <c r="F766" s="582"/>
      <c r="G766" s="583"/>
      <c r="H766" s="770"/>
      <c r="I766" s="773"/>
      <c r="J766" s="776"/>
      <c r="K766" s="779"/>
    </row>
    <row r="767" spans="3:11" x14ac:dyDescent="0.2">
      <c r="C767" s="569">
        <v>764</v>
      </c>
      <c r="D767" s="580"/>
      <c r="E767" s="581"/>
      <c r="F767" s="582"/>
      <c r="G767" s="583"/>
      <c r="H767" s="770"/>
      <c r="I767" s="773"/>
      <c r="J767" s="776"/>
      <c r="K767" s="779"/>
    </row>
    <row r="768" spans="3:11" x14ac:dyDescent="0.2">
      <c r="C768" s="569">
        <v>765</v>
      </c>
      <c r="D768" s="580"/>
      <c r="E768" s="581"/>
      <c r="F768" s="582"/>
      <c r="G768" s="583"/>
      <c r="H768" s="770"/>
      <c r="I768" s="773"/>
      <c r="J768" s="776"/>
      <c r="K768" s="779"/>
    </row>
    <row r="769" spans="3:11" x14ac:dyDescent="0.2">
      <c r="C769" s="569">
        <v>766</v>
      </c>
      <c r="D769" s="580"/>
      <c r="E769" s="581"/>
      <c r="F769" s="582"/>
      <c r="G769" s="583"/>
      <c r="H769" s="770"/>
      <c r="I769" s="773"/>
      <c r="J769" s="776"/>
      <c r="K769" s="779"/>
    </row>
    <row r="770" spans="3:11" x14ac:dyDescent="0.2">
      <c r="C770" s="569">
        <v>767</v>
      </c>
      <c r="D770" s="580"/>
      <c r="E770" s="581"/>
      <c r="F770" s="582"/>
      <c r="G770" s="583"/>
      <c r="H770" s="770"/>
      <c r="I770" s="773"/>
      <c r="J770" s="776"/>
      <c r="K770" s="779"/>
    </row>
    <row r="771" spans="3:11" x14ac:dyDescent="0.2">
      <c r="C771" s="569">
        <v>768</v>
      </c>
      <c r="D771" s="580"/>
      <c r="E771" s="581"/>
      <c r="F771" s="582"/>
      <c r="G771" s="583"/>
      <c r="H771" s="770"/>
      <c r="I771" s="773"/>
      <c r="J771" s="776"/>
      <c r="K771" s="779"/>
    </row>
    <row r="772" spans="3:11" x14ac:dyDescent="0.2">
      <c r="C772" s="569">
        <v>769</v>
      </c>
      <c r="D772" s="580"/>
      <c r="E772" s="581"/>
      <c r="F772" s="582"/>
      <c r="G772" s="583"/>
      <c r="H772" s="770"/>
      <c r="I772" s="773"/>
      <c r="J772" s="776"/>
      <c r="K772" s="779"/>
    </row>
    <row r="773" spans="3:11" x14ac:dyDescent="0.2">
      <c r="C773" s="569">
        <v>770</v>
      </c>
      <c r="D773" s="580"/>
      <c r="E773" s="581"/>
      <c r="F773" s="582"/>
      <c r="G773" s="583"/>
      <c r="H773" s="770"/>
      <c r="I773" s="773"/>
      <c r="J773" s="776"/>
      <c r="K773" s="779"/>
    </row>
    <row r="774" spans="3:11" x14ac:dyDescent="0.2">
      <c r="C774" s="569">
        <v>771</v>
      </c>
      <c r="D774" s="580"/>
      <c r="E774" s="581"/>
      <c r="F774" s="582"/>
      <c r="G774" s="583"/>
      <c r="H774" s="770"/>
      <c r="I774" s="773"/>
      <c r="J774" s="776"/>
      <c r="K774" s="779"/>
    </row>
    <row r="775" spans="3:11" x14ac:dyDescent="0.2">
      <c r="C775" s="569">
        <v>772</v>
      </c>
      <c r="D775" s="580"/>
      <c r="E775" s="581"/>
      <c r="F775" s="582"/>
      <c r="G775" s="583"/>
      <c r="H775" s="770"/>
      <c r="I775" s="773"/>
      <c r="J775" s="776"/>
      <c r="K775" s="779"/>
    </row>
    <row r="776" spans="3:11" x14ac:dyDescent="0.2">
      <c r="C776" s="569">
        <v>773</v>
      </c>
      <c r="D776" s="580"/>
      <c r="E776" s="581"/>
      <c r="F776" s="582"/>
      <c r="G776" s="583"/>
      <c r="H776" s="770"/>
      <c r="I776" s="773"/>
      <c r="J776" s="776"/>
      <c r="K776" s="779"/>
    </row>
    <row r="777" spans="3:11" x14ac:dyDescent="0.2">
      <c r="C777" s="569">
        <v>774</v>
      </c>
      <c r="D777" s="580"/>
      <c r="E777" s="581"/>
      <c r="F777" s="582"/>
      <c r="G777" s="583"/>
      <c r="H777" s="770"/>
      <c r="I777" s="773"/>
      <c r="J777" s="776"/>
      <c r="K777" s="779"/>
    </row>
    <row r="778" spans="3:11" x14ac:dyDescent="0.2">
      <c r="C778" s="569">
        <v>775</v>
      </c>
      <c r="D778" s="580"/>
      <c r="E778" s="581"/>
      <c r="F778" s="582"/>
      <c r="G778" s="583"/>
      <c r="H778" s="770"/>
      <c r="I778" s="773"/>
      <c r="J778" s="776"/>
      <c r="K778" s="779"/>
    </row>
    <row r="779" spans="3:11" x14ac:dyDescent="0.2">
      <c r="C779" s="569">
        <v>776</v>
      </c>
      <c r="D779" s="580"/>
      <c r="E779" s="581"/>
      <c r="F779" s="582"/>
      <c r="G779" s="583"/>
      <c r="H779" s="770"/>
      <c r="I779" s="773"/>
      <c r="J779" s="776"/>
      <c r="K779" s="779"/>
    </row>
    <row r="780" spans="3:11" x14ac:dyDescent="0.2">
      <c r="C780" s="569">
        <v>777</v>
      </c>
      <c r="D780" s="580"/>
      <c r="E780" s="581"/>
      <c r="F780" s="582"/>
      <c r="G780" s="583"/>
      <c r="H780" s="770"/>
      <c r="I780" s="773"/>
      <c r="J780" s="776"/>
      <c r="K780" s="779"/>
    </row>
    <row r="781" spans="3:11" x14ac:dyDescent="0.2">
      <c r="C781" s="569">
        <v>778</v>
      </c>
      <c r="D781" s="580"/>
      <c r="E781" s="581"/>
      <c r="F781" s="582"/>
      <c r="G781" s="583"/>
      <c r="H781" s="770"/>
      <c r="I781" s="773"/>
      <c r="J781" s="776"/>
      <c r="K781" s="779"/>
    </row>
    <row r="782" spans="3:11" x14ac:dyDescent="0.2">
      <c r="C782" s="569">
        <v>779</v>
      </c>
      <c r="D782" s="580"/>
      <c r="E782" s="581"/>
      <c r="F782" s="582"/>
      <c r="G782" s="583"/>
      <c r="H782" s="770"/>
      <c r="I782" s="773"/>
      <c r="J782" s="776"/>
      <c r="K782" s="779"/>
    </row>
    <row r="783" spans="3:11" x14ac:dyDescent="0.2">
      <c r="C783" s="569">
        <v>780</v>
      </c>
      <c r="D783" s="580"/>
      <c r="E783" s="581"/>
      <c r="F783" s="582"/>
      <c r="G783" s="583"/>
      <c r="H783" s="770"/>
      <c r="I783" s="773"/>
      <c r="J783" s="776"/>
      <c r="K783" s="779"/>
    </row>
    <row r="784" spans="3:11" x14ac:dyDescent="0.2">
      <c r="C784" s="569">
        <v>781</v>
      </c>
      <c r="D784" s="580"/>
      <c r="E784" s="581"/>
      <c r="F784" s="582"/>
      <c r="G784" s="583"/>
      <c r="H784" s="770"/>
      <c r="I784" s="773"/>
      <c r="J784" s="776"/>
      <c r="K784" s="779"/>
    </row>
    <row r="785" spans="3:11" x14ac:dyDescent="0.2">
      <c r="C785" s="569">
        <v>782</v>
      </c>
      <c r="D785" s="580"/>
      <c r="E785" s="581"/>
      <c r="F785" s="582"/>
      <c r="G785" s="583"/>
      <c r="H785" s="770"/>
      <c r="I785" s="773"/>
      <c r="J785" s="776"/>
      <c r="K785" s="779"/>
    </row>
    <row r="786" spans="3:11" x14ac:dyDescent="0.2">
      <c r="C786" s="569">
        <v>783</v>
      </c>
      <c r="D786" s="580"/>
      <c r="E786" s="581"/>
      <c r="F786" s="582"/>
      <c r="G786" s="583"/>
      <c r="H786" s="770"/>
      <c r="I786" s="773"/>
      <c r="J786" s="776"/>
      <c r="K786" s="779"/>
    </row>
    <row r="787" spans="3:11" x14ac:dyDescent="0.2">
      <c r="C787" s="569">
        <v>784</v>
      </c>
      <c r="D787" s="580"/>
      <c r="E787" s="581"/>
      <c r="F787" s="582"/>
      <c r="G787" s="583"/>
      <c r="H787" s="770"/>
      <c r="I787" s="773"/>
      <c r="J787" s="776"/>
      <c r="K787" s="779"/>
    </row>
    <row r="788" spans="3:11" x14ac:dyDescent="0.2">
      <c r="C788" s="569">
        <v>785</v>
      </c>
      <c r="D788" s="580"/>
      <c r="E788" s="581"/>
      <c r="F788" s="582"/>
      <c r="G788" s="583"/>
      <c r="H788" s="770"/>
      <c r="I788" s="773"/>
      <c r="J788" s="776"/>
      <c r="K788" s="779"/>
    </row>
    <row r="789" spans="3:11" x14ac:dyDescent="0.2">
      <c r="C789" s="569">
        <v>786</v>
      </c>
      <c r="D789" s="580"/>
      <c r="E789" s="581"/>
      <c r="F789" s="582"/>
      <c r="G789" s="583"/>
      <c r="H789" s="770"/>
      <c r="I789" s="773"/>
      <c r="J789" s="776"/>
      <c r="K789" s="779"/>
    </row>
    <row r="790" spans="3:11" x14ac:dyDescent="0.2">
      <c r="C790" s="569">
        <v>787</v>
      </c>
      <c r="D790" s="580"/>
      <c r="E790" s="581"/>
      <c r="F790" s="582"/>
      <c r="G790" s="583"/>
      <c r="H790" s="770"/>
      <c r="I790" s="773"/>
      <c r="J790" s="776"/>
      <c r="K790" s="779"/>
    </row>
    <row r="791" spans="3:11" x14ac:dyDescent="0.2">
      <c r="C791" s="569">
        <v>788</v>
      </c>
      <c r="D791" s="580"/>
      <c r="E791" s="581"/>
      <c r="F791" s="582"/>
      <c r="G791" s="583"/>
      <c r="H791" s="770"/>
      <c r="I791" s="773"/>
      <c r="J791" s="776"/>
      <c r="K791" s="779"/>
    </row>
    <row r="792" spans="3:11" x14ac:dyDescent="0.2">
      <c r="C792" s="569">
        <v>789</v>
      </c>
      <c r="D792" s="580"/>
      <c r="E792" s="581"/>
      <c r="F792" s="582"/>
      <c r="G792" s="583"/>
      <c r="H792" s="770"/>
      <c r="I792" s="773"/>
      <c r="J792" s="776"/>
      <c r="K792" s="779"/>
    </row>
    <row r="793" spans="3:11" x14ac:dyDescent="0.2">
      <c r="C793" s="569">
        <v>790</v>
      </c>
      <c r="D793" s="580"/>
      <c r="E793" s="581"/>
      <c r="F793" s="582"/>
      <c r="G793" s="583"/>
      <c r="H793" s="770"/>
      <c r="I793" s="773"/>
      <c r="J793" s="776"/>
      <c r="K793" s="779"/>
    </row>
    <row r="794" spans="3:11" x14ac:dyDescent="0.2">
      <c r="C794" s="569">
        <v>791</v>
      </c>
      <c r="D794" s="580"/>
      <c r="E794" s="581"/>
      <c r="F794" s="582"/>
      <c r="G794" s="583"/>
      <c r="H794" s="770"/>
      <c r="I794" s="773"/>
      <c r="J794" s="776"/>
      <c r="K794" s="779"/>
    </row>
    <row r="795" spans="3:11" x14ac:dyDescent="0.2">
      <c r="C795" s="569">
        <v>792</v>
      </c>
      <c r="D795" s="580"/>
      <c r="E795" s="581"/>
      <c r="F795" s="582"/>
      <c r="G795" s="583"/>
      <c r="H795" s="770"/>
      <c r="I795" s="773"/>
      <c r="J795" s="776"/>
      <c r="K795" s="779"/>
    </row>
    <row r="796" spans="3:11" x14ac:dyDescent="0.2">
      <c r="C796" s="569">
        <v>793</v>
      </c>
      <c r="D796" s="580"/>
      <c r="E796" s="581"/>
      <c r="F796" s="582"/>
      <c r="G796" s="583"/>
      <c r="H796" s="770"/>
      <c r="I796" s="773"/>
      <c r="J796" s="776"/>
      <c r="K796" s="779"/>
    </row>
    <row r="797" spans="3:11" x14ac:dyDescent="0.2">
      <c r="C797" s="569">
        <v>794</v>
      </c>
      <c r="D797" s="580"/>
      <c r="E797" s="581"/>
      <c r="F797" s="582"/>
      <c r="G797" s="583"/>
      <c r="H797" s="770"/>
      <c r="I797" s="773"/>
      <c r="J797" s="776"/>
      <c r="K797" s="779"/>
    </row>
    <row r="798" spans="3:11" x14ac:dyDescent="0.2">
      <c r="C798" s="569">
        <v>795</v>
      </c>
      <c r="D798" s="580"/>
      <c r="E798" s="581"/>
      <c r="F798" s="582"/>
      <c r="G798" s="583"/>
      <c r="H798" s="770"/>
      <c r="I798" s="773"/>
      <c r="J798" s="776"/>
      <c r="K798" s="779"/>
    </row>
    <row r="799" spans="3:11" x14ac:dyDescent="0.2">
      <c r="C799" s="569">
        <v>796</v>
      </c>
      <c r="D799" s="580"/>
      <c r="E799" s="581"/>
      <c r="F799" s="582"/>
      <c r="G799" s="583"/>
      <c r="H799" s="770"/>
      <c r="I799" s="773"/>
      <c r="J799" s="776"/>
      <c r="K799" s="779"/>
    </row>
    <row r="800" spans="3:11" x14ac:dyDescent="0.2">
      <c r="C800" s="569">
        <v>797</v>
      </c>
      <c r="D800" s="580"/>
      <c r="E800" s="581"/>
      <c r="F800" s="582"/>
      <c r="G800" s="583"/>
      <c r="H800" s="770"/>
      <c r="I800" s="773"/>
      <c r="J800" s="776"/>
      <c r="K800" s="779"/>
    </row>
    <row r="801" spans="3:11" x14ac:dyDescent="0.2">
      <c r="C801" s="569">
        <v>798</v>
      </c>
      <c r="D801" s="580"/>
      <c r="E801" s="581"/>
      <c r="F801" s="582"/>
      <c r="G801" s="583"/>
      <c r="H801" s="770"/>
      <c r="I801" s="773"/>
      <c r="J801" s="776"/>
      <c r="K801" s="779"/>
    </row>
    <row r="802" spans="3:11" x14ac:dyDescent="0.2">
      <c r="C802" s="569">
        <v>799</v>
      </c>
      <c r="D802" s="580"/>
      <c r="E802" s="581"/>
      <c r="F802" s="582"/>
      <c r="G802" s="583"/>
      <c r="H802" s="770"/>
      <c r="I802" s="773"/>
      <c r="J802" s="776"/>
      <c r="K802" s="779"/>
    </row>
    <row r="803" spans="3:11" x14ac:dyDescent="0.2">
      <c r="C803" s="569">
        <v>800</v>
      </c>
      <c r="D803" s="580"/>
      <c r="E803" s="581"/>
      <c r="F803" s="582"/>
      <c r="G803" s="583"/>
      <c r="H803" s="770"/>
      <c r="I803" s="773"/>
      <c r="J803" s="776"/>
      <c r="K803" s="779"/>
    </row>
    <row r="804" spans="3:11" x14ac:dyDescent="0.2">
      <c r="C804" s="569">
        <v>801</v>
      </c>
      <c r="D804" s="580"/>
      <c r="E804" s="581"/>
      <c r="F804" s="582"/>
      <c r="G804" s="583"/>
      <c r="H804" s="770"/>
      <c r="I804" s="773"/>
      <c r="J804" s="776"/>
      <c r="K804" s="779"/>
    </row>
    <row r="805" spans="3:11" x14ac:dyDescent="0.2">
      <c r="C805" s="569">
        <v>802</v>
      </c>
      <c r="D805" s="580"/>
      <c r="E805" s="581"/>
      <c r="F805" s="582"/>
      <c r="G805" s="583"/>
      <c r="H805" s="770"/>
      <c r="I805" s="773"/>
      <c r="J805" s="776"/>
      <c r="K805" s="779"/>
    </row>
    <row r="806" spans="3:11" x14ac:dyDescent="0.2">
      <c r="C806" s="569">
        <v>803</v>
      </c>
      <c r="D806" s="580"/>
      <c r="E806" s="581"/>
      <c r="F806" s="582"/>
      <c r="G806" s="583"/>
      <c r="H806" s="770"/>
      <c r="I806" s="773"/>
      <c r="J806" s="776"/>
      <c r="K806" s="779"/>
    </row>
    <row r="807" spans="3:11" x14ac:dyDescent="0.2">
      <c r="C807" s="569">
        <v>804</v>
      </c>
      <c r="D807" s="580"/>
      <c r="E807" s="581"/>
      <c r="F807" s="582"/>
      <c r="G807" s="583"/>
      <c r="H807" s="770"/>
      <c r="I807" s="773"/>
      <c r="J807" s="776"/>
      <c r="K807" s="779"/>
    </row>
    <row r="808" spans="3:11" x14ac:dyDescent="0.2">
      <c r="C808" s="569">
        <v>805</v>
      </c>
      <c r="D808" s="580"/>
      <c r="E808" s="581"/>
      <c r="F808" s="582"/>
      <c r="G808" s="583"/>
      <c r="H808" s="770"/>
      <c r="I808" s="773"/>
      <c r="J808" s="776"/>
      <c r="K808" s="779"/>
    </row>
    <row r="809" spans="3:11" x14ac:dyDescent="0.2">
      <c r="C809" s="569">
        <v>806</v>
      </c>
      <c r="D809" s="580"/>
      <c r="E809" s="581"/>
      <c r="F809" s="582"/>
      <c r="G809" s="583"/>
      <c r="H809" s="770"/>
      <c r="I809" s="773"/>
      <c r="J809" s="776"/>
      <c r="K809" s="779"/>
    </row>
    <row r="810" spans="3:11" x14ac:dyDescent="0.2">
      <c r="C810" s="569">
        <v>807</v>
      </c>
      <c r="D810" s="580"/>
      <c r="E810" s="581"/>
      <c r="F810" s="582"/>
      <c r="G810" s="583"/>
      <c r="H810" s="770"/>
      <c r="I810" s="773"/>
      <c r="J810" s="776"/>
      <c r="K810" s="779"/>
    </row>
    <row r="811" spans="3:11" x14ac:dyDescent="0.2">
      <c r="C811" s="569">
        <v>808</v>
      </c>
      <c r="D811" s="580"/>
      <c r="E811" s="581"/>
      <c r="F811" s="582"/>
      <c r="G811" s="583"/>
      <c r="H811" s="770"/>
      <c r="I811" s="773"/>
      <c r="J811" s="776"/>
      <c r="K811" s="779"/>
    </row>
    <row r="812" spans="3:11" x14ac:dyDescent="0.2">
      <c r="C812" s="569">
        <v>809</v>
      </c>
      <c r="D812" s="580"/>
      <c r="E812" s="581"/>
      <c r="F812" s="582"/>
      <c r="G812" s="583"/>
      <c r="H812" s="770"/>
      <c r="I812" s="773"/>
      <c r="J812" s="776"/>
      <c r="K812" s="779"/>
    </row>
    <row r="813" spans="3:11" x14ac:dyDescent="0.2">
      <c r="C813" s="569">
        <v>810</v>
      </c>
      <c r="D813" s="580"/>
      <c r="E813" s="581"/>
      <c r="F813" s="582"/>
      <c r="G813" s="583"/>
      <c r="H813" s="770"/>
      <c r="I813" s="773"/>
      <c r="J813" s="776"/>
      <c r="K813" s="779"/>
    </row>
    <row r="814" spans="3:11" x14ac:dyDescent="0.2">
      <c r="C814" s="569">
        <v>811</v>
      </c>
      <c r="D814" s="580"/>
      <c r="E814" s="581"/>
      <c r="F814" s="582"/>
      <c r="G814" s="583"/>
      <c r="H814" s="770"/>
      <c r="I814" s="773"/>
      <c r="J814" s="776"/>
      <c r="K814" s="779"/>
    </row>
    <row r="815" spans="3:11" x14ac:dyDescent="0.2">
      <c r="C815" s="569">
        <v>812</v>
      </c>
      <c r="D815" s="580"/>
      <c r="E815" s="581"/>
      <c r="F815" s="582"/>
      <c r="G815" s="583"/>
      <c r="H815" s="770"/>
      <c r="I815" s="773"/>
      <c r="J815" s="776"/>
      <c r="K815" s="779"/>
    </row>
    <row r="816" spans="3:11" x14ac:dyDescent="0.2">
      <c r="C816" s="569">
        <v>813</v>
      </c>
      <c r="D816" s="580"/>
      <c r="E816" s="581"/>
      <c r="F816" s="582"/>
      <c r="G816" s="583"/>
      <c r="H816" s="770"/>
      <c r="I816" s="773"/>
      <c r="J816" s="776"/>
      <c r="K816" s="779"/>
    </row>
    <row r="817" spans="3:11" x14ac:dyDescent="0.2">
      <c r="C817" s="569">
        <v>814</v>
      </c>
      <c r="D817" s="580"/>
      <c r="E817" s="581"/>
      <c r="F817" s="582"/>
      <c r="G817" s="583"/>
      <c r="H817" s="770"/>
      <c r="I817" s="773"/>
      <c r="J817" s="776"/>
      <c r="K817" s="779"/>
    </row>
    <row r="818" spans="3:11" x14ac:dyDescent="0.2">
      <c r="C818" s="569">
        <v>815</v>
      </c>
      <c r="D818" s="580"/>
      <c r="E818" s="581"/>
      <c r="F818" s="582"/>
      <c r="G818" s="583"/>
      <c r="H818" s="770"/>
      <c r="I818" s="773"/>
      <c r="J818" s="776"/>
      <c r="K818" s="779"/>
    </row>
    <row r="819" spans="3:11" x14ac:dyDescent="0.2">
      <c r="C819" s="569">
        <v>816</v>
      </c>
      <c r="D819" s="580"/>
      <c r="E819" s="581"/>
      <c r="F819" s="582"/>
      <c r="G819" s="583"/>
      <c r="H819" s="770"/>
      <c r="I819" s="773"/>
      <c r="J819" s="776"/>
      <c r="K819" s="779"/>
    </row>
    <row r="820" spans="3:11" x14ac:dyDescent="0.2">
      <c r="C820" s="569">
        <v>817</v>
      </c>
      <c r="D820" s="580"/>
      <c r="E820" s="581"/>
      <c r="F820" s="582"/>
      <c r="G820" s="583"/>
      <c r="H820" s="770"/>
      <c r="I820" s="773"/>
      <c r="J820" s="776"/>
      <c r="K820" s="779"/>
    </row>
    <row r="821" spans="3:11" x14ac:dyDescent="0.2">
      <c r="C821" s="569">
        <v>818</v>
      </c>
      <c r="D821" s="580"/>
      <c r="E821" s="581"/>
      <c r="F821" s="582"/>
      <c r="G821" s="583"/>
      <c r="H821" s="770"/>
      <c r="I821" s="773"/>
      <c r="J821" s="776"/>
      <c r="K821" s="779"/>
    </row>
    <row r="822" spans="3:11" x14ac:dyDescent="0.2">
      <c r="C822" s="569">
        <v>819</v>
      </c>
      <c r="D822" s="580"/>
      <c r="E822" s="581"/>
      <c r="F822" s="582"/>
      <c r="G822" s="583"/>
      <c r="H822" s="770"/>
      <c r="I822" s="773"/>
      <c r="J822" s="776"/>
      <c r="K822" s="779"/>
    </row>
    <row r="823" spans="3:11" x14ac:dyDescent="0.2">
      <c r="C823" s="569">
        <v>820</v>
      </c>
      <c r="D823" s="580"/>
      <c r="E823" s="581"/>
      <c r="F823" s="582"/>
      <c r="G823" s="583"/>
      <c r="H823" s="770"/>
      <c r="I823" s="773"/>
      <c r="J823" s="776"/>
      <c r="K823" s="779"/>
    </row>
    <row r="824" spans="3:11" x14ac:dyDescent="0.2">
      <c r="C824" s="569">
        <v>821</v>
      </c>
      <c r="D824" s="580"/>
      <c r="E824" s="581"/>
      <c r="F824" s="582"/>
      <c r="G824" s="583"/>
      <c r="H824" s="770"/>
      <c r="I824" s="773"/>
      <c r="J824" s="776"/>
      <c r="K824" s="779"/>
    </row>
    <row r="825" spans="3:11" x14ac:dyDescent="0.2">
      <c r="C825" s="569">
        <v>822</v>
      </c>
      <c r="D825" s="580"/>
      <c r="E825" s="581"/>
      <c r="F825" s="582"/>
      <c r="G825" s="583"/>
      <c r="H825" s="770"/>
      <c r="I825" s="773"/>
      <c r="J825" s="776"/>
      <c r="K825" s="779"/>
    </row>
    <row r="826" spans="3:11" x14ac:dyDescent="0.2">
      <c r="C826" s="569">
        <v>823</v>
      </c>
      <c r="D826" s="580"/>
      <c r="E826" s="581"/>
      <c r="F826" s="582"/>
      <c r="G826" s="583"/>
      <c r="H826" s="770"/>
      <c r="I826" s="773"/>
      <c r="J826" s="776"/>
      <c r="K826" s="779"/>
    </row>
    <row r="827" spans="3:11" x14ac:dyDescent="0.2">
      <c r="C827" s="569">
        <v>824</v>
      </c>
      <c r="D827" s="580"/>
      <c r="E827" s="581"/>
      <c r="F827" s="582"/>
      <c r="G827" s="583"/>
      <c r="H827" s="770"/>
      <c r="I827" s="773"/>
      <c r="J827" s="776"/>
      <c r="K827" s="779"/>
    </row>
    <row r="828" spans="3:11" x14ac:dyDescent="0.2">
      <c r="C828" s="569">
        <v>825</v>
      </c>
      <c r="D828" s="580"/>
      <c r="E828" s="581"/>
      <c r="F828" s="582"/>
      <c r="G828" s="583"/>
      <c r="H828" s="770"/>
      <c r="I828" s="773"/>
      <c r="J828" s="776"/>
      <c r="K828" s="779"/>
    </row>
    <row r="829" spans="3:11" x14ac:dyDescent="0.2">
      <c r="C829" s="569">
        <v>826</v>
      </c>
      <c r="D829" s="580"/>
      <c r="E829" s="581"/>
      <c r="F829" s="582"/>
      <c r="G829" s="583"/>
      <c r="H829" s="770"/>
      <c r="I829" s="773"/>
      <c r="J829" s="776"/>
      <c r="K829" s="779"/>
    </row>
    <row r="830" spans="3:11" x14ac:dyDescent="0.2">
      <c r="C830" s="569">
        <v>827</v>
      </c>
      <c r="D830" s="580"/>
      <c r="E830" s="581"/>
      <c r="F830" s="582"/>
      <c r="G830" s="583"/>
      <c r="H830" s="770"/>
      <c r="I830" s="773"/>
      <c r="J830" s="776"/>
      <c r="K830" s="779"/>
    </row>
    <row r="831" spans="3:11" x14ac:dyDescent="0.2">
      <c r="C831" s="569">
        <v>828</v>
      </c>
      <c r="D831" s="580"/>
      <c r="E831" s="581"/>
      <c r="F831" s="582"/>
      <c r="G831" s="583"/>
      <c r="H831" s="770"/>
      <c r="I831" s="773"/>
      <c r="J831" s="776"/>
      <c r="K831" s="779"/>
    </row>
    <row r="832" spans="3:11" x14ac:dyDescent="0.2">
      <c r="C832" s="569">
        <v>829</v>
      </c>
      <c r="D832" s="580"/>
      <c r="E832" s="581"/>
      <c r="F832" s="582"/>
      <c r="G832" s="583"/>
      <c r="H832" s="770"/>
      <c r="I832" s="773"/>
      <c r="J832" s="776"/>
      <c r="K832" s="779"/>
    </row>
    <row r="833" spans="3:11" x14ac:dyDescent="0.2">
      <c r="C833" s="569">
        <v>830</v>
      </c>
      <c r="D833" s="580"/>
      <c r="E833" s="581"/>
      <c r="F833" s="582"/>
      <c r="G833" s="583"/>
      <c r="H833" s="770"/>
      <c r="I833" s="773"/>
      <c r="J833" s="776"/>
      <c r="K833" s="779"/>
    </row>
    <row r="834" spans="3:11" x14ac:dyDescent="0.2">
      <c r="C834" s="569">
        <v>831</v>
      </c>
      <c r="D834" s="580"/>
      <c r="E834" s="581"/>
      <c r="F834" s="582"/>
      <c r="G834" s="583"/>
      <c r="H834" s="770"/>
      <c r="I834" s="773"/>
      <c r="J834" s="776"/>
      <c r="K834" s="779"/>
    </row>
    <row r="835" spans="3:11" x14ac:dyDescent="0.2">
      <c r="C835" s="569">
        <v>832</v>
      </c>
      <c r="D835" s="580"/>
      <c r="E835" s="581"/>
      <c r="F835" s="582"/>
      <c r="G835" s="583"/>
      <c r="H835" s="770"/>
      <c r="I835" s="773"/>
      <c r="J835" s="776"/>
      <c r="K835" s="779"/>
    </row>
    <row r="836" spans="3:11" x14ac:dyDescent="0.2">
      <c r="C836" s="569">
        <v>833</v>
      </c>
      <c r="D836" s="580"/>
      <c r="E836" s="581"/>
      <c r="F836" s="582"/>
      <c r="G836" s="583"/>
      <c r="H836" s="770"/>
      <c r="I836" s="773"/>
      <c r="J836" s="776"/>
      <c r="K836" s="779"/>
    </row>
    <row r="837" spans="3:11" x14ac:dyDescent="0.2">
      <c r="C837" s="569">
        <v>834</v>
      </c>
      <c r="D837" s="580"/>
      <c r="E837" s="581"/>
      <c r="F837" s="582"/>
      <c r="G837" s="583"/>
      <c r="H837" s="770"/>
      <c r="I837" s="773"/>
      <c r="J837" s="776"/>
      <c r="K837" s="779"/>
    </row>
    <row r="838" spans="3:11" x14ac:dyDescent="0.2">
      <c r="C838" s="569">
        <v>835</v>
      </c>
      <c r="D838" s="580"/>
      <c r="E838" s="581"/>
      <c r="F838" s="582"/>
      <c r="G838" s="583"/>
      <c r="H838" s="770"/>
      <c r="I838" s="773"/>
      <c r="J838" s="776"/>
      <c r="K838" s="779"/>
    </row>
    <row r="839" spans="3:11" x14ac:dyDescent="0.2">
      <c r="C839" s="569">
        <v>836</v>
      </c>
      <c r="D839" s="580"/>
      <c r="E839" s="581"/>
      <c r="F839" s="582"/>
      <c r="G839" s="583"/>
      <c r="H839" s="770"/>
      <c r="I839" s="773"/>
      <c r="J839" s="776"/>
      <c r="K839" s="779"/>
    </row>
    <row r="840" spans="3:11" x14ac:dyDescent="0.2">
      <c r="C840" s="569">
        <v>837</v>
      </c>
      <c r="D840" s="580"/>
      <c r="E840" s="581"/>
      <c r="F840" s="582"/>
      <c r="G840" s="583"/>
      <c r="H840" s="770"/>
      <c r="I840" s="773"/>
      <c r="J840" s="776"/>
      <c r="K840" s="779"/>
    </row>
    <row r="841" spans="3:11" x14ac:dyDescent="0.2">
      <c r="C841" s="569">
        <v>838</v>
      </c>
      <c r="D841" s="580"/>
      <c r="E841" s="581"/>
      <c r="F841" s="582"/>
      <c r="G841" s="583"/>
      <c r="H841" s="770"/>
      <c r="I841" s="773"/>
      <c r="J841" s="776"/>
      <c r="K841" s="779"/>
    </row>
    <row r="842" spans="3:11" x14ac:dyDescent="0.2">
      <c r="C842" s="569">
        <v>839</v>
      </c>
      <c r="D842" s="580"/>
      <c r="E842" s="581"/>
      <c r="F842" s="582"/>
      <c r="G842" s="583"/>
      <c r="H842" s="770"/>
      <c r="I842" s="773"/>
      <c r="J842" s="776"/>
      <c r="K842" s="779"/>
    </row>
    <row r="843" spans="3:11" x14ac:dyDescent="0.2">
      <c r="C843" s="569">
        <v>840</v>
      </c>
      <c r="D843" s="580"/>
      <c r="E843" s="581"/>
      <c r="F843" s="582"/>
      <c r="G843" s="583"/>
      <c r="H843" s="770"/>
      <c r="I843" s="773"/>
      <c r="J843" s="776"/>
      <c r="K843" s="779"/>
    </row>
    <row r="844" spans="3:11" x14ac:dyDescent="0.2">
      <c r="C844" s="569">
        <v>841</v>
      </c>
      <c r="D844" s="580"/>
      <c r="E844" s="581"/>
      <c r="F844" s="582"/>
      <c r="G844" s="583"/>
      <c r="H844" s="770"/>
      <c r="I844" s="773"/>
      <c r="J844" s="776"/>
      <c r="K844" s="779"/>
    </row>
    <row r="845" spans="3:11" x14ac:dyDescent="0.2">
      <c r="C845" s="569">
        <v>842</v>
      </c>
      <c r="D845" s="580"/>
      <c r="E845" s="581"/>
      <c r="F845" s="582"/>
      <c r="G845" s="583"/>
      <c r="H845" s="770"/>
      <c r="I845" s="773"/>
      <c r="J845" s="776"/>
      <c r="K845" s="779"/>
    </row>
    <row r="846" spans="3:11" x14ac:dyDescent="0.2">
      <c r="C846" s="569">
        <v>843</v>
      </c>
      <c r="D846" s="580"/>
      <c r="E846" s="581"/>
      <c r="F846" s="582"/>
      <c r="G846" s="583"/>
      <c r="H846" s="770"/>
      <c r="I846" s="773"/>
      <c r="J846" s="776"/>
      <c r="K846" s="779"/>
    </row>
    <row r="847" spans="3:11" x14ac:dyDescent="0.2">
      <c r="C847" s="569">
        <v>844</v>
      </c>
      <c r="D847" s="580"/>
      <c r="E847" s="581"/>
      <c r="F847" s="582"/>
      <c r="G847" s="583"/>
      <c r="H847" s="770"/>
      <c r="I847" s="773"/>
      <c r="J847" s="776"/>
      <c r="K847" s="779"/>
    </row>
    <row r="848" spans="3:11" x14ac:dyDescent="0.2">
      <c r="C848" s="569">
        <v>845</v>
      </c>
      <c r="D848" s="580"/>
      <c r="E848" s="581"/>
      <c r="F848" s="582"/>
      <c r="G848" s="583"/>
      <c r="H848" s="770"/>
      <c r="I848" s="773"/>
      <c r="J848" s="776"/>
      <c r="K848" s="779"/>
    </row>
    <row r="849" spans="3:11" x14ac:dyDescent="0.2">
      <c r="C849" s="569">
        <v>846</v>
      </c>
      <c r="D849" s="580"/>
      <c r="E849" s="581"/>
      <c r="F849" s="582"/>
      <c r="G849" s="583"/>
      <c r="H849" s="770"/>
      <c r="I849" s="773"/>
      <c r="J849" s="776"/>
      <c r="K849" s="779"/>
    </row>
    <row r="850" spans="3:11" x14ac:dyDescent="0.2">
      <c r="C850" s="569">
        <v>847</v>
      </c>
      <c r="D850" s="580"/>
      <c r="E850" s="581"/>
      <c r="F850" s="582"/>
      <c r="G850" s="583"/>
      <c r="H850" s="770"/>
      <c r="I850" s="773"/>
      <c r="J850" s="776"/>
      <c r="K850" s="779"/>
    </row>
    <row r="851" spans="3:11" x14ac:dyDescent="0.2">
      <c r="C851" s="569">
        <v>848</v>
      </c>
      <c r="D851" s="580"/>
      <c r="E851" s="581"/>
      <c r="F851" s="582"/>
      <c r="G851" s="583"/>
      <c r="H851" s="770"/>
      <c r="I851" s="773"/>
      <c r="J851" s="776"/>
      <c r="K851" s="779"/>
    </row>
    <row r="852" spans="3:11" x14ac:dyDescent="0.2">
      <c r="C852" s="569">
        <v>849</v>
      </c>
      <c r="D852" s="580"/>
      <c r="E852" s="581"/>
      <c r="F852" s="582"/>
      <c r="G852" s="583"/>
      <c r="H852" s="770"/>
      <c r="I852" s="773"/>
      <c r="J852" s="776"/>
      <c r="K852" s="779"/>
    </row>
    <row r="853" spans="3:11" x14ac:dyDescent="0.2">
      <c r="C853" s="569">
        <v>850</v>
      </c>
      <c r="D853" s="580"/>
      <c r="E853" s="581"/>
      <c r="F853" s="582"/>
      <c r="G853" s="583"/>
      <c r="H853" s="770"/>
      <c r="I853" s="773"/>
      <c r="J853" s="776"/>
      <c r="K853" s="779"/>
    </row>
    <row r="854" spans="3:11" x14ac:dyDescent="0.2">
      <c r="C854" s="569">
        <v>851</v>
      </c>
      <c r="D854" s="580"/>
      <c r="E854" s="581"/>
      <c r="F854" s="582"/>
      <c r="G854" s="583"/>
      <c r="H854" s="770"/>
      <c r="I854" s="773"/>
      <c r="J854" s="776"/>
      <c r="K854" s="779"/>
    </row>
    <row r="855" spans="3:11" x14ac:dyDescent="0.2">
      <c r="C855" s="569">
        <v>852</v>
      </c>
      <c r="D855" s="580"/>
      <c r="E855" s="581"/>
      <c r="F855" s="582"/>
      <c r="G855" s="583"/>
      <c r="H855" s="770"/>
      <c r="I855" s="773"/>
      <c r="J855" s="776"/>
      <c r="K855" s="779"/>
    </row>
    <row r="856" spans="3:11" x14ac:dyDescent="0.2">
      <c r="C856" s="569">
        <v>853</v>
      </c>
      <c r="D856" s="580"/>
      <c r="E856" s="581"/>
      <c r="F856" s="582"/>
      <c r="G856" s="583"/>
      <c r="H856" s="770"/>
      <c r="I856" s="773"/>
      <c r="J856" s="776"/>
      <c r="K856" s="779"/>
    </row>
    <row r="857" spans="3:11" x14ac:dyDescent="0.2">
      <c r="C857" s="569">
        <v>854</v>
      </c>
      <c r="D857" s="580"/>
      <c r="E857" s="581"/>
      <c r="F857" s="582"/>
      <c r="G857" s="583"/>
      <c r="H857" s="770"/>
      <c r="I857" s="773"/>
      <c r="J857" s="776"/>
      <c r="K857" s="779"/>
    </row>
    <row r="858" spans="3:11" x14ac:dyDescent="0.2">
      <c r="C858" s="569">
        <v>855</v>
      </c>
      <c r="D858" s="580"/>
      <c r="E858" s="581"/>
      <c r="F858" s="582"/>
      <c r="G858" s="583"/>
      <c r="H858" s="770"/>
      <c r="I858" s="773"/>
      <c r="J858" s="776"/>
      <c r="K858" s="779"/>
    </row>
    <row r="859" spans="3:11" ht="16" x14ac:dyDescent="0.2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0" t="s">
        <v>1026</v>
      </c>
      <c r="I859" s="773" t="s">
        <v>1026</v>
      </c>
      <c r="J859" s="776" t="s">
        <v>1026</v>
      </c>
      <c r="K859" s="779" t="s">
        <v>1026</v>
      </c>
    </row>
    <row r="860" spans="3:11" ht="16" x14ac:dyDescent="0.2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ht="16" x14ac:dyDescent="0.2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372C-FB3B-41D4-A797-A57B656887EB}">
  <dimension ref="A2:DN64"/>
  <sheetViews>
    <sheetView zoomScale="85" zoomScaleNormal="85" workbookViewId="0">
      <selection activeCell="AC16" sqref="AC16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4.5" customWidth="1"/>
    <col min="25" max="25" width="8" customWidth="1"/>
    <col min="26" max="28" width="7" customWidth="1"/>
    <col min="29" max="29" width="8.5" customWidth="1"/>
    <col min="30" max="55" width="7" customWidth="1"/>
    <col min="70" max="70" width="10.6640625" bestFit="1" customWidth="1"/>
    <col min="90" max="90" width="23.1640625" customWidth="1"/>
    <col min="91" max="91" width="13.33203125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" thickBot="1" x14ac:dyDescent="0.2">
      <c r="W5" s="486">
        <v>1</v>
      </c>
      <c r="AC5" s="486">
        <f>KirjastoC!B4</f>
        <v>1</v>
      </c>
      <c r="AD5" t="s">
        <v>1159</v>
      </c>
      <c r="AI5" t="s">
        <v>1168</v>
      </c>
      <c r="AK5" t="str">
        <f>IF($AC$7,KirjastoC!M7,KirjastoC!M6)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IF(AC7,KirjastoC!M6,KirjastoC!M7)</f>
        <v>Ilman tilavuusvirta [dm³/s]</v>
      </c>
      <c r="BD6" t="s">
        <v>183</v>
      </c>
      <c r="DG6" s="12"/>
      <c r="DK6" s="24"/>
    </row>
    <row r="7" spans="2:115" x14ac:dyDescent="0.15">
      <c r="W7" s="486" cm="1">
        <f t="array" ref="W7">INDEX(Y12:Y17,W5)</f>
        <v>1</v>
      </c>
      <c r="AC7" s="486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6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C5'!AA4,'Laskenta tulopuoli C5'!AA4)</f>
        <v>10 V</v>
      </c>
      <c r="D10" s="24"/>
      <c r="E10" s="305" t="str">
        <f>IF($C$6=1,'Laskenta tulopuoli C5'!AC4,'Laskenta tulopuoli C5'!AC4)</f>
        <v>8 V</v>
      </c>
      <c r="F10" s="24"/>
      <c r="G10" s="305" t="str">
        <f>IF($C$6=1,'Laskenta tulopuoli C5'!AE4,'Laskenta tulopuoli C5'!AE4)</f>
        <v>6 V</v>
      </c>
      <c r="H10" s="24"/>
      <c r="I10" s="305" t="str">
        <f>IF($C$6=1,'Laskenta tulopuoli C5'!AG4,'Laskenta tulopuoli C5'!AG4)</f>
        <v>4 V</v>
      </c>
      <c r="J10" s="364"/>
      <c r="N10" s="304" t="str">
        <f>IF($C$6=1,'Laskenta poistopuoli C5'!AA4,'Laskenta poistopuoli 60'!AA4)</f>
        <v>10 V</v>
      </c>
      <c r="O10" s="24"/>
      <c r="P10" s="305" t="str">
        <f>IF($C$6=1,'Laskenta poistopuoli C5'!AC4,'Laskenta poistopuoli 60'!AC4)</f>
        <v>8 V</v>
      </c>
      <c r="Q10" s="24"/>
      <c r="R10" s="305" t="str">
        <f>IF($C$6=1,'Laskenta poistopuoli C5'!AE4,'Laskenta poistopuoli 60'!AE4)</f>
        <v>6 V</v>
      </c>
      <c r="S10" s="24"/>
      <c r="T10" s="305" t="str">
        <f>IF($C$6=1,'Laskenta poistopuoli C5'!AG4,'Laskenta poistopuoli 60'!AG4)</f>
        <v>4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8 V</v>
      </c>
      <c r="AL10" s="24"/>
      <c r="AM10" s="305" t="str">
        <f>G10</f>
        <v>6 V</v>
      </c>
      <c r="AN10" s="24"/>
      <c r="AO10" s="305" t="str">
        <f>I10</f>
        <v>4 V</v>
      </c>
      <c r="AP10" s="364"/>
      <c r="AR10" s="304" t="str">
        <f>N10</f>
        <v>10 V</v>
      </c>
      <c r="AS10" s="24"/>
      <c r="AT10" s="305" t="str">
        <f>P10</f>
        <v>8 V</v>
      </c>
      <c r="AU10" s="24"/>
      <c r="AV10" s="305" t="str">
        <f>R10</f>
        <v>6 V</v>
      </c>
      <c r="AW10" s="24"/>
      <c r="AX10" s="305" t="str">
        <f>T10</f>
        <v>4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5.9599999999999996E-4</v>
      </c>
      <c r="DA10" s="95" t="s">
        <v>1152</v>
      </c>
      <c r="DB10" s="279">
        <f>IF($AC$7,CX10,CX10*3.6)</f>
        <v>1</v>
      </c>
      <c r="DC10" s="279">
        <f>CY10</f>
        <v>5.9599999999999996E-4</v>
      </c>
      <c r="DG10" s="458">
        <v>17</v>
      </c>
      <c r="DH10" s="4">
        <v>21</v>
      </c>
      <c r="DJ10" s="742">
        <f>IF($DG$4,DG10,DH10)</f>
        <v>17</v>
      </c>
      <c r="DK10" s="153">
        <f>DJ10</f>
        <v>17</v>
      </c>
    </row>
    <row r="11" spans="2:115" ht="14" thickBot="1" x14ac:dyDescent="0.2">
      <c r="B11" s="596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m³/h</v>
      </c>
      <c r="N11" s="306" t="str">
        <f>IF($C$6=1,'Laskenta poistopuoli C5'!AA5,'Laskenta poistopuoli 60'!AA5)</f>
        <v>Pa</v>
      </c>
      <c r="O11" s="464" t="str">
        <f>IF($C$6=1,'Laskenta poistopuoli C5'!AB5,'Laskenta poistopuoli 60'!AB5)</f>
        <v>l/s</v>
      </c>
      <c r="P11" s="307" t="str">
        <f>IF($C$6=1,'Laskenta poistopuoli C5'!AC5,'Laskenta poistopuoli 60'!AC5)</f>
        <v>Pa</v>
      </c>
      <c r="Q11" s="464" t="str">
        <f>IF($C$6=1,'Laskenta poistopuoli C5'!AD5,'Laskenta poistopuoli 60'!AD5)</f>
        <v>l/s</v>
      </c>
      <c r="R11" s="307" t="str">
        <f>IF($C$6=1,'Laskenta poistopuoli C5'!AE5,'Laskenta poistopuoli 60'!AE5)</f>
        <v>Pa</v>
      </c>
      <c r="S11" s="464" t="str">
        <f>IF($C$6=1,'Laskenta poistopuoli C5'!AF5,'Laskenta poistopuoli 60'!AF5)</f>
        <v>l/s</v>
      </c>
      <c r="T11" s="307" t="str">
        <f>IF($C$6=1,'Laskenta poistopuoli C5'!AG5,'Laskenta poistopuoli 60'!AG5)</f>
        <v>Pa</v>
      </c>
      <c r="U11" s="239" t="str">
        <f>IF($C$6=1,'Laskenta poistopuoli C5'!AH5,'Laskenta poistopuoli 60'!AH5)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4" t="str">
        <f>AC10</f>
        <v>dm³/s</v>
      </c>
      <c r="AK11" s="307" t="str">
        <f t="shared" ref="AK11:AO18" si="0">E11</f>
        <v>Pa</v>
      </c>
      <c r="AL11" s="464" t="str">
        <f>AC10</f>
        <v>dm³/s</v>
      </c>
      <c r="AM11" s="307" t="str">
        <f t="shared" si="0"/>
        <v>Pa</v>
      </c>
      <c r="AN11" s="464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4" t="str">
        <f>$AC$10</f>
        <v>dm³/s</v>
      </c>
      <c r="AT11" s="307" t="str">
        <f t="shared" ref="AT11:AX18" si="1">P11</f>
        <v>Pa</v>
      </c>
      <c r="AU11" s="464" t="str">
        <f>$AC$10</f>
        <v>dm³/s</v>
      </c>
      <c r="AV11" s="307" t="str">
        <f t="shared" si="1"/>
        <v>Pa</v>
      </c>
      <c r="AW11" s="464" t="str">
        <f>$AC$10</f>
        <v>dm³/s</v>
      </c>
      <c r="AX11" s="307" t="str">
        <f t="shared" si="1"/>
        <v>Pa</v>
      </c>
      <c r="AY11" s="239" t="str">
        <f>$AC$10</f>
        <v>dm³/s</v>
      </c>
      <c r="CR11" s="620">
        <f>'C-series'!M45</f>
        <v>0.05</v>
      </c>
      <c r="CW11" s="95" t="s">
        <v>1150</v>
      </c>
      <c r="CX11" s="279">
        <f>'C-series'!E33</f>
        <v>500</v>
      </c>
      <c r="CY11" s="344">
        <f>'C-series'!E44</f>
        <v>149</v>
      </c>
      <c r="DA11" s="95" t="s">
        <v>1150</v>
      </c>
      <c r="DB11" s="279">
        <f t="shared" ref="DB11:DB12" si="2">IF($AC$7,CX11,CX11*3.6)</f>
        <v>500</v>
      </c>
      <c r="DC11" s="279">
        <f t="shared" ref="DC11:DC12" si="3">CY11</f>
        <v>149</v>
      </c>
      <c r="DG11" s="458">
        <v>18</v>
      </c>
      <c r="DH11" s="4">
        <v>22</v>
      </c>
      <c r="DJ11" s="742">
        <f t="shared" ref="DJ11:DJ14" si="4">IF($DG$4,DG11,DH11)</f>
        <v>18</v>
      </c>
      <c r="DK11" s="153">
        <f t="shared" ref="DK11:DK14" si="5">DJ11</f>
        <v>18</v>
      </c>
    </row>
    <row r="12" spans="2:115" x14ac:dyDescent="0.15">
      <c r="B12" s="597">
        <f>IF($AC$7,D12*3.6,D12)</f>
        <v>2355.3013438496564</v>
      </c>
      <c r="C12" s="304">
        <f>IF($C$6=1,'Laskenta tulopuoli C5'!AA6,'Laskenta tulopuoli C5'!AA6)</f>
        <v>25</v>
      </c>
      <c r="D12" s="465">
        <f>IF($C$6=1,'Laskenta tulopuoli C5'!AB6,'Laskenta tulopuoli C5'!AB6)</f>
        <v>654.25037329157124</v>
      </c>
      <c r="E12" s="305">
        <f>IF($C$6=1,'Laskenta tulopuoli C5'!AC6,'Laskenta tulopuoli C5'!AC6)</f>
        <v>20</v>
      </c>
      <c r="F12" s="465">
        <f>IF($C$6=1,'Laskenta tulopuoli C5'!AD6,'Laskenta tulopuoli C5'!AD6)</f>
        <v>582.83308011693862</v>
      </c>
      <c r="G12" s="305">
        <f>IF($C$6=1,'Laskenta tulopuoli C5'!AE6,'Laskenta tulopuoli C5'!AE6)</f>
        <v>10</v>
      </c>
      <c r="H12" s="465">
        <f>IF($C$6=1,'Laskenta tulopuoli C5'!AF6,'Laskenta tulopuoli C5'!AF6)</f>
        <v>418.68869265387121</v>
      </c>
      <c r="I12" s="305">
        <f>IF($C$6=1,'Laskenta tulopuoli C5'!AG6,'Laskenta tulopuoli C5'!AG6)</f>
        <v>10</v>
      </c>
      <c r="J12" s="462">
        <f>IF($C$6=1,'Laskenta tulopuoli C5'!AH6,'Laskenta tulopuoli C5'!AH6)</f>
        <v>257.85106453446394</v>
      </c>
      <c r="M12" s="597">
        <f>IF($AC$7,O12*3.6,O12)</f>
        <v>2535.8945472845689</v>
      </c>
      <c r="N12" s="304">
        <f>IF($C$6=1,'Laskenta poistopuoli C5'!AA6,'Laskenta poistopuoli 60'!AA6)</f>
        <v>25</v>
      </c>
      <c r="O12" s="465">
        <f>IF($C$6=1,'Laskenta poistopuoli C5'!AB6,'Laskenta poistopuoli 60'!AB6)</f>
        <v>704.41515202349137</v>
      </c>
      <c r="P12" s="305">
        <f>IF($C$6=1,'Laskenta poistopuoli C5'!AC6,'Laskenta poistopuoli 60'!AC6)</f>
        <v>20</v>
      </c>
      <c r="Q12" s="465">
        <f>IF($C$6=1,'Laskenta poistopuoli C5'!AD6,'Laskenta poistopuoli 60'!AD6)</f>
        <v>635.13108472623696</v>
      </c>
      <c r="R12" s="305">
        <f>IF($C$6=1,'Laskenta poistopuoli C5'!AE6,'Laskenta poistopuoli 60'!AE6)</f>
        <v>10</v>
      </c>
      <c r="S12" s="465">
        <f>IF($C$6=1,'Laskenta poistopuoli C5'!AF6,'Laskenta poistopuoli 60'!AF6)</f>
        <v>461.46618744473108</v>
      </c>
      <c r="T12" s="305">
        <f>IF($C$6=1,'Laskenta poistopuoli C5'!AG6,'Laskenta poistopuoli 60'!AG6)</f>
        <v>10</v>
      </c>
      <c r="U12" s="462">
        <f>IF($C$6=1,'Laskenta poistopuoli C5'!AH6,'Laskenta poistopuoli 60'!AH6)</f>
        <v>281.0750747137705</v>
      </c>
      <c r="W12" s="485">
        <v>1</v>
      </c>
      <c r="X12" s="485" t="s">
        <v>2041</v>
      </c>
      <c r="Y12" s="485">
        <v>1</v>
      </c>
      <c r="AI12" s="304">
        <f>C12</f>
        <v>25</v>
      </c>
      <c r="AJ12" s="465">
        <f>IF($AC$7,D12,D12*3.6)</f>
        <v>654.25037329157124</v>
      </c>
      <c r="AK12" s="305">
        <f t="shared" si="0"/>
        <v>20</v>
      </c>
      <c r="AL12" s="465">
        <f>IF($AC$7,F12,F12*3.6)</f>
        <v>582.83308011693862</v>
      </c>
      <c r="AM12" s="305">
        <f t="shared" si="0"/>
        <v>10</v>
      </c>
      <c r="AN12" s="465">
        <f>IF($AC$7,H12,H12*3.6)</f>
        <v>418.68869265387121</v>
      </c>
      <c r="AO12" s="305">
        <f t="shared" si="0"/>
        <v>10</v>
      </c>
      <c r="AP12" s="462">
        <f>IF($AC$7,J12,J12*3.6)</f>
        <v>257.85106453446394</v>
      </c>
      <c r="AR12" s="304">
        <f>N12</f>
        <v>25</v>
      </c>
      <c r="AS12" s="465">
        <f>IF($AC$7,O12,O12*3.6)</f>
        <v>704.41515202349137</v>
      </c>
      <c r="AT12" s="305">
        <f t="shared" si="1"/>
        <v>20</v>
      </c>
      <c r="AU12" s="465">
        <f>IF($AC$7,Q12,Q12*3.6)</f>
        <v>635.13108472623696</v>
      </c>
      <c r="AV12" s="305">
        <f t="shared" si="1"/>
        <v>10</v>
      </c>
      <c r="AW12" s="465">
        <f>IF($AC$7,S12,S12*3.6)</f>
        <v>461.46618744473108</v>
      </c>
      <c r="AX12" s="305">
        <f t="shared" si="1"/>
        <v>10</v>
      </c>
      <c r="AY12" s="462">
        <f>IF($AC$7,U12,U12*3.6)</f>
        <v>281.0750747137705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525</v>
      </c>
      <c r="CY12" s="279">
        <f>CR17</f>
        <v>164.27249999999998</v>
      </c>
      <c r="DA12" s="95" t="s">
        <v>1151</v>
      </c>
      <c r="DB12" s="279">
        <f t="shared" si="2"/>
        <v>525</v>
      </c>
      <c r="DC12" s="279">
        <f t="shared" si="3"/>
        <v>164.27249999999998</v>
      </c>
      <c r="DG12" s="458">
        <v>19</v>
      </c>
      <c r="DH12" s="4">
        <v>23</v>
      </c>
      <c r="DJ12" s="742">
        <f t="shared" si="4"/>
        <v>19</v>
      </c>
      <c r="DK12" s="153">
        <f t="shared" si="5"/>
        <v>19</v>
      </c>
    </row>
    <row r="13" spans="2:115" x14ac:dyDescent="0.15">
      <c r="B13" s="597">
        <f t="shared" ref="B13:B18" si="6">IF($AC$7,D13*3.6,D13)</f>
        <v>2265.7096769341802</v>
      </c>
      <c r="C13" s="304">
        <f>IF($C$6=1,'Laskenta tulopuoli C5'!AA7,'Laskenta tulopuoli C5'!AA7)</f>
        <v>100</v>
      </c>
      <c r="D13" s="465">
        <f>IF($C$6=1,'Laskenta tulopuoli C5'!AB7,'Laskenta tulopuoli C5'!AB7)</f>
        <v>629.36379914838335</v>
      </c>
      <c r="E13" s="305">
        <f>IF($C$6=1,'Laskenta tulopuoli C5'!AC7,'Laskenta tulopuoli C5'!AC7)</f>
        <v>50</v>
      </c>
      <c r="F13" s="465">
        <f>IF($C$6=1,'Laskenta tulopuoli C5'!AD7,'Laskenta tulopuoli C5'!AD7)</f>
        <v>570.11547619002181</v>
      </c>
      <c r="G13" s="305">
        <f>IF($C$6=1,'Laskenta tulopuoli C5'!AE7,'Laskenta tulopuoli C5'!AE7)</f>
        <v>50</v>
      </c>
      <c r="H13" s="465">
        <f>IF($C$6=1,'Laskenta tulopuoli C5'!AF7,'Laskenta tulopuoli C5'!AF7)</f>
        <v>395.52550235940686</v>
      </c>
      <c r="I13" s="305">
        <f>IF($C$6=1,'Laskenta tulopuoli C5'!AG7,'Laskenta tulopuoli C5'!AG7)</f>
        <v>20</v>
      </c>
      <c r="J13" s="462">
        <f>IF($C$6=1,'Laskenta tulopuoli C5'!AH7,'Laskenta tulopuoli C5'!AH7)</f>
        <v>248.64190471104959</v>
      </c>
      <c r="M13" s="597">
        <f t="shared" ref="M13:M18" si="7">IF($AC$7,O13*3.6,O13)</f>
        <v>2421.5016976500697</v>
      </c>
      <c r="N13" s="304">
        <f>IF($C$6=1,'Laskenta poistopuoli C5'!AA7,'Laskenta poistopuoli 60'!AA7)</f>
        <v>100</v>
      </c>
      <c r="O13" s="465">
        <f>IF($C$6=1,'Laskenta poistopuoli C5'!AB7,'Laskenta poistopuoli 60'!AB7)</f>
        <v>672.63936045835271</v>
      </c>
      <c r="P13" s="305">
        <f>IF($C$6=1,'Laskenta poistopuoli C5'!AC7,'Laskenta poistopuoli 60'!AC7)</f>
        <v>50</v>
      </c>
      <c r="Q13" s="465">
        <f>IF($C$6=1,'Laskenta poistopuoli C5'!AD7,'Laskenta poistopuoli 60'!AD7)</f>
        <v>621.13721586741849</v>
      </c>
      <c r="R13" s="305">
        <f>IF($C$6=1,'Laskenta poistopuoli C5'!AE7,'Laskenta poistopuoli 60'!AE7)</f>
        <v>50</v>
      </c>
      <c r="S13" s="465">
        <f>IF($C$6=1,'Laskenta poistopuoli C5'!AF7,'Laskenta poistopuoli 60'!AF7)</f>
        <v>436.22652389115092</v>
      </c>
      <c r="T13" s="305">
        <f>IF($C$6=1,'Laskenta poistopuoli C5'!AG7,'Laskenta poistopuoli 60'!AG7)</f>
        <v>20</v>
      </c>
      <c r="U13" s="462">
        <f>IF($C$6=1,'Laskenta poistopuoli C5'!AH7,'Laskenta poistopuoli 60'!AH7)</f>
        <v>271.66904546375156</v>
      </c>
      <c r="W13" s="485">
        <v>2</v>
      </c>
      <c r="X13" s="485" t="s">
        <v>2079</v>
      </c>
      <c r="Y13" s="485">
        <v>1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100</v>
      </c>
      <c r="AJ13" s="465">
        <f t="shared" ref="AJ13:AP18" si="9">IF($AC$7,D13,D13*3.6)</f>
        <v>629.36379914838335</v>
      </c>
      <c r="AK13" s="305">
        <f t="shared" si="0"/>
        <v>50</v>
      </c>
      <c r="AL13" s="465">
        <f t="shared" si="9"/>
        <v>570.11547619002181</v>
      </c>
      <c r="AM13" s="305">
        <f t="shared" si="0"/>
        <v>50</v>
      </c>
      <c r="AN13" s="465">
        <f t="shared" si="9"/>
        <v>395.52550235940686</v>
      </c>
      <c r="AO13" s="305">
        <f t="shared" si="0"/>
        <v>20</v>
      </c>
      <c r="AP13" s="462">
        <f t="shared" si="9"/>
        <v>248.64190471104959</v>
      </c>
      <c r="AR13" s="304">
        <f t="shared" ref="AR13:AR18" si="10">N13</f>
        <v>100</v>
      </c>
      <c r="AS13" s="465">
        <f t="shared" ref="AS13:AY18" si="11">IF($AC$7,O13,O13*3.6)</f>
        <v>672.63936045835271</v>
      </c>
      <c r="AT13" s="305">
        <f t="shared" si="1"/>
        <v>50</v>
      </c>
      <c r="AU13" s="465">
        <f t="shared" si="11"/>
        <v>621.13721586741849</v>
      </c>
      <c r="AV13" s="305">
        <f t="shared" si="1"/>
        <v>50</v>
      </c>
      <c r="AW13" s="465">
        <f t="shared" si="11"/>
        <v>436.22652389115092</v>
      </c>
      <c r="AX13" s="305">
        <f t="shared" si="1"/>
        <v>20</v>
      </c>
      <c r="AY13" s="462">
        <f t="shared" si="11"/>
        <v>271.66904546375156</v>
      </c>
      <c r="BB13" s="129" t="str">
        <f>C23</f>
        <v>C5</v>
      </c>
      <c r="BC13" s="80">
        <f t="shared" ref="BC13:BJ14" si="12">BD23-BD$8</f>
        <v>49.754937004736405</v>
      </c>
      <c r="BD13" s="80">
        <f t="shared" si="12"/>
        <v>53.754937004736405</v>
      </c>
      <c r="BE13" s="80">
        <f t="shared" si="12"/>
        <v>46.754937004736405</v>
      </c>
      <c r="BF13" s="80">
        <f t="shared" si="12"/>
        <v>34.754937004736405</v>
      </c>
      <c r="BG13" s="80">
        <f t="shared" si="12"/>
        <v>32.754937004736405</v>
      </c>
      <c r="BH13" s="80">
        <f t="shared" si="12"/>
        <v>31.754937004736405</v>
      </c>
      <c r="BI13" s="80">
        <f t="shared" si="12"/>
        <v>20.754937004736405</v>
      </c>
      <c r="BJ13" s="80">
        <f t="shared" si="12"/>
        <v>21.754937004736405</v>
      </c>
      <c r="BK13" s="80">
        <f t="array" ref="BK13">10*LOG10(SUM(10^(BC13:BJ13/10)))</f>
        <v>55.865094365896354</v>
      </c>
      <c r="BL13" s="80">
        <f t="array" ref="BL13">10*LOG10(SUM(10^((BC13:BJ13+BC9:BJ9)/10)))</f>
        <v>42.588803978440531</v>
      </c>
      <c r="BM13" s="80">
        <f>BL13+10*LOG10(4/10)</f>
        <v>38.609403891720156</v>
      </c>
      <c r="BN13" s="80">
        <f>BL13+10*LOG10(4/2.5)</f>
        <v>44.630003804999781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20</v>
      </c>
      <c r="DK13" s="153">
        <f t="shared" si="5"/>
        <v>20</v>
      </c>
    </row>
    <row r="14" spans="2:115" x14ac:dyDescent="0.15">
      <c r="B14" s="597">
        <f t="shared" si="6"/>
        <v>2141.9134462695411</v>
      </c>
      <c r="C14" s="304">
        <f>IF($C$6=1,'Laskenta tulopuoli C5'!AA8,'Laskenta tulopuoli C5'!AA8)</f>
        <v>200</v>
      </c>
      <c r="D14" s="465">
        <f>IF($C$6=1,'Laskenta tulopuoli C5'!AB8,'Laskenta tulopuoli C5'!AB8)</f>
        <v>594.97595729709474</v>
      </c>
      <c r="E14" s="305">
        <f>IF($C$6=1,'Laskenta tulopuoli C5'!AC8,'Laskenta tulopuoli C5'!AC8)</f>
        <v>100</v>
      </c>
      <c r="F14" s="465">
        <f>IF($C$6=1,'Laskenta tulopuoli C5'!AD8,'Laskenta tulopuoli C5'!AD8)</f>
        <v>548.36777867485296</v>
      </c>
      <c r="G14" s="305">
        <f>IF($C$6=1,'Laskenta tulopuoli C5'!AE8,'Laskenta tulopuoli C5'!AE8)</f>
        <v>90</v>
      </c>
      <c r="H14" s="465">
        <f>IF($C$6=1,'Laskenta tulopuoli C5'!AF8,'Laskenta tulopuoli C5'!AF8)</f>
        <v>371.15944670020446</v>
      </c>
      <c r="I14" s="305">
        <f>IF($C$6=1,'Laskenta tulopuoli C5'!AG8,'Laskenta tulopuoli C5'!AG8)</f>
        <v>40</v>
      </c>
      <c r="J14" s="462">
        <f>IF($C$6=1,'Laskenta tulopuoli C5'!AH8,'Laskenta tulopuoli C5'!AH8)</f>
        <v>229.53785769609709</v>
      </c>
      <c r="M14" s="597">
        <f t="shared" si="7"/>
        <v>2265.5902901488184</v>
      </c>
      <c r="N14" s="304">
        <f>IF($C$6=1,'Laskenta poistopuoli C5'!AA8,'Laskenta poistopuoli 60'!AA8)</f>
        <v>200</v>
      </c>
      <c r="O14" s="465">
        <f>IF($C$6=1,'Laskenta poistopuoli C5'!AB8,'Laskenta poistopuoli 60'!AB8)</f>
        <v>629.33063615244953</v>
      </c>
      <c r="P14" s="305">
        <f>IF($C$6=1,'Laskenta poistopuoli C5'!AC8,'Laskenta poistopuoli 60'!AC8)</f>
        <v>100</v>
      </c>
      <c r="Q14" s="465">
        <f>IF($C$6=1,'Laskenta poistopuoli C5'!AD8,'Laskenta poistopuoli 60'!AD8)</f>
        <v>597.24546096540359</v>
      </c>
      <c r="R14" s="305">
        <f>IF($C$6=1,'Laskenta poistopuoli C5'!AE8,'Laskenta poistopuoli 60'!AE8)</f>
        <v>90</v>
      </c>
      <c r="S14" s="465">
        <f>IF($C$6=1,'Laskenta poistopuoli C5'!AF8,'Laskenta poistopuoli 60'!AF8)</f>
        <v>409.75018913868513</v>
      </c>
      <c r="T14" s="305">
        <f>IF($C$6=1,'Laskenta poistopuoli C5'!AG8,'Laskenta poistopuoli 60'!AG8)</f>
        <v>40</v>
      </c>
      <c r="U14" s="462">
        <f>IF($C$6=1,'Laskenta poistopuoli C5'!AH8,'Laskenta poistopuoli 60'!AH8)</f>
        <v>252.08070997899338</v>
      </c>
      <c r="W14" s="485">
        <v>3</v>
      </c>
      <c r="X14" s="485" t="s">
        <v>2079</v>
      </c>
      <c r="Y14" s="485">
        <v>1</v>
      </c>
      <c r="AC14" t="s">
        <v>7</v>
      </c>
      <c r="AD14" t="s">
        <v>8</v>
      </c>
      <c r="AI14" s="304">
        <f t="shared" si="8"/>
        <v>200</v>
      </c>
      <c r="AJ14" s="465">
        <f t="shared" si="9"/>
        <v>594.97595729709474</v>
      </c>
      <c r="AK14" s="305">
        <f t="shared" si="0"/>
        <v>100</v>
      </c>
      <c r="AL14" s="465">
        <f t="shared" si="9"/>
        <v>548.36777867485296</v>
      </c>
      <c r="AM14" s="305">
        <f t="shared" si="0"/>
        <v>90</v>
      </c>
      <c r="AN14" s="465">
        <f t="shared" si="9"/>
        <v>371.15944670020446</v>
      </c>
      <c r="AO14" s="305">
        <f t="shared" si="0"/>
        <v>40</v>
      </c>
      <c r="AP14" s="462">
        <f t="shared" si="9"/>
        <v>229.53785769609709</v>
      </c>
      <c r="AR14" s="304">
        <f t="shared" si="10"/>
        <v>200</v>
      </c>
      <c r="AS14" s="465">
        <f t="shared" si="11"/>
        <v>629.33063615244953</v>
      </c>
      <c r="AT14" s="305">
        <f t="shared" si="1"/>
        <v>100</v>
      </c>
      <c r="AU14" s="465">
        <f t="shared" si="11"/>
        <v>597.24546096540359</v>
      </c>
      <c r="AV14" s="305">
        <f t="shared" si="1"/>
        <v>90</v>
      </c>
      <c r="AW14" s="465">
        <f t="shared" si="11"/>
        <v>409.75018913868513</v>
      </c>
      <c r="AX14" s="305">
        <f t="shared" si="1"/>
        <v>40</v>
      </c>
      <c r="AY14" s="462">
        <f t="shared" si="11"/>
        <v>252.08070997899338</v>
      </c>
      <c r="BB14" s="129" t="str">
        <f t="shared" ref="BB14:BB15" si="13">C24</f>
        <v xml:space="preserve"> ** C series future version **</v>
      </c>
      <c r="BC14" s="80">
        <f t="shared" si="12"/>
        <v>-8</v>
      </c>
      <c r="BD14" s="80">
        <f t="shared" si="12"/>
        <v>-3</v>
      </c>
      <c r="BE14" s="80">
        <f t="shared" si="12"/>
        <v>-5</v>
      </c>
      <c r="BF14" s="80">
        <f t="shared" si="12"/>
        <v>-4</v>
      </c>
      <c r="BG14" s="80">
        <f t="shared" si="12"/>
        <v>-3</v>
      </c>
      <c r="BH14" s="80">
        <f t="shared" si="12"/>
        <v>-3</v>
      </c>
      <c r="BI14" s="80">
        <f t="shared" si="12"/>
        <v>-5</v>
      </c>
      <c r="BJ14" s="80">
        <f t="shared" si="12"/>
        <v>-3</v>
      </c>
      <c r="BK14" s="80">
        <f t="array" ref="BK14">10*LOG10(SUM(10^(BC14:BJ14/10)))</f>
        <v>5.0430784660028145</v>
      </c>
      <c r="BL14" s="80">
        <f t="array" ref="BL14">10*LOG10(SUM(10^((BC14:BJ14+BC9:BJ9)/10)))</f>
        <v>3.4161523446475064</v>
      </c>
      <c r="BM14" s="80">
        <f>BL14+10*LOG10(4/10)</f>
        <v>-0.56324774207286943</v>
      </c>
      <c r="BN14" s="80">
        <f>BL14+10*LOG10(4/2.5)</f>
        <v>5.4573521712067539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2.3839999999999998E-3</v>
      </c>
      <c r="DA14" s="95" t="s">
        <v>1152</v>
      </c>
      <c r="DB14" s="279">
        <f>IF($AC$7,CX14,CX14*3.6)</f>
        <v>2</v>
      </c>
      <c r="DC14" s="279">
        <f>CY14</f>
        <v>2.3839999999999998E-3</v>
      </c>
      <c r="DG14" s="47">
        <v>21</v>
      </c>
      <c r="DH14" s="50">
        <v>25</v>
      </c>
      <c r="DI14" s="25"/>
      <c r="DJ14" s="743">
        <f t="shared" si="4"/>
        <v>21</v>
      </c>
      <c r="DK14" s="48">
        <f t="shared" si="5"/>
        <v>21</v>
      </c>
    </row>
    <row r="15" spans="2:115" x14ac:dyDescent="0.15">
      <c r="B15" s="597">
        <f t="shared" si="6"/>
        <v>2012.5397182460767</v>
      </c>
      <c r="C15" s="304">
        <f>IF($C$6=1,'Laskenta tulopuoli C5'!AA9,'Laskenta tulopuoli C5'!AA9)</f>
        <v>300</v>
      </c>
      <c r="D15" s="465">
        <f>IF($C$6=1,'Laskenta tulopuoli C5'!AB9,'Laskenta tulopuoli C5'!AB9)</f>
        <v>559.03881062391019</v>
      </c>
      <c r="E15" s="305">
        <f>IF($C$6=1,'Laskenta tulopuoli C5'!AC9,'Laskenta tulopuoli C5'!AC9)</f>
        <v>150</v>
      </c>
      <c r="F15" s="465">
        <f>IF($C$6=1,'Laskenta tulopuoli C5'!AD9,'Laskenta tulopuoli C5'!AD9)</f>
        <v>525.8682520064591</v>
      </c>
      <c r="G15" s="305">
        <f>IF($C$6=1,'Laskenta tulopuoli C5'!AE9,'Laskenta tulopuoli C5'!AE9)</f>
        <v>130</v>
      </c>
      <c r="H15" s="465">
        <f>IF($C$6=1,'Laskenta tulopuoli C5'!AF9,'Laskenta tulopuoli C5'!AF9)</f>
        <v>345.38106086358533</v>
      </c>
      <c r="I15" s="305">
        <f>IF($C$6=1,'Laskenta tulopuoli C5'!AG9,'Laskenta tulopuoli C5'!AG9)</f>
        <v>60</v>
      </c>
      <c r="J15" s="462">
        <f>IF($C$6=1,'Laskenta tulopuoli C5'!AH9,'Laskenta tulopuoli C5'!AH9)</f>
        <v>209.39421485538645</v>
      </c>
      <c r="M15" s="597">
        <f t="shared" si="7"/>
        <v>2105.5230022997694</v>
      </c>
      <c r="N15" s="304">
        <f>IF($C$6=1,'Laskenta poistopuoli C5'!AA9,'Laskenta poistopuoli 60'!AA9)</f>
        <v>300</v>
      </c>
      <c r="O15" s="465">
        <f>IF($C$6=1,'Laskenta poistopuoli C5'!AB9,'Laskenta poistopuoli 60'!AB9)</f>
        <v>584.86750063882482</v>
      </c>
      <c r="P15" s="305">
        <f>IF($C$6=1,'Laskenta poistopuoli C5'!AC9,'Laskenta poistopuoli 60'!AC9)</f>
        <v>150</v>
      </c>
      <c r="Q15" s="465">
        <f>IF($C$6=1,'Laskenta poistopuoli C5'!AD9,'Laskenta poistopuoli 60'!AD9)</f>
        <v>572.58309106524268</v>
      </c>
      <c r="R15" s="305">
        <f>IF($C$6=1,'Laskenta poistopuoli C5'!AE9,'Laskenta poistopuoli 60'!AE9)</f>
        <v>130</v>
      </c>
      <c r="S15" s="465">
        <f>IF($C$6=1,'Laskenta poistopuoli C5'!AF9,'Laskenta poistopuoli 60'!AF9)</f>
        <v>381.83535666879976</v>
      </c>
      <c r="T15" s="305">
        <f>IF($C$6=1,'Laskenta poistopuoli C5'!AG9,'Laskenta poistopuoli 60'!AG9)</f>
        <v>60</v>
      </c>
      <c r="U15" s="462">
        <f>IF($C$6=1,'Laskenta poistopuoli C5'!AH9,'Laskenta poistopuoli 60'!AH9)</f>
        <v>231.29830588165899</v>
      </c>
      <c r="W15" s="485">
        <v>4</v>
      </c>
      <c r="X15" s="485" t="s">
        <v>2079</v>
      </c>
      <c r="Y15" s="485">
        <v>1</v>
      </c>
      <c r="AC15" s="4">
        <f>IF($AC$7,'C-series'!E42*3.6,'C-series'!E42/3.6)</f>
        <v>1800</v>
      </c>
      <c r="AD15" s="4">
        <f>IF($AC$7,'C-series'!G42*3.6,'C-series'!G42/3.6)</f>
        <v>1800</v>
      </c>
      <c r="AI15" s="304">
        <f t="shared" si="8"/>
        <v>300</v>
      </c>
      <c r="AJ15" s="465">
        <f t="shared" si="9"/>
        <v>559.03881062391019</v>
      </c>
      <c r="AK15" s="305">
        <f t="shared" si="0"/>
        <v>150</v>
      </c>
      <c r="AL15" s="465">
        <f t="shared" si="9"/>
        <v>525.8682520064591</v>
      </c>
      <c r="AM15" s="305">
        <f t="shared" si="0"/>
        <v>130</v>
      </c>
      <c r="AN15" s="465">
        <f t="shared" si="9"/>
        <v>345.38106086358533</v>
      </c>
      <c r="AO15" s="305">
        <f t="shared" si="0"/>
        <v>60</v>
      </c>
      <c r="AP15" s="462">
        <f t="shared" si="9"/>
        <v>209.39421485538645</v>
      </c>
      <c r="AR15" s="304">
        <f t="shared" si="10"/>
        <v>300</v>
      </c>
      <c r="AS15" s="465">
        <f t="shared" si="11"/>
        <v>584.86750063882482</v>
      </c>
      <c r="AT15" s="305">
        <f t="shared" si="1"/>
        <v>150</v>
      </c>
      <c r="AU15" s="465">
        <f t="shared" si="11"/>
        <v>572.58309106524268</v>
      </c>
      <c r="AV15" s="305">
        <f t="shared" si="1"/>
        <v>130</v>
      </c>
      <c r="AW15" s="465">
        <f t="shared" si="11"/>
        <v>381.83535666879976</v>
      </c>
      <c r="AX15" s="305">
        <f t="shared" si="1"/>
        <v>60</v>
      </c>
      <c r="AY15" s="462">
        <f t="shared" si="11"/>
        <v>231.29830588165899</v>
      </c>
      <c r="BB15" s="91" t="str">
        <f t="shared" si="13"/>
        <v xml:space="preserve"> ** C series future version **</v>
      </c>
      <c r="BC15" s="271">
        <f>BD25</f>
        <v>0</v>
      </c>
      <c r="BD15" s="271">
        <f t="shared" ref="BD15:BN17" si="14">BE25</f>
        <v>0</v>
      </c>
      <c r="BE15" s="271">
        <f t="shared" si="14"/>
        <v>0</v>
      </c>
      <c r="BF15" s="271">
        <f t="shared" si="14"/>
        <v>0</v>
      </c>
      <c r="BG15" s="271">
        <f t="shared" si="14"/>
        <v>0</v>
      </c>
      <c r="BH15" s="271">
        <f t="shared" si="14"/>
        <v>0</v>
      </c>
      <c r="BI15" s="271">
        <f t="shared" si="14"/>
        <v>0</v>
      </c>
      <c r="BJ15" s="271">
        <f t="shared" si="14"/>
        <v>0</v>
      </c>
      <c r="BK15" s="271">
        <f t="array" ref="BK15">10*LOG10(SUM(10^(BC15:BJ15/10)))</f>
        <v>9.0308998699194358</v>
      </c>
      <c r="BL15" s="271">
        <f t="array" ref="BL15">10*LOG10(SUM(10^((BC15:BJ15+BC9:BJ9)/10)))</f>
        <v>6.9871314811976735</v>
      </c>
      <c r="BM15" s="271">
        <f>BL15+10*LOG10(4/10)</f>
        <v>3.0077313944772976</v>
      </c>
      <c r="BN15" s="271">
        <f>BL15+10*LOG10(4/2.5)</f>
        <v>9.0283313077569218</v>
      </c>
      <c r="BO15" s="272" t="s">
        <v>358</v>
      </c>
      <c r="BT15" t="b">
        <v>0</v>
      </c>
      <c r="BW15" t="str" cm="1">
        <f t="array" ref="BW15">CONCATENATE(INDEX(KirjastoC!D4:K125,37,KirjastoC!B4),"*")</f>
        <v>Keittiöohitus*</v>
      </c>
      <c r="BY15" t="str" cm="1">
        <f t="array" ref="BY15">INDEX(KirjastoC!D4:K135,129,KirjastoC!B4)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'C-series'!G33</f>
        <v>500</v>
      </c>
      <c r="CY15" s="344">
        <f>'C-series'!G44</f>
        <v>149</v>
      </c>
      <c r="DA15" s="96" t="s">
        <v>1150</v>
      </c>
      <c r="DB15" s="279">
        <f t="shared" ref="DB15:DB16" si="15">IF($AC$7,CX15,CX15*3.6)</f>
        <v>500</v>
      </c>
      <c r="DC15" s="279">
        <f t="shared" ref="DC15:DC16" si="16">CY15</f>
        <v>149</v>
      </c>
    </row>
    <row r="16" spans="2:115" x14ac:dyDescent="0.15">
      <c r="B16" s="597">
        <f t="shared" si="6"/>
        <v>1876.7589565437756</v>
      </c>
      <c r="C16" s="304">
        <f>IF($C$6=1,'Laskenta tulopuoli C5'!AA10,'Laskenta tulopuoli C5'!AA10)</f>
        <v>400</v>
      </c>
      <c r="D16" s="465">
        <f>IF($C$6=1,'Laskenta tulopuoli C5'!AB10,'Laskenta tulopuoli C5'!AB10)</f>
        <v>521.32193237327101</v>
      </c>
      <c r="E16" s="305">
        <f>IF($C$6=1,'Laskenta tulopuoli C5'!AC10,'Laskenta tulopuoli C5'!AC10)</f>
        <v>230</v>
      </c>
      <c r="F16" s="465">
        <f>IF($C$6=1,'Laskenta tulopuoli C5'!AD10,'Laskenta tulopuoli C5'!AD10)</f>
        <v>488.08981935508075</v>
      </c>
      <c r="G16" s="305">
        <f>IF($C$6=1,'Laskenta tulopuoli C5'!AE10,'Laskenta tulopuoli C5'!AE10)</f>
        <v>170</v>
      </c>
      <c r="H16" s="465">
        <f>IF($C$6=1,'Laskenta tulopuoli C5'!AF10,'Laskenta tulopuoli C5'!AF10)</f>
        <v>317.91195418861821</v>
      </c>
      <c r="I16" s="305">
        <f>IF($C$6=1,'Laskenta tulopuoli C5'!AG10,'Laskenta tulopuoli C5'!AG10)</f>
        <v>160</v>
      </c>
      <c r="J16" s="462">
        <f>IF($C$6=1,'Laskenta tulopuoli C5'!AH10,'Laskenta tulopuoli C5'!AH10)</f>
        <v>82.992893577309133</v>
      </c>
      <c r="M16" s="597">
        <f t="shared" si="7"/>
        <v>1940.9486505263508</v>
      </c>
      <c r="N16" s="304">
        <f>IF($C$6=1,'Laskenta poistopuoli C5'!AA10,'Laskenta poistopuoli 60'!AA10)</f>
        <v>400</v>
      </c>
      <c r="O16" s="465">
        <f>IF($C$6=1,'Laskenta poistopuoli C5'!AB10,'Laskenta poistopuoli 60'!AB10)</f>
        <v>539.1524029239863</v>
      </c>
      <c r="P16" s="305">
        <f>IF($C$6=1,'Laskenta poistopuoli C5'!AC10,'Laskenta poistopuoli 60'!AC10)</f>
        <v>170</v>
      </c>
      <c r="Q16" s="465">
        <f>IF($C$6=1,'Laskenta poistopuoli C5'!AD10,'Laskenta poistopuoli 60'!AD10)</f>
        <v>562.48496374942363</v>
      </c>
      <c r="R16" s="305">
        <f>IF($C$6=1,'Laskenta poistopuoli C5'!AE10,'Laskenta poistopuoli 60'!AE10)</f>
        <v>170</v>
      </c>
      <c r="S16" s="465">
        <f>IF($C$6=1,'Laskenta poistopuoli C5'!AF10,'Laskenta poistopuoli 60'!AF10)</f>
        <v>352.21848586327883</v>
      </c>
      <c r="T16" s="305">
        <f>IF($C$6=1,'Laskenta poistopuoli C5'!AG10,'Laskenta poistopuoli 60'!AG10)</f>
        <v>160</v>
      </c>
      <c r="U16" s="462">
        <f>IF($C$6=1,'Laskenta poistopuoli C5'!AH10,'Laskenta poistopuoli 60'!AH10)</f>
        <v>95.104674324430036</v>
      </c>
      <c r="W16" s="485">
        <v>5</v>
      </c>
      <c r="X16" s="485" t="s">
        <v>2079</v>
      </c>
      <c r="Y16" s="485">
        <v>1</v>
      </c>
      <c r="AI16" s="304">
        <f t="shared" si="8"/>
        <v>400</v>
      </c>
      <c r="AJ16" s="465">
        <f t="shared" si="9"/>
        <v>521.32193237327101</v>
      </c>
      <c r="AK16" s="305">
        <f t="shared" si="0"/>
        <v>230</v>
      </c>
      <c r="AL16" s="465">
        <f t="shared" si="9"/>
        <v>488.08981935508075</v>
      </c>
      <c r="AM16" s="305">
        <f t="shared" si="0"/>
        <v>170</v>
      </c>
      <c r="AN16" s="465">
        <f t="shared" si="9"/>
        <v>317.91195418861821</v>
      </c>
      <c r="AO16" s="305">
        <f t="shared" si="0"/>
        <v>160</v>
      </c>
      <c r="AP16" s="462">
        <f t="shared" si="9"/>
        <v>82.992893577309133</v>
      </c>
      <c r="AR16" s="304">
        <f t="shared" si="10"/>
        <v>400</v>
      </c>
      <c r="AS16" s="465">
        <f t="shared" si="11"/>
        <v>539.1524029239863</v>
      </c>
      <c r="AT16" s="305">
        <f t="shared" si="1"/>
        <v>170</v>
      </c>
      <c r="AU16" s="465">
        <f t="shared" si="11"/>
        <v>562.48496374942363</v>
      </c>
      <c r="AV16" s="305">
        <f t="shared" si="1"/>
        <v>170</v>
      </c>
      <c r="AW16" s="465">
        <f t="shared" si="11"/>
        <v>352.21848586327883</v>
      </c>
      <c r="AX16" s="305">
        <f t="shared" si="1"/>
        <v>160</v>
      </c>
      <c r="AY16" s="462">
        <f t="shared" si="11"/>
        <v>95.104674324430036</v>
      </c>
      <c r="BB16" s="129" t="s">
        <v>561</v>
      </c>
      <c r="BC16" s="299">
        <f>BD26</f>
        <v>0</v>
      </c>
      <c r="BD16" s="299">
        <f t="shared" si="14"/>
        <v>0</v>
      </c>
      <c r="BE16" s="299">
        <f t="shared" si="14"/>
        <v>0</v>
      </c>
      <c r="BF16" s="299">
        <f t="shared" si="14"/>
        <v>0</v>
      </c>
      <c r="BG16" s="299">
        <f t="shared" si="14"/>
        <v>0</v>
      </c>
      <c r="BH16" s="299">
        <f t="shared" si="14"/>
        <v>0</v>
      </c>
      <c r="BI16" s="299">
        <f t="shared" si="14"/>
        <v>0</v>
      </c>
      <c r="BJ16" s="299">
        <f t="shared" si="14"/>
        <v>0</v>
      </c>
      <c r="BK16" s="299">
        <f t="shared" si="14"/>
        <v>0</v>
      </c>
      <c r="BL16" s="299">
        <f t="shared" si="14"/>
        <v>0</v>
      </c>
      <c r="BM16" s="299">
        <f t="shared" si="14"/>
        <v>0</v>
      </c>
      <c r="BN16" s="299">
        <f t="shared" si="14"/>
        <v>0</v>
      </c>
      <c r="BO16" s="286" t="s">
        <v>577</v>
      </c>
      <c r="BW16" t="str" cm="1">
        <f t="array" ref="BW16">INDEX(KirjastoC!D4:K125,37,KirjastoC!B4)</f>
        <v>Keittiöohitus</v>
      </c>
      <c r="BY16" t="str" cm="1">
        <f t="array" ref="BY16">CONCATENATE("* ",INDEX(KirjastoC!D4:K125,8,KirjastoC!B4))</f>
        <v>* Ei käytettävissä tässä mallissa</v>
      </c>
      <c r="CR16" s="611">
        <f>(1+CR11)*'C-series'!E33</f>
        <v>525</v>
      </c>
      <c r="CS16" s="611">
        <f>(1+CR11)*'C-series'!G33</f>
        <v>525</v>
      </c>
      <c r="CT16" t="s">
        <v>13</v>
      </c>
      <c r="CW16" s="95" t="s">
        <v>1151</v>
      </c>
      <c r="CX16" s="279">
        <f>CS16</f>
        <v>525</v>
      </c>
      <c r="CY16" s="279">
        <f>CS17</f>
        <v>164.27249999999998</v>
      </c>
      <c r="DA16" s="95" t="s">
        <v>1151</v>
      </c>
      <c r="DB16" s="279">
        <f t="shared" si="15"/>
        <v>525</v>
      </c>
      <c r="DC16" s="279">
        <f t="shared" si="16"/>
        <v>164.27249999999998</v>
      </c>
    </row>
    <row r="17" spans="1:118" x14ac:dyDescent="0.15">
      <c r="B17" s="597">
        <f t="shared" si="6"/>
        <v>1733.5130196968951</v>
      </c>
      <c r="C17" s="304">
        <f>IF($C$6=1,'Laskenta tulopuoli C5'!AA11,'Laskenta tulopuoli C5'!AA11)</f>
        <v>500</v>
      </c>
      <c r="D17" s="465">
        <f>IF($C$6=1,'Laskenta tulopuoli C5'!AB11,'Laskenta tulopuoli C5'!AB11)</f>
        <v>481.53139436024861</v>
      </c>
      <c r="E17" s="305">
        <f>IF($C$6=1,'Laskenta tulopuoli C5'!AC11,'Laskenta tulopuoli C5'!AC11)</f>
        <v>320</v>
      </c>
      <c r="F17" s="465">
        <f>IF($C$6=1,'Laskenta tulopuoli C5'!AD11,'Laskenta tulopuoli C5'!AD11)</f>
        <v>442.46956587231512</v>
      </c>
      <c r="G17" s="305">
        <f>IF($C$6=1,'Laskenta tulopuoli C5'!AE11,'Laskenta tulopuoli C5'!AE11)</f>
        <v>320</v>
      </c>
      <c r="H17" s="465">
        <f>IF($C$6=1,'Laskenta tulopuoli C5'!AF11,'Laskenta tulopuoli C5'!AF11)</f>
        <v>190.64733408241827</v>
      </c>
      <c r="I17" s="305"/>
      <c r="J17" s="462"/>
      <c r="M17" s="597">
        <f t="shared" si="7"/>
        <v>1771.4636152285163</v>
      </c>
      <c r="N17" s="304">
        <f>IF($C$6=1,'Laskenta poistopuoli C5'!AA11,'Laskenta poistopuoli 60'!AA11)</f>
        <v>500</v>
      </c>
      <c r="O17" s="465">
        <f>IF($C$6=1,'Laskenta poistopuoli C5'!AB11,'Laskenta poistopuoli 60'!AB11)</f>
        <v>492.07322645236565</v>
      </c>
      <c r="P17" s="305">
        <f>IF($C$6=1,'Laskenta poistopuoli C5'!AC11,'Laskenta poistopuoli 60'!AC11)</f>
        <v>190</v>
      </c>
      <c r="Q17" s="465">
        <f>IF($C$6=1,'Laskenta poistopuoli C5'!AD11,'Laskenta poistopuoli 60'!AD11)</f>
        <v>552.24522324859129</v>
      </c>
      <c r="R17" s="305">
        <f>IF($C$6=1,'Laskenta poistopuoli C5'!AE11,'Laskenta poistopuoli 60'!AE11)</f>
        <v>330</v>
      </c>
      <c r="S17" s="465">
        <f>IF($C$6=1,'Laskenta poistopuoli C5'!AF11,'Laskenta poistopuoli 60'!AF11)</f>
        <v>206.76262174494295</v>
      </c>
      <c r="T17" s="305"/>
      <c r="U17" s="462"/>
      <c r="W17" s="485">
        <v>6</v>
      </c>
      <c r="X17" s="485" t="s">
        <v>2079</v>
      </c>
      <c r="Y17" s="485">
        <v>1</v>
      </c>
      <c r="AI17" s="304">
        <f t="shared" si="8"/>
        <v>500</v>
      </c>
      <c r="AJ17" s="465">
        <f t="shared" si="9"/>
        <v>481.53139436024861</v>
      </c>
      <c r="AK17" s="305">
        <f t="shared" si="0"/>
        <v>320</v>
      </c>
      <c r="AL17" s="465">
        <f t="shared" si="9"/>
        <v>442.46956587231512</v>
      </c>
      <c r="AM17" s="305">
        <f t="shared" si="0"/>
        <v>320</v>
      </c>
      <c r="AN17" s="465">
        <f t="shared" si="9"/>
        <v>190.64733408241827</v>
      </c>
      <c r="AO17" s="305"/>
      <c r="AP17" s="462"/>
      <c r="AR17" s="304">
        <f t="shared" si="10"/>
        <v>500</v>
      </c>
      <c r="AS17" s="465">
        <f t="shared" si="11"/>
        <v>492.07322645236565</v>
      </c>
      <c r="AT17" s="305">
        <f t="shared" si="1"/>
        <v>190</v>
      </c>
      <c r="AU17" s="465">
        <f t="shared" si="11"/>
        <v>552.24522324859129</v>
      </c>
      <c r="AV17" s="305">
        <f t="shared" si="1"/>
        <v>330</v>
      </c>
      <c r="AW17" s="465">
        <f t="shared" si="11"/>
        <v>206.76262174494295</v>
      </c>
      <c r="AX17" s="305"/>
      <c r="AY17" s="462"/>
      <c r="BB17" s="129" t="s">
        <v>560</v>
      </c>
      <c r="BC17" s="299">
        <f>BD27</f>
        <v>0</v>
      </c>
      <c r="BD17" s="299">
        <f t="shared" si="14"/>
        <v>0</v>
      </c>
      <c r="BE17" s="299">
        <f t="shared" si="14"/>
        <v>0</v>
      </c>
      <c r="BF17" s="299">
        <f t="shared" si="14"/>
        <v>0</v>
      </c>
      <c r="BG17" s="299">
        <f t="shared" si="14"/>
        <v>0</v>
      </c>
      <c r="BH17" s="299">
        <f t="shared" si="14"/>
        <v>0</v>
      </c>
      <c r="BI17" s="299">
        <f t="shared" si="14"/>
        <v>0</v>
      </c>
      <c r="BJ17" s="299">
        <f t="shared" si="14"/>
        <v>0</v>
      </c>
      <c r="BK17" s="299">
        <f t="shared" si="14"/>
        <v>0</v>
      </c>
      <c r="BL17" s="299">
        <f t="shared" si="14"/>
        <v>0</v>
      </c>
      <c r="BM17" s="299">
        <f t="shared" si="14"/>
        <v>0</v>
      </c>
      <c r="BN17" s="299">
        <f t="shared" si="14"/>
        <v>0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11">
        <f>('C-series'!E44/'C-series'!E33^2)*TuloksetC!CR16^2</f>
        <v>164.27249999999998</v>
      </c>
      <c r="CS17" s="611">
        <f>('C-series'!G44/'C-series'!G33^2)*TuloksetC!CS16^2</f>
        <v>164.27249999999998</v>
      </c>
      <c r="CT17" t="s">
        <v>14</v>
      </c>
      <c r="DN17" t="s">
        <v>1333</v>
      </c>
    </row>
    <row r="18" spans="1:118" ht="14" thickBot="1" x14ac:dyDescent="0.2">
      <c r="B18" s="597">
        <f t="shared" si="6"/>
        <v>1703.8533435447255</v>
      </c>
      <c r="C18" s="306">
        <f>IF($C$6=1,'Laskenta tulopuoli C5'!AA12,'Laskenta tulopuoli C5'!AA12)</f>
        <v>520</v>
      </c>
      <c r="D18" s="466">
        <f>IF($C$6=1,'Laskenta tulopuoli C5'!AB12,'Laskenta tulopuoli C5'!AB12)</f>
        <v>473.2925954290904</v>
      </c>
      <c r="E18" s="307">
        <f>IF($C$6=1,'Laskenta tulopuoli C5'!AC12,'Laskenta tulopuoli C5'!AC12)</f>
        <v>510</v>
      </c>
      <c r="F18" s="466">
        <f>IF($C$6=1,'Laskenta tulopuoli C5'!AD12,'Laskenta tulopuoli C5'!AD12)</f>
        <v>330.67113176285858</v>
      </c>
      <c r="G18" s="307"/>
      <c r="H18" s="466"/>
      <c r="I18" s="307"/>
      <c r="J18" s="463"/>
      <c r="M18" s="597">
        <f t="shared" si="7"/>
        <v>1719.5925161801126</v>
      </c>
      <c r="N18" s="306">
        <f>IF($C$6=1,'Laskenta poistopuoli C5'!AA12,'Laskenta poistopuoli 60'!AA12)</f>
        <v>530</v>
      </c>
      <c r="O18" s="466">
        <f>IF($C$6=1,'Laskenta poistopuoli C5'!AB12,'Laskenta poistopuoli 60'!AB12)</f>
        <v>477.66458782780904</v>
      </c>
      <c r="P18" s="307">
        <f>IF($C$6=1,'Laskenta poistopuoli C5'!AC12,'Laskenta poistopuoli 60'!AC12)</f>
        <v>510</v>
      </c>
      <c r="Q18" s="466">
        <f>IF($C$6=1,'Laskenta poistopuoli C5'!AD12,'Laskenta poistopuoli 60'!AD12)</f>
        <v>362.1499176804237</v>
      </c>
      <c r="R18" s="307"/>
      <c r="S18" s="466"/>
      <c r="T18" s="307"/>
      <c r="U18" s="463"/>
      <c r="AI18" s="306">
        <f t="shared" si="8"/>
        <v>520</v>
      </c>
      <c r="AJ18" s="466">
        <f t="shared" si="9"/>
        <v>473.2925954290904</v>
      </c>
      <c r="AK18" s="307">
        <f t="shared" si="0"/>
        <v>510</v>
      </c>
      <c r="AL18" s="466">
        <f t="shared" si="9"/>
        <v>330.67113176285858</v>
      </c>
      <c r="AM18" s="307"/>
      <c r="AN18" s="466"/>
      <c r="AO18" s="307"/>
      <c r="AP18" s="463"/>
      <c r="AR18" s="306">
        <f t="shared" si="10"/>
        <v>530</v>
      </c>
      <c r="AS18" s="466">
        <f t="shared" si="11"/>
        <v>477.66458782780904</v>
      </c>
      <c r="AT18" s="307">
        <f t="shared" si="1"/>
        <v>510</v>
      </c>
      <c r="AU18" s="466">
        <f t="shared" si="11"/>
        <v>362.1499176804237</v>
      </c>
      <c r="AV18" s="307"/>
      <c r="AW18" s="466"/>
      <c r="AX18" s="307"/>
      <c r="AY18" s="463"/>
      <c r="BB18" s="129" t="s">
        <v>585</v>
      </c>
      <c r="BC18" s="80">
        <f>BD28-BD$8</f>
        <v>-8</v>
      </c>
      <c r="BD18" s="80">
        <f t="shared" ref="BD18:BJ18" si="17">BE28-BE$8</f>
        <v>-3</v>
      </c>
      <c r="BE18" s="80">
        <f t="shared" si="17"/>
        <v>-5</v>
      </c>
      <c r="BF18" s="80">
        <f t="shared" si="17"/>
        <v>-4</v>
      </c>
      <c r="BG18" s="80">
        <f t="shared" si="17"/>
        <v>-3</v>
      </c>
      <c r="BH18" s="80">
        <f t="shared" si="17"/>
        <v>-3</v>
      </c>
      <c r="BI18" s="80">
        <f t="shared" si="17"/>
        <v>-5</v>
      </c>
      <c r="BJ18" s="80">
        <f t="shared" si="17"/>
        <v>-3</v>
      </c>
      <c r="BK18" s="80">
        <f t="array" ref="BK18">10*LOG10(SUM(10^(BC18:BJ18/10)))</f>
        <v>5.0430784660028145</v>
      </c>
      <c r="BL18" s="80">
        <f t="array" ref="BL18">10*LOG10(SUM(10^((BC18:BJ18+BC9:BJ9)/10)))</f>
        <v>3.4161523446475064</v>
      </c>
      <c r="BM18" s="80">
        <f>BL18+10*LOG10(4/10)</f>
        <v>-0.56324774207286943</v>
      </c>
      <c r="BN18" s="80">
        <f>BL18+10*LOG10(4/2.5)</f>
        <v>5.4573521712067539</v>
      </c>
      <c r="CM18" t="s">
        <v>513</v>
      </c>
      <c r="DN18" t="b">
        <f>D40</f>
        <v>1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1</v>
      </c>
      <c r="CR19" s="4">
        <f>IF($AC$7,CR16,CR16*3.6)</f>
        <v>525</v>
      </c>
      <c r="CS19" s="4">
        <f>IF($AC$7,CS16,CS16*3.6)</f>
        <v>525</v>
      </c>
      <c r="CT19" s="4" t="str">
        <f>IF(AC7,"dm³/s","m³/h")</f>
        <v>dm³/s</v>
      </c>
    </row>
    <row r="20" spans="1:118" x14ac:dyDescent="0.15">
      <c r="O20" s="420"/>
      <c r="P20" t="s">
        <v>118</v>
      </c>
      <c r="BT20" s="2" t="s">
        <v>390</v>
      </c>
      <c r="CR20" s="5">
        <f>IF($AC$7,CR16*3.6,CR16)</f>
        <v>1890</v>
      </c>
      <c r="CS20" s="5">
        <f>IF($AC$7,CS16*3.6,CS16)</f>
        <v>1890</v>
      </c>
      <c r="CT20" s="4" t="str">
        <f t="shared" ref="CT20" si="18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2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2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71</v>
      </c>
      <c r="BU22" s="80">
        <f>'Laskenta keittiöohitus'!D32</f>
        <v>66</v>
      </c>
      <c r="BV22" s="80">
        <f>'Laskenta keittiöohitus'!E32</f>
        <v>62</v>
      </c>
      <c r="BW22" s="80">
        <f>'Laskenta keittiöohitus'!F32</f>
        <v>55</v>
      </c>
      <c r="BX22" s="80">
        <f>'Laskenta keittiöohitus'!G32</f>
        <v>52</v>
      </c>
      <c r="BY22" s="80">
        <f>'Laskenta keittiöohitus'!H32</f>
        <v>43</v>
      </c>
      <c r="BZ22" s="80">
        <f>'Laskenta keittiöohitus'!I32</f>
        <v>32</v>
      </c>
      <c r="CA22" s="80">
        <f>'Laskenta keittiöohitus'!J32</f>
        <v>24</v>
      </c>
      <c r="CB22" s="80">
        <f>'Laskenta keittiöohitus'!K32</f>
        <v>72.707189991030347</v>
      </c>
      <c r="CC22" s="80">
        <f>'Laskenta keittiöohitus'!D27</f>
        <v>57.509878740817705</v>
      </c>
      <c r="CI22" s="868">
        <f>'Laskenta tulopuoli C5'!AN18</f>
        <v>1220.4312536243633</v>
      </c>
      <c r="CJ22" s="868">
        <f>'Laskenta tulopuoli C5'!AN14</f>
        <v>1241</v>
      </c>
      <c r="CL22" s="95" t="e">
        <f>'C-selection'!#REF!</f>
        <v>#REF!</v>
      </c>
      <c r="CM22" s="95" t="s">
        <v>2080</v>
      </c>
      <c r="CR22" s="95" t="str">
        <f t="shared" ref="CR22:CR27" si="19">C23</f>
        <v>C5</v>
      </c>
      <c r="CV22" s="867">
        <f>'Laskenta tulopuoli C5'!AO34</f>
        <v>0.18376243169910023</v>
      </c>
      <c r="CW22" s="867">
        <f>'Laskenta poistopuoli C5'!AO34</f>
        <v>0.23474186290969934</v>
      </c>
      <c r="CX22" s="344" t="b">
        <f>'Laskenta tulopuoli C5'!AR34</f>
        <v>1</v>
      </c>
      <c r="CY22" s="344" t="b">
        <f>'Laskenta poistopuoli C5'!AR34</f>
        <v>1</v>
      </c>
      <c r="CZ22" s="611">
        <f>'Laskenta tulopuoli C5'!AR36</f>
        <v>8.0778802122700597</v>
      </c>
      <c r="DA22" s="611">
        <f>'Laskenta poistopuoli C5'!AR36</f>
        <v>7.5967132178967631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5">
        <v>1</v>
      </c>
      <c r="C23" s="95" t="str">
        <f>X12</f>
        <v>C5</v>
      </c>
      <c r="D23" s="95" t="b">
        <f>'Laskenta tulopuoli C5'!W10</f>
        <v>1</v>
      </c>
      <c r="E23" s="611">
        <f>'Laskenta tulopuoli C5'!W9</f>
        <v>7.7263330467075084</v>
      </c>
      <c r="F23" s="611">
        <f>'Laskenta tulopuoli C5'!W14</f>
        <v>450.53909890148327</v>
      </c>
      <c r="G23" s="95" t="b">
        <f>'Laskenta poistopuoli C5'!W10</f>
        <v>1</v>
      </c>
      <c r="H23" s="611">
        <f>'Laskenta poistopuoli C5'!W9</f>
        <v>7.2652429851960978</v>
      </c>
      <c r="I23" s="611">
        <f>'Laskenta poistopuoli C5'!W14</f>
        <v>401.74482016316426</v>
      </c>
      <c r="J23" s="677">
        <v>4.4000000000000004</v>
      </c>
      <c r="K23" s="611">
        <f>F23+I23+J23</f>
        <v>856.68391906464751</v>
      </c>
      <c r="L23" s="647">
        <f>K23/MAX('C-series'!$E$33,'C-series'!$G$33)</f>
        <v>1.7133678381292949</v>
      </c>
      <c r="M23" s="677">
        <f>550*0.7</f>
        <v>385</v>
      </c>
      <c r="N23" s="869">
        <v>0.99833518954912692</v>
      </c>
      <c r="O23" s="1073">
        <v>0.85</v>
      </c>
      <c r="P23" s="279">
        <f>'Laskenta tulopuoli C5'!AF$44</f>
        <v>71.998695825235586</v>
      </c>
      <c r="Q23" s="279">
        <f>'Laskenta tulopuoli C5'!AG$44</f>
        <v>67.998695825235586</v>
      </c>
      <c r="R23" s="279">
        <f>'Laskenta tulopuoli C5'!AH$44</f>
        <v>75.998695825235586</v>
      </c>
      <c r="S23" s="279">
        <f>'Laskenta tulopuoli C5'!AI$44</f>
        <v>67.998695825235586</v>
      </c>
      <c r="T23" s="279">
        <f>'Laskenta tulopuoli C5'!AJ$44</f>
        <v>64.998695825235586</v>
      </c>
      <c r="U23" s="279">
        <f>'Laskenta tulopuoli C5'!AK$44</f>
        <v>63.998695825235586</v>
      </c>
      <c r="V23" s="279">
        <f>'Laskenta tulopuoli C5'!AL$44</f>
        <v>57.998695825235586</v>
      </c>
      <c r="W23" s="279">
        <f>'Laskenta tulopuoli C5'!AM$44</f>
        <v>57.998695825235586</v>
      </c>
      <c r="X23" s="279">
        <f>'Laskenta tulopuoli C5'!AN$44</f>
        <v>78.761733185898294</v>
      </c>
      <c r="Y23" s="648">
        <f>'Laskenta tulopuoli C5'!$W$6</f>
        <v>71.998695825235586</v>
      </c>
      <c r="Z23" s="279">
        <f>'Laskenta tulopuoli C5'!$AF$43</f>
        <v>63.010413371069873</v>
      </c>
      <c r="AA23" s="279">
        <f>'Laskenta tulopuoli C5'!$AG$43</f>
        <v>58.010413371069873</v>
      </c>
      <c r="AB23" s="279">
        <f>'Laskenta tulopuoli C5'!$AH$43</f>
        <v>57.010413371069873</v>
      </c>
      <c r="AC23" s="279">
        <f>'Laskenta tulopuoli C5'!$AI$43</f>
        <v>52.010413371069873</v>
      </c>
      <c r="AD23" s="279">
        <f>'Laskenta tulopuoli C5'!$AJ$43</f>
        <v>43.010413371069873</v>
      </c>
      <c r="AE23" s="279">
        <f>'Laskenta tulopuoli C5'!$AK$43</f>
        <v>39.010413371069873</v>
      </c>
      <c r="AF23" s="279">
        <f>'Laskenta tulopuoli C5'!$AL$43</f>
        <v>34.010413371069873</v>
      </c>
      <c r="AG23" s="279">
        <f>'Laskenta tulopuoli C5'!$AM$43</f>
        <v>29.010413371069873</v>
      </c>
      <c r="AH23" s="279">
        <f>'Laskenta tulopuoli C5'!$AN$43</f>
        <v>65.217996830982557</v>
      </c>
      <c r="AI23" s="648">
        <f>'Laskenta tulopuoli C5'!$W$5</f>
        <v>53.010413371069873</v>
      </c>
      <c r="AJ23" s="279">
        <f>'Laskenta poistopuoli C5'!AF$43</f>
        <v>61.941720020505876</v>
      </c>
      <c r="AK23" s="279">
        <f>'Laskenta poistopuoli C5'!AG$43</f>
        <v>56.941720020505876</v>
      </c>
      <c r="AL23" s="279">
        <f>'Laskenta poistopuoli C5'!AH$43</f>
        <v>59.941720020505876</v>
      </c>
      <c r="AM23" s="279">
        <f>'Laskenta poistopuoli C5'!AI$43</f>
        <v>52.941720020505876</v>
      </c>
      <c r="AN23" s="279">
        <f>'Laskenta poistopuoli C5'!AJ$43</f>
        <v>46.941720020505876</v>
      </c>
      <c r="AO23" s="279">
        <f>'Laskenta poistopuoli C5'!AK$43</f>
        <v>42.941720020505876</v>
      </c>
      <c r="AP23" s="279">
        <f>'Laskenta poistopuoli C5'!AL$43</f>
        <v>38.941720020505876</v>
      </c>
      <c r="AQ23" s="279">
        <f>'Laskenta poistopuoli C5'!AM$43</f>
        <v>30.941720020505876</v>
      </c>
      <c r="AR23" s="279">
        <f>'Laskenta poistopuoli C5'!AN$43</f>
        <v>65.211416102077266</v>
      </c>
      <c r="AS23" s="648">
        <f>'Laskenta poistopuoli C5'!AO$43</f>
        <v>55.21854617191547</v>
      </c>
      <c r="AT23" s="279">
        <f>'Laskenta poistopuoli C5'!AF$44</f>
        <v>71.38823287919044</v>
      </c>
      <c r="AU23" s="279">
        <f>'Laskenta poistopuoli C5'!AG$44</f>
        <v>69.38823287919044</v>
      </c>
      <c r="AV23" s="279">
        <f>'Laskenta poistopuoli C5'!AH$44</f>
        <v>77.38823287919044</v>
      </c>
      <c r="AW23" s="279">
        <f>'Laskenta poistopuoli C5'!AI$44</f>
        <v>68.38823287919044</v>
      </c>
      <c r="AX23" s="279">
        <f>'Laskenta poistopuoli C5'!AJ$44</f>
        <v>66.38823287919044</v>
      </c>
      <c r="AY23" s="279">
        <f>'Laskenta poistopuoli C5'!AK$44</f>
        <v>65.38823287919044</v>
      </c>
      <c r="AZ23" s="279">
        <f>'Laskenta poistopuoli C5'!AL$44</f>
        <v>58.38823287919044</v>
      </c>
      <c r="BA23" s="279">
        <f>'Laskenta poistopuoli C5'!AM$44</f>
        <v>58.38823287919044</v>
      </c>
      <c r="BB23" s="279">
        <f>'Laskenta poistopuoli C5'!AN$44</f>
        <v>79.701087152007744</v>
      </c>
      <c r="BC23" s="648">
        <f>'Laskenta poistopuoli C5'!AO$44</f>
        <v>73.310199277948499</v>
      </c>
      <c r="BD23" s="279">
        <f>'Laskenta vaipan läpi C5'!L50</f>
        <v>57.754937004736405</v>
      </c>
      <c r="BE23" s="279">
        <f>'Laskenta vaipan läpi C5'!M50</f>
        <v>56.754937004736405</v>
      </c>
      <c r="BF23" s="279">
        <f>'Laskenta vaipan läpi C5'!N50</f>
        <v>51.754937004736405</v>
      </c>
      <c r="BG23" s="279">
        <f>'Laskenta vaipan läpi C5'!O50</f>
        <v>38.754937004736405</v>
      </c>
      <c r="BH23" s="279">
        <f>'Laskenta vaipan läpi C5'!P50</f>
        <v>35.754937004736405</v>
      </c>
      <c r="BI23" s="279">
        <f>'Laskenta vaipan läpi C5'!Q50</f>
        <v>34.754937004736405</v>
      </c>
      <c r="BJ23" s="279">
        <f>'Laskenta vaipan läpi C5'!R50</f>
        <v>25.754937004736405</v>
      </c>
      <c r="BK23" s="279">
        <f>'Laskenta vaipan läpi C5'!S50</f>
        <v>24.754937004736405</v>
      </c>
      <c r="BL23" s="279">
        <f>'Laskenta vaipan läpi C5'!T50</f>
        <v>60.915814620997779</v>
      </c>
      <c r="BM23" s="648">
        <f>'Laskenta vaipan läpi C5'!U50</f>
        <v>46.602689127318683</v>
      </c>
      <c r="BN23" s="279">
        <f>BM23+10*LOG10(4/10)</f>
        <v>42.623289040598308</v>
      </c>
      <c r="BO23" s="279">
        <f>BM23+10*LOG10(4/2.5)</f>
        <v>48.643888953877934</v>
      </c>
      <c r="BS23" t="s">
        <v>116</v>
      </c>
      <c r="BT23" s="80">
        <f>BT22</f>
        <v>71</v>
      </c>
      <c r="BU23" s="80">
        <f t="shared" ref="BU23:CC23" si="20">BU22</f>
        <v>66</v>
      </c>
      <c r="BV23" s="80">
        <f t="shared" si="20"/>
        <v>62</v>
      </c>
      <c r="BW23" s="80">
        <f t="shared" si="20"/>
        <v>55</v>
      </c>
      <c r="BX23" s="80">
        <f t="shared" si="20"/>
        <v>52</v>
      </c>
      <c r="BY23" s="80">
        <f t="shared" si="20"/>
        <v>43</v>
      </c>
      <c r="BZ23" s="80">
        <f t="shared" si="20"/>
        <v>32</v>
      </c>
      <c r="CA23" s="80">
        <f t="shared" si="20"/>
        <v>24</v>
      </c>
      <c r="CB23" s="80">
        <f t="shared" si="20"/>
        <v>72.707189991030347</v>
      </c>
      <c r="CC23" s="80">
        <f t="shared" si="20"/>
        <v>57.509878740817705</v>
      </c>
      <c r="CI23" s="868" t="s">
        <v>393</v>
      </c>
      <c r="CJ23" s="868" t="s">
        <v>393</v>
      </c>
      <c r="CL23" s="95" t="s">
        <v>2048</v>
      </c>
      <c r="CM23" s="95"/>
      <c r="CR23" s="95" t="str">
        <f t="shared" si="19"/>
        <v xml:space="preserve"> ** C series future version **</v>
      </c>
      <c r="CV23" s="867"/>
      <c r="CW23" s="867"/>
      <c r="CX23" s="344"/>
      <c r="CY23" s="344"/>
      <c r="CZ23" s="611"/>
      <c r="DA23" s="611"/>
      <c r="DG23" s="485">
        <v>1</v>
      </c>
      <c r="DI23" t="str">
        <f>X12</f>
        <v>C5</v>
      </c>
      <c r="DK23" s="621">
        <f>'Kojeet ja kennon hyötysuhde_C'!N4</f>
        <v>0.85299999999999998</v>
      </c>
      <c r="DL23" s="621">
        <f>'Kojeet ja kennon hyötysuhde_C'!O4</f>
        <v>0.80999999999999994</v>
      </c>
      <c r="DN23">
        <v>2000</v>
      </c>
    </row>
    <row r="24" spans="1:118" x14ac:dyDescent="0.15">
      <c r="A24" s="485">
        <v>2</v>
      </c>
      <c r="C24" s="95" t="str">
        <f t="shared" ref="C24:C28" si="21">X13</f>
        <v xml:space="preserve"> ** C series future version **</v>
      </c>
      <c r="D24" s="95"/>
      <c r="E24" s="611"/>
      <c r="F24" s="611"/>
      <c r="G24" s="95"/>
      <c r="H24" s="611"/>
      <c r="I24" s="611"/>
      <c r="J24" s="344"/>
      <c r="K24" s="611"/>
      <c r="L24" s="647"/>
      <c r="M24" s="344"/>
      <c r="N24" s="870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648"/>
      <c r="Z24" s="279"/>
      <c r="AA24" s="279"/>
      <c r="AB24" s="279"/>
      <c r="AC24" s="279"/>
      <c r="AD24" s="279"/>
      <c r="AE24" s="279"/>
      <c r="AF24" s="279"/>
      <c r="AG24" s="279"/>
      <c r="AH24" s="279"/>
      <c r="AI24" s="648"/>
      <c r="AJ24" s="279"/>
      <c r="AK24" s="279"/>
      <c r="AL24" s="279"/>
      <c r="AM24" s="279"/>
      <c r="AN24" s="279"/>
      <c r="AO24" s="279"/>
      <c r="AP24" s="279"/>
      <c r="AQ24" s="279"/>
      <c r="AR24" s="279"/>
      <c r="AS24" s="648"/>
      <c r="AT24" s="279"/>
      <c r="AU24" s="279"/>
      <c r="AV24" s="279"/>
      <c r="AW24" s="279"/>
      <c r="AX24" s="279"/>
      <c r="AY24" s="279"/>
      <c r="AZ24" s="279"/>
      <c r="BA24" s="279"/>
      <c r="BB24" s="279"/>
      <c r="BC24" s="648"/>
      <c r="BD24" s="279"/>
      <c r="BE24" s="279"/>
      <c r="BF24" s="279"/>
      <c r="BG24" s="279"/>
      <c r="BH24" s="279"/>
      <c r="BI24" s="279"/>
      <c r="BJ24" s="279"/>
      <c r="BK24" s="279"/>
      <c r="BL24" s="279"/>
      <c r="BM24" s="648"/>
      <c r="BN24" s="279"/>
      <c r="BO24" s="279"/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868" t="s">
        <v>393</v>
      </c>
      <c r="CJ24" s="868" t="s">
        <v>393</v>
      </c>
      <c r="CL24" s="95" t="s">
        <v>2048</v>
      </c>
      <c r="CM24" s="95"/>
      <c r="CR24" s="95" t="str">
        <f t="shared" si="19"/>
        <v xml:space="preserve"> ** C series future version **</v>
      </c>
      <c r="CV24" s="867"/>
      <c r="CW24" s="867"/>
      <c r="CX24" s="344"/>
      <c r="CY24" s="344"/>
      <c r="CZ24" s="611"/>
      <c r="DA24" s="611"/>
      <c r="DG24" s="485">
        <v>2</v>
      </c>
      <c r="DI24" t="str">
        <f t="shared" ref="DI24:DI28" si="22">X13</f>
        <v xml:space="preserve"> ** C series future version **</v>
      </c>
      <c r="DK24" s="621"/>
      <c r="DL24" s="621"/>
    </row>
    <row r="25" spans="1:118" x14ac:dyDescent="0.15">
      <c r="A25" s="485">
        <v>3</v>
      </c>
      <c r="C25" s="95" t="str">
        <f t="shared" si="21"/>
        <v xml:space="preserve"> ** C series future version **</v>
      </c>
      <c r="D25" s="344"/>
      <c r="E25" s="611"/>
      <c r="F25" s="611"/>
      <c r="G25" s="344"/>
      <c r="H25" s="611"/>
      <c r="I25" s="611"/>
      <c r="J25" s="344"/>
      <c r="K25" s="611"/>
      <c r="L25" s="647"/>
      <c r="M25" s="344"/>
      <c r="N25" s="870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648"/>
      <c r="Z25" s="279"/>
      <c r="AA25" s="279"/>
      <c r="AB25" s="279"/>
      <c r="AC25" s="279"/>
      <c r="AD25" s="279"/>
      <c r="AE25" s="279"/>
      <c r="AF25" s="279"/>
      <c r="AG25" s="279"/>
      <c r="AH25" s="279"/>
      <c r="AI25" s="648"/>
      <c r="AJ25" s="279"/>
      <c r="AK25" s="279"/>
      <c r="AL25" s="279"/>
      <c r="AM25" s="279"/>
      <c r="AN25" s="279"/>
      <c r="AO25" s="279"/>
      <c r="AP25" s="279"/>
      <c r="AQ25" s="279"/>
      <c r="AR25" s="279"/>
      <c r="AS25" s="648"/>
      <c r="AT25" s="279"/>
      <c r="AU25" s="279"/>
      <c r="AV25" s="279"/>
      <c r="AW25" s="279"/>
      <c r="AX25" s="279"/>
      <c r="AY25" s="279"/>
      <c r="AZ25" s="279"/>
      <c r="BA25" s="279"/>
      <c r="BB25" s="279"/>
      <c r="BC25" s="648"/>
      <c r="BD25" s="279"/>
      <c r="BE25" s="279"/>
      <c r="BF25" s="279"/>
      <c r="BG25" s="279"/>
      <c r="BH25" s="279"/>
      <c r="BI25" s="279"/>
      <c r="BJ25" s="279"/>
      <c r="BK25" s="279"/>
      <c r="BL25" s="279"/>
      <c r="BM25" s="648"/>
      <c r="BN25" s="279"/>
      <c r="BO25" s="279"/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868" t="s">
        <v>393</v>
      </c>
      <c r="CJ25" s="868" t="s">
        <v>393</v>
      </c>
      <c r="CL25" s="95" t="s">
        <v>2048</v>
      </c>
      <c r="CM25" s="95"/>
      <c r="CR25" s="95" t="str">
        <f t="shared" si="19"/>
        <v xml:space="preserve"> ** C series future version **</v>
      </c>
      <c r="CV25" s="867"/>
      <c r="CW25" s="867"/>
      <c r="CX25" s="344"/>
      <c r="CY25" s="344"/>
      <c r="CZ25" s="611"/>
      <c r="DA25" s="611"/>
      <c r="DG25" s="485">
        <v>3</v>
      </c>
      <c r="DI25" t="str">
        <f t="shared" si="22"/>
        <v xml:space="preserve"> ** C series future version **</v>
      </c>
      <c r="DK25" s="621"/>
      <c r="DL25" s="621"/>
    </row>
    <row r="26" spans="1:118" x14ac:dyDescent="0.15">
      <c r="A26" s="485">
        <v>4</v>
      </c>
      <c r="C26" s="95" t="str">
        <f t="shared" si="21"/>
        <v xml:space="preserve"> ** C series future version **</v>
      </c>
      <c r="D26" s="344"/>
      <c r="E26" s="611"/>
      <c r="F26" s="611"/>
      <c r="G26" s="344"/>
      <c r="H26" s="611"/>
      <c r="I26" s="611"/>
      <c r="J26" s="344"/>
      <c r="K26" s="611"/>
      <c r="L26" s="647"/>
      <c r="M26" s="344"/>
      <c r="N26" s="870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648"/>
      <c r="Z26" s="279"/>
      <c r="AA26" s="279"/>
      <c r="AB26" s="279"/>
      <c r="AC26" s="279"/>
      <c r="AD26" s="279"/>
      <c r="AE26" s="279"/>
      <c r="AF26" s="279"/>
      <c r="AG26" s="279"/>
      <c r="AH26" s="279"/>
      <c r="AI26" s="648"/>
      <c r="AJ26" s="279"/>
      <c r="AK26" s="279"/>
      <c r="AL26" s="279"/>
      <c r="AM26" s="279"/>
      <c r="AN26" s="279"/>
      <c r="AO26" s="279"/>
      <c r="AP26" s="279"/>
      <c r="AQ26" s="279"/>
      <c r="AR26" s="279"/>
      <c r="AS26" s="648"/>
      <c r="AT26" s="279"/>
      <c r="AU26" s="279"/>
      <c r="AV26" s="279"/>
      <c r="AW26" s="279"/>
      <c r="AX26" s="279"/>
      <c r="AY26" s="279"/>
      <c r="AZ26" s="279"/>
      <c r="BA26" s="279"/>
      <c r="BB26" s="279"/>
      <c r="BC26" s="648"/>
      <c r="BD26" s="279"/>
      <c r="BE26" s="279"/>
      <c r="BF26" s="279"/>
      <c r="BG26" s="279"/>
      <c r="BH26" s="279"/>
      <c r="BI26" s="279"/>
      <c r="BJ26" s="279"/>
      <c r="BK26" s="279"/>
      <c r="BL26" s="279"/>
      <c r="BM26" s="648"/>
      <c r="BN26" s="279"/>
      <c r="BO26" s="279"/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 s="868" t="s">
        <v>393</v>
      </c>
      <c r="CJ26" s="868" t="s">
        <v>393</v>
      </c>
      <c r="CL26" s="95" t="s">
        <v>2048</v>
      </c>
      <c r="CM26" s="95"/>
      <c r="CR26" s="95" t="str">
        <f t="shared" si="19"/>
        <v xml:space="preserve"> ** C series future version **</v>
      </c>
      <c r="CV26" s="867"/>
      <c r="CW26" s="867"/>
      <c r="CX26" s="344"/>
      <c r="CY26" s="344"/>
      <c r="CZ26" s="611"/>
      <c r="DA26" s="611"/>
      <c r="DG26" s="485">
        <v>4</v>
      </c>
      <c r="DI26" t="str">
        <f t="shared" si="22"/>
        <v xml:space="preserve"> ** C series future version **</v>
      </c>
      <c r="DK26" s="621"/>
      <c r="DL26" s="621"/>
      <c r="DN26" s="39"/>
    </row>
    <row r="27" spans="1:118" x14ac:dyDescent="0.15">
      <c r="A27" s="485">
        <v>5</v>
      </c>
      <c r="C27" s="95" t="str">
        <f t="shared" si="21"/>
        <v xml:space="preserve"> ** C series future version **</v>
      </c>
      <c r="D27" s="344"/>
      <c r="E27" s="611"/>
      <c r="F27" s="611"/>
      <c r="G27" s="344"/>
      <c r="H27" s="611"/>
      <c r="I27" s="611"/>
      <c r="J27" s="344"/>
      <c r="K27" s="611"/>
      <c r="L27" s="647"/>
      <c r="M27" s="344"/>
      <c r="N27" s="870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648"/>
      <c r="Z27" s="279"/>
      <c r="AA27" s="279"/>
      <c r="AB27" s="279"/>
      <c r="AC27" s="279"/>
      <c r="AD27" s="279"/>
      <c r="AE27" s="279"/>
      <c r="AF27" s="279"/>
      <c r="AG27" s="279"/>
      <c r="AH27" s="279"/>
      <c r="AI27" s="648"/>
      <c r="AJ27" s="279"/>
      <c r="AK27" s="279"/>
      <c r="AL27" s="279"/>
      <c r="AM27" s="279"/>
      <c r="AN27" s="279"/>
      <c r="AO27" s="279"/>
      <c r="AP27" s="279"/>
      <c r="AQ27" s="279"/>
      <c r="AR27" s="279"/>
      <c r="AS27" s="648"/>
      <c r="AT27" s="279"/>
      <c r="AU27" s="279"/>
      <c r="AV27" s="279"/>
      <c r="AW27" s="279"/>
      <c r="AX27" s="279"/>
      <c r="AY27" s="279"/>
      <c r="AZ27" s="279"/>
      <c r="BA27" s="279"/>
      <c r="BB27" s="279"/>
      <c r="BC27" s="648"/>
      <c r="BD27" s="279"/>
      <c r="BE27" s="279"/>
      <c r="BF27" s="279"/>
      <c r="BG27" s="279"/>
      <c r="BH27" s="279"/>
      <c r="BI27" s="279"/>
      <c r="BJ27" s="279"/>
      <c r="BK27" s="279"/>
      <c r="BL27" s="279"/>
      <c r="BM27" s="648"/>
      <c r="BN27" s="279"/>
      <c r="BO27" s="279"/>
      <c r="BS27" t="s">
        <v>585</v>
      </c>
      <c r="BT27" s="487">
        <f>BT22</f>
        <v>71</v>
      </c>
      <c r="BU27" s="487">
        <f t="shared" ref="BU27:CC27" si="23">BU22</f>
        <v>66</v>
      </c>
      <c r="BV27" s="487">
        <f t="shared" si="23"/>
        <v>62</v>
      </c>
      <c r="BW27" s="487">
        <f t="shared" si="23"/>
        <v>55</v>
      </c>
      <c r="BX27" s="487">
        <f t="shared" si="23"/>
        <v>52</v>
      </c>
      <c r="BY27" s="487">
        <f t="shared" si="23"/>
        <v>43</v>
      </c>
      <c r="BZ27" s="487">
        <f t="shared" si="23"/>
        <v>32</v>
      </c>
      <c r="CA27" s="487">
        <f t="shared" si="23"/>
        <v>24</v>
      </c>
      <c r="CB27" s="487">
        <f t="shared" si="23"/>
        <v>72.707189991030347</v>
      </c>
      <c r="CC27" s="487">
        <f t="shared" si="23"/>
        <v>57.509878740817705</v>
      </c>
      <c r="CI27" s="868" t="s">
        <v>393</v>
      </c>
      <c r="CJ27" s="868" t="s">
        <v>393</v>
      </c>
      <c r="CL27" s="95" t="s">
        <v>2048</v>
      </c>
      <c r="CM27" s="95"/>
      <c r="CR27" s="95" t="str">
        <f t="shared" si="19"/>
        <v xml:space="preserve"> ** C series future version **</v>
      </c>
      <c r="CV27" s="867"/>
      <c r="CW27" s="867"/>
      <c r="CX27" s="344"/>
      <c r="CY27" s="344"/>
      <c r="CZ27" s="611"/>
      <c r="DA27" s="611"/>
      <c r="DG27" s="485">
        <v>5</v>
      </c>
      <c r="DI27" t="str">
        <f t="shared" si="22"/>
        <v xml:space="preserve"> ** C series future version **</v>
      </c>
      <c r="DK27" s="621"/>
      <c r="DL27" s="621"/>
      <c r="DN27" s="39"/>
    </row>
    <row r="28" spans="1:118" x14ac:dyDescent="0.15">
      <c r="A28" s="485">
        <v>6</v>
      </c>
      <c r="C28" s="95" t="str">
        <f t="shared" si="21"/>
        <v xml:space="preserve"> ** C series future version **</v>
      </c>
      <c r="D28" s="95"/>
      <c r="E28" s="611"/>
      <c r="F28" s="611"/>
      <c r="G28" s="95"/>
      <c r="H28" s="611"/>
      <c r="I28" s="611"/>
      <c r="J28" s="344"/>
      <c r="K28" s="611"/>
      <c r="L28" s="647"/>
      <c r="M28" s="344"/>
      <c r="N28" s="870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648"/>
      <c r="Z28" s="279"/>
      <c r="AA28" s="279"/>
      <c r="AB28" s="279"/>
      <c r="AC28" s="279"/>
      <c r="AD28" s="279"/>
      <c r="AE28" s="279"/>
      <c r="AF28" s="279"/>
      <c r="AG28" s="279"/>
      <c r="AH28" s="279"/>
      <c r="AI28" s="648"/>
      <c r="AJ28" s="279"/>
      <c r="AK28" s="279"/>
      <c r="AL28" s="279"/>
      <c r="AM28" s="279"/>
      <c r="AN28" s="279"/>
      <c r="AO28" s="279"/>
      <c r="AP28" s="279"/>
      <c r="AQ28" s="279"/>
      <c r="AR28" s="279"/>
      <c r="AS28" s="648"/>
      <c r="AT28" s="279"/>
      <c r="AU28" s="279"/>
      <c r="AV28" s="279"/>
      <c r="AW28" s="279"/>
      <c r="AX28" s="279"/>
      <c r="AY28" s="279"/>
      <c r="AZ28" s="279"/>
      <c r="BA28" s="279"/>
      <c r="BB28" s="279"/>
      <c r="BC28" s="648"/>
      <c r="BD28" s="279"/>
      <c r="BE28" s="279"/>
      <c r="BF28" s="279"/>
      <c r="BG28" s="279"/>
      <c r="BH28" s="279"/>
      <c r="BI28" s="279"/>
      <c r="BJ28" s="279"/>
      <c r="BK28" s="279"/>
      <c r="BL28" s="279"/>
      <c r="BM28" s="648"/>
      <c r="BN28" s="279"/>
      <c r="BO28" s="279"/>
      <c r="DG28" s="485">
        <v>6</v>
      </c>
      <c r="DI28" t="str">
        <f t="shared" si="22"/>
        <v xml:space="preserve"> ** C series future version **</v>
      </c>
      <c r="DK28" s="621"/>
      <c r="DL28" s="621"/>
    </row>
    <row r="29" spans="1:118" x14ac:dyDescent="0.15">
      <c r="AF29" s="104"/>
      <c r="AG29" s="104"/>
      <c r="AH29" s="104"/>
      <c r="AI29" s="104"/>
    </row>
    <row r="30" spans="1:118" x14ac:dyDescent="0.15">
      <c r="AF30" s="5"/>
      <c r="AG30" s="5"/>
      <c r="AH30" s="5"/>
      <c r="AI30" s="5"/>
    </row>
    <row r="31" spans="1:118" x14ac:dyDescent="0.15">
      <c r="AF31" s="5"/>
      <c r="AG31" s="5"/>
      <c r="AH31" s="5"/>
      <c r="AI31" s="5"/>
    </row>
    <row r="32" spans="1:118" x14ac:dyDescent="0.15"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15">
      <c r="C35" t="s">
        <v>21</v>
      </c>
      <c r="D35" s="95" t="b">
        <f>INDEX(D23:D28,$C$6)</f>
        <v>1</v>
      </c>
      <c r="E35" s="611">
        <f>INDEX(E23:E28,$C$6)</f>
        <v>7.7263330467075084</v>
      </c>
      <c r="F35" s="611">
        <f>INDEX(F23:F28,$C$6)</f>
        <v>450.53909890148327</v>
      </c>
      <c r="G35" s="611" t="b">
        <f t="shared" ref="G35:BC35" si="24">INDEX(G23:G28,$C$6)</f>
        <v>1</v>
      </c>
      <c r="H35" s="611">
        <f t="shared" si="24"/>
        <v>7.2652429851960978</v>
      </c>
      <c r="I35" s="611">
        <f t="shared" si="24"/>
        <v>401.74482016316426</v>
      </c>
      <c r="J35" s="611">
        <f t="shared" si="24"/>
        <v>4.4000000000000004</v>
      </c>
      <c r="K35" s="611">
        <f t="shared" si="24"/>
        <v>856.68391906464751</v>
      </c>
      <c r="L35" s="611">
        <f t="shared" si="24"/>
        <v>1.7133678381292949</v>
      </c>
      <c r="M35" s="611">
        <f t="shared" si="24"/>
        <v>385</v>
      </c>
      <c r="N35" s="611">
        <f t="shared" si="24"/>
        <v>0.99833518954912692</v>
      </c>
      <c r="O35" s="611">
        <f t="shared" si="24"/>
        <v>0.85</v>
      </c>
      <c r="P35" s="279">
        <f t="shared" si="24"/>
        <v>71.998695825235586</v>
      </c>
      <c r="Q35" s="279">
        <f t="shared" si="24"/>
        <v>67.998695825235586</v>
      </c>
      <c r="R35" s="279">
        <f t="shared" si="24"/>
        <v>75.998695825235586</v>
      </c>
      <c r="S35" s="279">
        <f t="shared" si="24"/>
        <v>67.998695825235586</v>
      </c>
      <c r="T35" s="279">
        <f t="shared" si="24"/>
        <v>64.998695825235586</v>
      </c>
      <c r="U35" s="279">
        <f t="shared" si="24"/>
        <v>63.998695825235586</v>
      </c>
      <c r="V35" s="279">
        <f t="shared" si="24"/>
        <v>57.998695825235586</v>
      </c>
      <c r="W35" s="279">
        <f t="shared" si="24"/>
        <v>57.998695825235586</v>
      </c>
      <c r="X35" s="279">
        <f t="shared" si="24"/>
        <v>78.761733185898294</v>
      </c>
      <c r="Y35" s="279">
        <f t="shared" si="24"/>
        <v>71.998695825235586</v>
      </c>
      <c r="Z35" s="279">
        <f t="shared" si="24"/>
        <v>63.010413371069873</v>
      </c>
      <c r="AA35" s="279">
        <f t="shared" si="24"/>
        <v>58.010413371069873</v>
      </c>
      <c r="AB35" s="279">
        <f t="shared" si="24"/>
        <v>57.010413371069873</v>
      </c>
      <c r="AC35" s="279">
        <f t="shared" si="24"/>
        <v>52.010413371069873</v>
      </c>
      <c r="AD35" s="279">
        <f t="shared" si="24"/>
        <v>43.010413371069873</v>
      </c>
      <c r="AE35" s="279">
        <f t="shared" si="24"/>
        <v>39.010413371069873</v>
      </c>
      <c r="AF35" s="279">
        <f t="shared" si="24"/>
        <v>34.010413371069873</v>
      </c>
      <c r="AG35" s="279">
        <f t="shared" si="24"/>
        <v>29.010413371069873</v>
      </c>
      <c r="AH35" s="279">
        <f t="shared" si="24"/>
        <v>65.217996830982557</v>
      </c>
      <c r="AI35" s="279">
        <f t="shared" si="24"/>
        <v>53.010413371069873</v>
      </c>
      <c r="AJ35" s="279">
        <f t="shared" si="24"/>
        <v>61.941720020505876</v>
      </c>
      <c r="AK35" s="279">
        <f t="shared" si="24"/>
        <v>56.941720020505876</v>
      </c>
      <c r="AL35" s="279">
        <f t="shared" si="24"/>
        <v>59.941720020505876</v>
      </c>
      <c r="AM35" s="279">
        <f t="shared" si="24"/>
        <v>52.941720020505876</v>
      </c>
      <c r="AN35" s="279">
        <f t="shared" si="24"/>
        <v>46.941720020505876</v>
      </c>
      <c r="AO35" s="279">
        <f t="shared" si="24"/>
        <v>42.941720020505876</v>
      </c>
      <c r="AP35" s="279">
        <f t="shared" si="24"/>
        <v>38.941720020505876</v>
      </c>
      <c r="AQ35" s="279">
        <f t="shared" si="24"/>
        <v>30.941720020505876</v>
      </c>
      <c r="AR35" s="279">
        <f t="shared" si="24"/>
        <v>65.211416102077266</v>
      </c>
      <c r="AS35" s="279">
        <f t="shared" si="24"/>
        <v>55.21854617191547</v>
      </c>
      <c r="AT35" s="279">
        <f t="shared" si="24"/>
        <v>71.38823287919044</v>
      </c>
      <c r="AU35" s="279">
        <f t="shared" si="24"/>
        <v>69.38823287919044</v>
      </c>
      <c r="AV35" s="279">
        <f t="shared" si="24"/>
        <v>77.38823287919044</v>
      </c>
      <c r="AW35" s="279">
        <f t="shared" si="24"/>
        <v>68.38823287919044</v>
      </c>
      <c r="AX35" s="279">
        <f t="shared" si="24"/>
        <v>66.38823287919044</v>
      </c>
      <c r="AY35" s="279">
        <f t="shared" si="24"/>
        <v>65.38823287919044</v>
      </c>
      <c r="AZ35" s="279">
        <f t="shared" si="24"/>
        <v>58.38823287919044</v>
      </c>
      <c r="BA35" s="279">
        <f t="shared" si="24"/>
        <v>58.38823287919044</v>
      </c>
      <c r="BB35" s="279">
        <f t="shared" si="24"/>
        <v>79.701087152007744</v>
      </c>
      <c r="BC35" s="279">
        <f t="shared" si="24"/>
        <v>73.310199277948499</v>
      </c>
      <c r="BD35" s="871" cm="1">
        <f t="array" ref="BD35">IF($BD$4,INDEX(BC13:BC18,$C$6),INDEX(BD23:BD28,$C$6))</f>
        <v>57.754937004736405</v>
      </c>
      <c r="BE35" s="871" cm="1">
        <f t="array" ref="BE35">IF($BD$4,INDEX(BD13:BD18,$C$6),INDEX(BE23:BE28,$C$6))</f>
        <v>56.754937004736405</v>
      </c>
      <c r="BF35" s="871" cm="1">
        <f t="array" ref="BF35">IF($BD$4,INDEX(BE13:BE18,$C$6),INDEX(BF23:BF28,$C$6))</f>
        <v>51.754937004736405</v>
      </c>
      <c r="BG35" s="871" cm="1">
        <f t="array" ref="BG35">IF($BD$4,INDEX(BF13:BF18,$C$6),INDEX(BG23:BG28,$C$6))</f>
        <v>38.754937004736405</v>
      </c>
      <c r="BH35" s="871" cm="1">
        <f t="array" ref="BH35">IF($BD$4,INDEX(BG13:BG18,$C$6),INDEX(BH23:BH28,$C$6))</f>
        <v>35.754937004736405</v>
      </c>
      <c r="BI35" s="871" cm="1">
        <f t="array" ref="BI35">IF($BD$4,INDEX(BH13:BH18,$C$6),INDEX(BI23:BI28,$C$6))</f>
        <v>34.754937004736405</v>
      </c>
      <c r="BJ35" s="871" cm="1">
        <f t="array" ref="BJ35">IF($BD$4,INDEX(BI13:BI18,$C$6),INDEX(BJ23:BJ28,$C$6))</f>
        <v>25.754937004736405</v>
      </c>
      <c r="BK35" s="871" cm="1">
        <f t="array" ref="BK35">IF($BD$4,INDEX(BJ13:BJ18,$C$6),INDEX(BK23:BK28,$C$6))</f>
        <v>24.754937004736405</v>
      </c>
      <c r="BL35" s="871" cm="1">
        <f t="array" ref="BL35">IF($BD$4,INDEX(BK13:BK18,$C$6),INDEX(BL23:BL28,$C$6))</f>
        <v>60.915814620997779</v>
      </c>
      <c r="BM35" s="871" cm="1">
        <f t="array" ref="BM35">IF($BD$4,INDEX(BL13:BL18,$C$6),INDEX(BM23:BM28,$C$6))</f>
        <v>46.602689127318683</v>
      </c>
      <c r="BN35" s="871" cm="1">
        <f t="array" ref="BN35">IF($BD$4,INDEX(BM13:BM18,$C$6),INDEX(BN23:BN28,$C$6))</f>
        <v>42.623289040598308</v>
      </c>
      <c r="BO35" s="871" cm="1">
        <f t="array" ref="BO35">IF($BD$4,INDEX(BN13:BN18,$C$6),INDEX(BO23:BO28,$C$6))</f>
        <v>48.643888953877934</v>
      </c>
      <c r="BQ35" s="5">
        <f>'SEC-laskenta_C'!M5</f>
        <v>-70.406005743907684</v>
      </c>
      <c r="BR35" s="5" t="str">
        <f>'SEC-laskenta_C'!T5</f>
        <v>A+</v>
      </c>
      <c r="BT35" s="80" cm="1">
        <f t="array" ref="BT35">INDEX(BT22:BT27,$C$6)</f>
        <v>71</v>
      </c>
      <c r="BU35" s="80" cm="1">
        <f t="array" ref="BU35">INDEX(BU22:BU27,$C$6)</f>
        <v>66</v>
      </c>
      <c r="BV35" s="80" cm="1">
        <f t="array" ref="BV35">INDEX(BV22:BV27,$C$6)</f>
        <v>62</v>
      </c>
      <c r="BW35" s="80" cm="1">
        <f t="array" ref="BW35">INDEX(BW22:BW27,$C$6)</f>
        <v>55</v>
      </c>
      <c r="BX35" s="80" cm="1">
        <f t="array" ref="BX35">INDEX(BX22:BX27,$C$6)</f>
        <v>52</v>
      </c>
      <c r="BY35" s="80" cm="1">
        <f t="array" ref="BY35">INDEX(BY22:BY27,$C$6)</f>
        <v>43</v>
      </c>
      <c r="BZ35" s="80" cm="1">
        <f t="array" ref="BZ35">INDEX(BZ22:BZ27,$C$6)</f>
        <v>32</v>
      </c>
      <c r="CA35" s="80" cm="1">
        <f t="array" ref="CA35">INDEX(CA22:CA27,$C$6)</f>
        <v>24</v>
      </c>
      <c r="CB35" s="80" cm="1">
        <f t="array" ref="CB35">INDEX(CB22:CB27,$C$6)</f>
        <v>72.707189991030347</v>
      </c>
      <c r="CC35" s="80" cm="1">
        <f t="array" ref="CC35">INDEX(CC22:CC27,$C$6)</f>
        <v>57.509878740817705</v>
      </c>
      <c r="CI35" s="32" cm="1">
        <f t="array" ref="CI35">INDEX(CI22:CI27,$C$6)</f>
        <v>1220.4312536243633</v>
      </c>
      <c r="CJ35" s="32" cm="1">
        <f t="array" ref="CJ35">INDEX(CJ22:CJ27,$C$6)</f>
        <v>1241</v>
      </c>
      <c r="CL35" s="376" t="e" cm="1">
        <f t="array" ref="CL35">INDEX(CL22:CL27,$C$6)</f>
        <v>#REF!</v>
      </c>
      <c r="CM35" s="376" t="str" cm="1">
        <f t="array" ref="CM35">INDEX(CM22:CM27,$C$6)</f>
        <v>230 V, 50 Hz, max 2 kW</v>
      </c>
      <c r="CR35" s="110">
        <f>CR19</f>
        <v>525</v>
      </c>
      <c r="CS35" s="110">
        <f>CS19</f>
        <v>525</v>
      </c>
      <c r="CT35" s="110">
        <f>CR17</f>
        <v>164.27249999999998</v>
      </c>
      <c r="CU35" s="110">
        <f>CS17</f>
        <v>164.27249999999998</v>
      </c>
      <c r="CV35" s="617" cm="1">
        <f t="array" ref="CV35">INDEX(CV22:CV27,$C$6)</f>
        <v>0.18376243169910023</v>
      </c>
      <c r="CW35" s="617" cm="1">
        <f t="array" ref="CW35">INDEX(CW22:CW27,$C$6)</f>
        <v>0.23474186290969934</v>
      </c>
      <c r="CX35" s="617" t="b" cm="1">
        <f t="array" ref="CX35">IF($DC$35,INDEX(CX22:CX27,$C$6),FALSE)</f>
        <v>1</v>
      </c>
      <c r="CY35" s="617" t="b" cm="1">
        <f t="array" ref="CY35">IF(DC35,INDEX(CY22:CY27,$C$6),FALSE)</f>
        <v>1</v>
      </c>
      <c r="CZ35" s="622" cm="1">
        <f t="array" ref="CZ35">INDEX(CZ22:CZ27,$C$6)</f>
        <v>8.0778802122700597</v>
      </c>
      <c r="DA35" s="622" cm="1">
        <f t="array" ref="DA35">INDEX(DA22:DA27,$C$6)</f>
        <v>7.5967132178967631</v>
      </c>
      <c r="DC35" t="b">
        <f>IF(CR11&gt;=0,TRUE,FALSE)</f>
        <v>1</v>
      </c>
      <c r="DG35" t="s">
        <v>21</v>
      </c>
      <c r="DI35" t="str">
        <f t="shared" ref="DI35:DN35" si="25">INDEX(DI23:DI28,$C$6)</f>
        <v>C5</v>
      </c>
      <c r="DK35">
        <f t="shared" si="25"/>
        <v>0.85299999999999998</v>
      </c>
      <c r="DL35">
        <f t="shared" si="25"/>
        <v>0.80999999999999994</v>
      </c>
      <c r="DN35">
        <f t="shared" si="25"/>
        <v>2000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1890</v>
      </c>
      <c r="CS36" s="3">
        <f>CS20</f>
        <v>1890</v>
      </c>
    </row>
    <row r="37" spans="3:118" x14ac:dyDescent="0.15">
      <c r="C37" t="s">
        <v>120</v>
      </c>
      <c r="D37" t="str" cm="1">
        <f t="array" ref="D37">IF(D35,"",INDEX(KirjastoC!D4:K125,23,KirjastoC!B4))</f>
        <v/>
      </c>
      <c r="E37" s="5">
        <f>IF($D$35,E35,"-")</f>
        <v>7.7263330467075084</v>
      </c>
      <c r="F37" s="5">
        <f>IF($D$35,F35,"-")</f>
        <v>450.53909890148327</v>
      </c>
      <c r="G37" t="str" cm="1">
        <f t="array" ref="G37">IF(G35,"",INDEX(KirjastoC!D4:K125,23,KirjastoC!B4))</f>
        <v/>
      </c>
      <c r="H37" s="5">
        <f>IF($G$35,H35,"-")</f>
        <v>7.2652429851960978</v>
      </c>
      <c r="I37" s="5">
        <f>IF($G$35,I35,"-")</f>
        <v>401.74482016316426</v>
      </c>
      <c r="K37" s="5">
        <f>IF(AND($D$35,$G$35),K35,"-")</f>
        <v>856.68391906464751</v>
      </c>
      <c r="L37" s="5">
        <f>IF(AND(D35,G35),L35,"-")</f>
        <v>1.7133678381292949</v>
      </c>
      <c r="M37" s="5">
        <f>M35</f>
        <v>385</v>
      </c>
      <c r="N37" s="5">
        <f>N35</f>
        <v>0.99833518954912692</v>
      </c>
      <c r="O37" s="32">
        <f>O35</f>
        <v>0.85</v>
      </c>
      <c r="P37" s="80">
        <f>IF($D$35,P35,"-")</f>
        <v>71.998695825235586</v>
      </c>
      <c r="Q37" s="80">
        <f t="shared" ref="Q37:Y37" si="26">IF($D$35,Q35,"-")</f>
        <v>67.998695825235586</v>
      </c>
      <c r="R37" s="80">
        <f t="shared" si="26"/>
        <v>75.998695825235586</v>
      </c>
      <c r="S37" s="80">
        <f t="shared" si="26"/>
        <v>67.998695825235586</v>
      </c>
      <c r="T37" s="80">
        <f t="shared" si="26"/>
        <v>64.998695825235586</v>
      </c>
      <c r="U37" s="80">
        <f t="shared" si="26"/>
        <v>63.998695825235586</v>
      </c>
      <c r="V37" s="80">
        <f t="shared" si="26"/>
        <v>57.998695825235586</v>
      </c>
      <c r="W37" s="80">
        <f t="shared" si="26"/>
        <v>57.998695825235586</v>
      </c>
      <c r="X37" s="80">
        <f t="shared" si="26"/>
        <v>78.761733185898294</v>
      </c>
      <c r="Y37" s="80">
        <f t="shared" si="26"/>
        <v>71.998695825235586</v>
      </c>
      <c r="Z37" s="80">
        <f>IF($D$35,Z35,"-")</f>
        <v>63.010413371069873</v>
      </c>
      <c r="AA37" s="80">
        <f t="shared" ref="AA37:AI37" si="27">IF($D$35,AA35,"-")</f>
        <v>58.010413371069873</v>
      </c>
      <c r="AB37" s="80">
        <f t="shared" si="27"/>
        <v>57.010413371069873</v>
      </c>
      <c r="AC37" s="80">
        <f t="shared" si="27"/>
        <v>52.010413371069873</v>
      </c>
      <c r="AD37" s="80">
        <f t="shared" si="27"/>
        <v>43.010413371069873</v>
      </c>
      <c r="AE37" s="80">
        <f t="shared" si="27"/>
        <v>39.010413371069873</v>
      </c>
      <c r="AF37" s="80">
        <f t="shared" si="27"/>
        <v>34.010413371069873</v>
      </c>
      <c r="AG37" s="80">
        <f t="shared" si="27"/>
        <v>29.010413371069873</v>
      </c>
      <c r="AH37" s="80">
        <f t="shared" si="27"/>
        <v>65.217996830982557</v>
      </c>
      <c r="AI37" s="80">
        <f t="shared" si="27"/>
        <v>53.010413371069873</v>
      </c>
      <c r="AJ37" s="80">
        <f>IF($G$35,AJ35,"-")</f>
        <v>61.941720020505876</v>
      </c>
      <c r="AK37" s="80">
        <f t="shared" ref="AK37:BC37" si="28">IF($G$35,AK35,"-")</f>
        <v>56.941720020505876</v>
      </c>
      <c r="AL37" s="80">
        <f t="shared" si="28"/>
        <v>59.941720020505876</v>
      </c>
      <c r="AM37" s="80">
        <f t="shared" si="28"/>
        <v>52.941720020505876</v>
      </c>
      <c r="AN37" s="80">
        <f t="shared" si="28"/>
        <v>46.941720020505876</v>
      </c>
      <c r="AO37" s="80">
        <f t="shared" si="28"/>
        <v>42.941720020505876</v>
      </c>
      <c r="AP37" s="80">
        <f t="shared" si="28"/>
        <v>38.941720020505876</v>
      </c>
      <c r="AQ37" s="80">
        <f t="shared" si="28"/>
        <v>30.941720020505876</v>
      </c>
      <c r="AR37" s="80">
        <f t="shared" si="28"/>
        <v>65.211416102077266</v>
      </c>
      <c r="AS37" s="80">
        <f t="shared" si="28"/>
        <v>55.21854617191547</v>
      </c>
      <c r="AT37" s="80">
        <f t="shared" si="28"/>
        <v>71.38823287919044</v>
      </c>
      <c r="AU37" s="80">
        <f t="shared" si="28"/>
        <v>69.38823287919044</v>
      </c>
      <c r="AV37" s="80">
        <f t="shared" si="28"/>
        <v>77.38823287919044</v>
      </c>
      <c r="AW37" s="80">
        <f t="shared" si="28"/>
        <v>68.38823287919044</v>
      </c>
      <c r="AX37" s="80">
        <f t="shared" si="28"/>
        <v>66.38823287919044</v>
      </c>
      <c r="AY37" s="80">
        <f t="shared" si="28"/>
        <v>65.38823287919044</v>
      </c>
      <c r="AZ37" s="80">
        <f t="shared" si="28"/>
        <v>58.38823287919044</v>
      </c>
      <c r="BA37" s="80">
        <f t="shared" si="28"/>
        <v>58.38823287919044</v>
      </c>
      <c r="BB37" s="80">
        <f t="shared" si="28"/>
        <v>79.701087152007744</v>
      </c>
      <c r="BC37" s="80">
        <f t="shared" si="28"/>
        <v>73.310199277948499</v>
      </c>
      <c r="BD37" s="80">
        <f>IF(AND($D$35,$G$35),BD35,"-")</f>
        <v>57.754937004736405</v>
      </c>
      <c r="BE37" s="80">
        <f t="shared" ref="BE37:BK37" si="29">IF(AND($D$35,$G$35),BE35,"-")</f>
        <v>56.754937004736405</v>
      </c>
      <c r="BF37" s="80">
        <f t="shared" si="29"/>
        <v>51.754937004736405</v>
      </c>
      <c r="BG37" s="80">
        <f t="shared" si="29"/>
        <v>38.754937004736405</v>
      </c>
      <c r="BH37" s="80">
        <f t="shared" si="29"/>
        <v>35.754937004736405</v>
      </c>
      <c r="BI37" s="80">
        <f t="shared" si="29"/>
        <v>34.754937004736405</v>
      </c>
      <c r="BJ37" s="80">
        <f t="shared" si="29"/>
        <v>25.754937004736405</v>
      </c>
      <c r="BK37" s="80">
        <f t="shared" si="29"/>
        <v>24.754937004736405</v>
      </c>
      <c r="BL37" s="80">
        <f>IF(AND($D$35,$G$35),BL35,"-")</f>
        <v>60.915814620997779</v>
      </c>
      <c r="BM37" s="108">
        <f t="shared" ref="BM37:BO37" si="30">IF(AND($D$35,$G$35),BM35,"-")</f>
        <v>46.602689127318683</v>
      </c>
      <c r="BN37" s="80">
        <f t="shared" si="30"/>
        <v>42.623289040598308</v>
      </c>
      <c r="BO37" s="80">
        <f t="shared" si="30"/>
        <v>48.643888953877934</v>
      </c>
      <c r="BQ37" s="5">
        <f>BQ35</f>
        <v>-70.406005743907684</v>
      </c>
      <c r="BR37" s="5" t="str">
        <f>BR35</f>
        <v>A+</v>
      </c>
      <c r="BT37" s="4" t="str">
        <f t="shared" ref="BT37:CC37" si="31">IF(AND($BT$15,$G$35),BT35,"-")</f>
        <v>-</v>
      </c>
      <c r="BU37" s="4" t="str">
        <f t="shared" si="31"/>
        <v>-</v>
      </c>
      <c r="BV37" s="4" t="str">
        <f t="shared" si="31"/>
        <v>-</v>
      </c>
      <c r="BW37" s="4" t="str">
        <f t="shared" si="31"/>
        <v>-</v>
      </c>
      <c r="BX37" s="4" t="str">
        <f t="shared" si="31"/>
        <v>-</v>
      </c>
      <c r="BY37" s="4" t="str">
        <f t="shared" si="31"/>
        <v>-</v>
      </c>
      <c r="BZ37" s="4" t="str">
        <f t="shared" si="31"/>
        <v>-</v>
      </c>
      <c r="CA37" s="4" t="str">
        <f t="shared" si="31"/>
        <v>-</v>
      </c>
      <c r="CB37" s="80" t="str">
        <f t="shared" si="31"/>
        <v>-</v>
      </c>
      <c r="CC37" s="80" t="str">
        <f t="shared" si="31"/>
        <v>-</v>
      </c>
      <c r="CI37" s="32">
        <f t="shared" ref="CI37:CJ37" si="32">IF(AND($D$35,$G$35),CI35,"-")</f>
        <v>1220.4312536243633</v>
      </c>
      <c r="CJ37" s="32">
        <f t="shared" si="32"/>
        <v>1241</v>
      </c>
      <c r="CL37" s="376" t="e">
        <f>CL35</f>
        <v>#REF!</v>
      </c>
      <c r="CM37" s="376" t="str" cm="1">
        <f t="array" ref="CM37">CONCATENATE(INDEX(KirjastoC!D4:K129,124,KirjastoC!B4),CM35)</f>
        <v>Sähkönsyöttö: 230 V, 50 Hz, max 2 kW</v>
      </c>
      <c r="CR37" s="622">
        <f>IF(AND($CX$35,$D$35),CR35,"-")</f>
        <v>525</v>
      </c>
      <c r="CS37" s="622">
        <f>IF(AND($CY$35,$G$35),CS35,"-")</f>
        <v>525</v>
      </c>
      <c r="CT37" s="622">
        <f>IF(AND($CX$35,$D$35),CT35,"-")</f>
        <v>164.27249999999998</v>
      </c>
      <c r="CU37" s="622">
        <f>IF(AND($CY$35,$G$35),CU35,"-")</f>
        <v>164.27249999999998</v>
      </c>
      <c r="CV37" s="617">
        <f>IF(AND($D$35),CV35,"-")</f>
        <v>0.18376243169910023</v>
      </c>
      <c r="CW37" s="617">
        <f>IF(AND($G$35),CW35,"-")</f>
        <v>0.23474186290969934</v>
      </c>
      <c r="CX37" t="str" cm="1">
        <f t="array" ref="CX37">IF(AND(CX35,CY35),"",INDEX(KirjastoC!D4:K150,139,KirjastoC!B4))</f>
        <v/>
      </c>
      <c r="CZ37" s="622">
        <f>IF(AND($CX$35,$D$35),CZ35,"-")</f>
        <v>8.0778802122700597</v>
      </c>
      <c r="DA37" s="622">
        <f>IF(AND($CY$35,$G$35),DA35,"-")</f>
        <v>7.5967132178967631</v>
      </c>
      <c r="DG37" t="s">
        <v>120</v>
      </c>
      <c r="DK37">
        <f>DK35</f>
        <v>0.85299999999999998</v>
      </c>
      <c r="DL37">
        <f>DL35</f>
        <v>0.80999999999999994</v>
      </c>
      <c r="DN37">
        <f>DN35</f>
        <v>2000</v>
      </c>
    </row>
    <row r="38" spans="3:118" x14ac:dyDescent="0.15">
      <c r="C38" t="s">
        <v>119</v>
      </c>
      <c r="CR38" s="622">
        <f>IF(AND($CX$35,D35),CR36,"-")</f>
        <v>1890</v>
      </c>
      <c r="CS38" s="622">
        <f>IF(AND($CY$35,$G$35),CS36,"-")</f>
        <v>1890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1</v>
      </c>
      <c r="J40" t="s">
        <v>561</v>
      </c>
      <c r="K40" t="s">
        <v>560</v>
      </c>
      <c r="M40" t="s">
        <v>120</v>
      </c>
      <c r="R40" s="104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0.47593551059147082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5.2839536303624257</v>
      </c>
      <c r="K42" s="24">
        <f>'Laskenta vesipatteri 350'!$I$17</f>
        <v>-8.9654448644910261</v>
      </c>
      <c r="M42" t="str" cm="1">
        <f t="array" ref="M42">INDEX(G42:K42,1,$C$6)</f>
        <v>-</v>
      </c>
      <c r="N42" t="str">
        <f t="shared" ref="N42:N46" si="33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5.4934954233559997E-3</v>
      </c>
      <c r="K43" s="24">
        <f>'Laskenta vesipatteri 350'!$I$18</f>
        <v>4.1659551055148146E-3</v>
      </c>
      <c r="M43" t="str" cm="1">
        <f t="array" ref="M43">INDEX(G43:K43,1,$C$6)</f>
        <v>-</v>
      </c>
      <c r="N43" t="str">
        <f t="shared" si="33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6.8703167361480327E-2</v>
      </c>
      <c r="K44" s="24">
        <f>'Laskenta vesipatteri 350'!$I$19</f>
        <v>3.6137731798038739E-2</v>
      </c>
      <c r="M44" t="str" cm="1">
        <f t="array" ref="M44">INDEX(G44:K44,1,$C$6)</f>
        <v>-</v>
      </c>
      <c r="N44" t="str">
        <f t="shared" si="33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3.9111325588497572E-2</v>
      </c>
      <c r="K45" s="24">
        <f>'Laskenta vesipatteri 350'!$I$20</f>
        <v>2.2492315795749774E-2</v>
      </c>
      <c r="M45" t="str" cm="1">
        <f t="array" ref="M45">INDEX(G45:K45,1,$C$6)</f>
        <v>-</v>
      </c>
      <c r="N45" t="str">
        <f t="shared" si="33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4.4765027915766351E-2</v>
      </c>
      <c r="K46" s="26">
        <f>'Laskenta vesipatteri 350'!$I$21</f>
        <v>3.3947256204369974E-2</v>
      </c>
      <c r="M46" t="str" cm="1">
        <f t="array" ref="M46">INDEX(G46:K46,1,$C$6)</f>
        <v>-</v>
      </c>
      <c r="N46" t="str">
        <f t="shared" si="33"/>
        <v>-</v>
      </c>
    </row>
    <row r="47" spans="3:118" x14ac:dyDescent="0.1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cm="1">
        <f t="array" ref="M47">IF(D40,INDEX(G47:K47,1,$C$6),TRUE)</f>
        <v>0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25.283953630362426</v>
      </c>
      <c r="K48" s="21">
        <f>'Laskenta vesipatteri 350'!$I$25</f>
        <v>11.034555135508974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34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-5.2087570144280948E-2</v>
      </c>
      <c r="K50" s="24">
        <f>'Laskenta vesipatteri 350'!$I$27</f>
        <v>-1.2952366677256483E-2</v>
      </c>
      <c r="M50" t="str" cm="1">
        <f t="array" ref="M50">INDEX(G50:K50,1,$C$6)</f>
        <v>-</v>
      </c>
      <c r="N50" t="str">
        <f t="shared" si="34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34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3.5161969927418628</v>
      </c>
      <c r="K52" s="24">
        <f>'Laskenta vesipatteri 350'!$I$29</f>
        <v>0.21742188809456706</v>
      </c>
      <c r="M52" t="str" cm="1">
        <f t="array" ref="M52">INDEX(G52:K52,1,$C$6)</f>
        <v>-</v>
      </c>
      <c r="N52" t="str">
        <f t="shared" si="34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-0.42444770621993677</v>
      </c>
      <c r="K53" s="26">
        <f>'Laskenta vesipatteri 350'!$I$30</f>
        <v>-0.1055453788889148</v>
      </c>
      <c r="M53" t="str" cm="1">
        <f t="array" ref="M53">INDEX(G53:K53,1,$C$6)</f>
        <v>-</v>
      </c>
      <c r="N53" t="str">
        <f t="shared" si="34"/>
        <v>-</v>
      </c>
    </row>
    <row r="54" spans="4:16" x14ac:dyDescent="0.15">
      <c r="F54" t="s">
        <v>537</v>
      </c>
      <c r="J54" t="b">
        <f>'Laskenta vesipatteri 250'!$E$31</f>
        <v>1</v>
      </c>
      <c r="K54" t="b">
        <f>'Laskenta vesipatteri 350'!$E$31</f>
        <v>1</v>
      </c>
      <c r="M54" cm="1">
        <f t="array" ref="M54">IF(D40,INDEX(G54:K54,1,$C$6),TRUE)</f>
        <v>0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1028.28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IF(M47,INDEX(KirjastoC!D4:K130,127,KirjastoC!B4),"")</f>
        <v/>
      </c>
      <c r="N59" s="22"/>
      <c r="O59" s="22"/>
      <c r="P59" s="21"/>
    </row>
    <row r="60" spans="4:16" x14ac:dyDescent="0.15">
      <c r="M60" s="14" t="str" cm="1">
        <f t="array" ref="M60">IF(M54,INDEX(KirjastoC!D4:K130,127,KirjastoC!B4),"")</f>
        <v/>
      </c>
      <c r="N60" s="25"/>
      <c r="O60" s="25"/>
      <c r="P60" s="26"/>
    </row>
    <row r="62" spans="4:16" x14ac:dyDescent="0.15">
      <c r="M62" s="10" t="str" cm="1">
        <f t="array" ref="M62">IF(OR($C$6=1,$C$6=2),IF('Laskenta tulopuoli C5'!AZ14,"",INDEX(KirjastoC!D4:K129,126,KirjastoC!B4)),INDEX(KirjastoC!D4:K125,105,KirjastoC!B4))</f>
        <v/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1" r:id="rId6" name="Drop Down 3">
              <controlPr defaultSize="0" autoLine="0" autoPict="0">
                <anchor moveWithCells="1">
                  <from>
                    <xdr:col>22</xdr:col>
                    <xdr:colOff>25400</xdr:colOff>
                    <xdr:row>1</xdr:row>
                    <xdr:rowOff>76200</xdr:rowOff>
                  </from>
                  <to>
                    <xdr:col>23</xdr:col>
                    <xdr:colOff>825500</xdr:colOff>
                    <xdr:row>2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98D3A-E648-4D55-8C94-866ECAADCA26}">
  <dimension ref="C2:AK81"/>
  <sheetViews>
    <sheetView topLeftCell="A34" zoomScaleNormal="100" workbookViewId="0">
      <selection activeCell="B126" sqref="B126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2433</v>
      </c>
    </row>
    <row r="4" spans="3:24" x14ac:dyDescent="0.15">
      <c r="C4" t="s">
        <v>2418</v>
      </c>
    </row>
    <row r="5" spans="3:24" x14ac:dyDescent="0.15">
      <c r="C5" t="s">
        <v>2420</v>
      </c>
      <c r="D5" t="s">
        <v>2419</v>
      </c>
      <c r="N5" t="s">
        <v>2443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2421</v>
      </c>
      <c r="D6" t="s">
        <v>2061</v>
      </c>
      <c r="N6" t="s">
        <v>2449</v>
      </c>
      <c r="R6" t="s">
        <v>2350</v>
      </c>
      <c r="T6">
        <f>IF($E$9="LÄM-1",50,35)</f>
        <v>35</v>
      </c>
      <c r="U6">
        <f>IF($E$9="LÄM-1",45,30)</f>
        <v>30</v>
      </c>
      <c r="V6">
        <f>IF($E$9="LÄM-1",55,40)</f>
        <v>40</v>
      </c>
      <c r="X6" t="str" cm="1">
        <f t="array" ref="X6">IF($E$9="LÄM-1",INDEX(KirjastoC!$D$4:$K$500,198,KirjastoC!$B$4),IF($E$9=$C$6,INDEX(KirjastoC!$D$4:$K$500,198,KirjastoC!$B$4),""))</f>
        <v/>
      </c>
    </row>
    <row r="7" spans="3:24" ht="11.5" customHeight="1" x14ac:dyDescent="0.15">
      <c r="R7" t="s">
        <v>2351</v>
      </c>
      <c r="T7" s="129" t="str">
        <f>IF($E$9="LÄM-1",30,"25…30")</f>
        <v>25…30</v>
      </c>
      <c r="U7">
        <f>IF($E$9="LÄM-1",25,20)</f>
        <v>20</v>
      </c>
      <c r="V7">
        <f>IF($E$9="LÄM-1",35,35)</f>
        <v>35</v>
      </c>
    </row>
    <row r="8" spans="3:24" x14ac:dyDescent="0.15">
      <c r="C8" s="2" t="s">
        <v>2422</v>
      </c>
      <c r="E8">
        <v>1</v>
      </c>
      <c r="N8">
        <f>'C koodit'!G12</f>
        <v>2</v>
      </c>
      <c r="R8" s="95" t="str" cm="1">
        <f t="array" ref="R8">IF(N8&lt;3,INDEX(KirjastoC!$D$4:$K$500,196,KirjastoC!$B$4),"")</f>
        <v>Valitussa mallissa ei vesikiertoista lämmityspatteria</v>
      </c>
    </row>
    <row r="9" spans="3:24" x14ac:dyDescent="0.15">
      <c r="C9" s="2" t="s">
        <v>2423</v>
      </c>
      <c r="E9" t="str">
        <f>IF($N$8=3,C5,IF($N$8=4,C6,"Ei vesipatteria"))</f>
        <v>Ei vesipatteria</v>
      </c>
      <c r="F9" t="str">
        <f>IF($N$8=3,N5,IF($N$8=4,N6,"Ei vesipatteria"))</f>
        <v>Ei vesipatteria</v>
      </c>
    </row>
    <row r="10" spans="3:24" ht="15" x14ac:dyDescent="0.2">
      <c r="C10" s="1098" t="s">
        <v>2439</v>
      </c>
      <c r="D10" s="233" t="str">
        <f>IF($E$9="LÄM-1","Belimo C215Q-J, säätöasento 4 (kv = 1.5)","Belimo C220Q-K, säätöasento N (kv = 5.7)")</f>
        <v>Belimo C220Q-K, säätöasento N (kv = 5.7)</v>
      </c>
      <c r="M10" s="2" t="s">
        <v>2438</v>
      </c>
    </row>
    <row r="11" spans="3:24" ht="15" x14ac:dyDescent="0.2">
      <c r="C11" s="1098" t="s">
        <v>2440</v>
      </c>
      <c r="D11" s="129" t="str">
        <f>M74</f>
        <v>-</v>
      </c>
      <c r="M11" t="s">
        <v>2442</v>
      </c>
      <c r="O11" t="str">
        <f>V11</f>
        <v/>
      </c>
      <c r="U11" s="95" t="str" cm="1">
        <f t="array" ref="U11">CONCATENATE(INDEX(KirjastoC!$D$4:$K$500,199,KirjastoC!$B$4),F9)</f>
        <v>Valittu patterimalli soveltuu lämmitysvesille ~Ei vesipatteria</v>
      </c>
      <c r="V11" s="95" t="str">
        <f>IF(E51,U11,"")</f>
        <v/>
      </c>
    </row>
    <row r="12" spans="3:24" x14ac:dyDescent="0.15">
      <c r="M12" t="s">
        <v>486</v>
      </c>
      <c r="O12" t="str">
        <f>V12</f>
        <v>-</v>
      </c>
      <c r="P12" t="s">
        <v>2259</v>
      </c>
      <c r="U12" s="1349">
        <f>E23</f>
        <v>15.864298347042688</v>
      </c>
      <c r="V12" s="95" t="str">
        <f>IF($E$51,U12,"-")</f>
        <v>-</v>
      </c>
    </row>
    <row r="13" spans="3:24" ht="17" x14ac:dyDescent="0.25">
      <c r="C13" s="1098" t="s">
        <v>485</v>
      </c>
      <c r="D13" s="1099"/>
      <c r="E13" s="1112">
        <f>'C-series'!F93</f>
        <v>500</v>
      </c>
      <c r="F13" s="1099" t="s">
        <v>13</v>
      </c>
      <c r="G13" s="1099" t="s">
        <v>2234</v>
      </c>
      <c r="H13" s="1098"/>
      <c r="I13" s="1098" t="s">
        <v>2235</v>
      </c>
      <c r="J13" s="1098"/>
      <c r="K13" s="1098"/>
      <c r="M13" t="s">
        <v>2350</v>
      </c>
      <c r="O13" s="95" t="str">
        <f>IF(E53,"",X6)</f>
        <v/>
      </c>
      <c r="U13" s="314"/>
    </row>
    <row r="14" spans="3:24" ht="17" x14ac:dyDescent="0.25">
      <c r="C14" s="1098" t="s">
        <v>2237</v>
      </c>
      <c r="D14" s="1099"/>
      <c r="E14" s="1112">
        <f>'C-series'!F88</f>
        <v>-5</v>
      </c>
      <c r="F14" s="1099" t="s">
        <v>230</v>
      </c>
      <c r="G14" s="1099">
        <f>1.293*273.15/(E14+273.15)</f>
        <v>1.3171096401267945</v>
      </c>
      <c r="H14" s="1098" t="s">
        <v>2238</v>
      </c>
      <c r="I14" s="1098">
        <f>1005+0.2*E14</f>
        <v>1004</v>
      </c>
      <c r="J14" s="1098" t="s">
        <v>2239</v>
      </c>
      <c r="K14" s="1098"/>
      <c r="M14" t="s">
        <v>2351</v>
      </c>
      <c r="O14" s="95" t="str">
        <f>IF(J53,"",X6)</f>
        <v/>
      </c>
      <c r="U14" s="314"/>
    </row>
    <row r="15" spans="3:24" ht="17" x14ac:dyDescent="0.25">
      <c r="C15" s="1098" t="s">
        <v>2241</v>
      </c>
      <c r="D15" s="1099"/>
      <c r="E15" s="1112">
        <f>'C-series'!F89</f>
        <v>20</v>
      </c>
      <c r="F15" s="1099" t="s">
        <v>230</v>
      </c>
      <c r="G15" s="1099">
        <f>1.293*273.15/(E15+273.15)</f>
        <v>1.2047857752004092</v>
      </c>
      <c r="H15" s="1098" t="s">
        <v>2238</v>
      </c>
      <c r="I15" s="1098">
        <f>1005+0.2*E15</f>
        <v>1009</v>
      </c>
      <c r="J15" s="1098" t="s">
        <v>2239</v>
      </c>
      <c r="K15" s="1098"/>
    </row>
    <row r="16" spans="3:24" ht="15" x14ac:dyDescent="0.2">
      <c r="C16" s="1099"/>
      <c r="D16" s="1099"/>
      <c r="E16" s="1099"/>
      <c r="F16" s="1099"/>
      <c r="G16" s="1099"/>
      <c r="H16" s="1098"/>
      <c r="I16" s="1098"/>
      <c r="J16" s="1098"/>
      <c r="K16" s="1098"/>
      <c r="M16" s="534" t="s">
        <v>497</v>
      </c>
      <c r="N16" s="607"/>
      <c r="O16" s="535"/>
      <c r="P16" s="535"/>
      <c r="Q16" s="535"/>
      <c r="R16" s="535"/>
      <c r="S16" s="536"/>
    </row>
    <row r="17" spans="3:22" ht="15" x14ac:dyDescent="0.2">
      <c r="C17" s="1098" t="s">
        <v>2245</v>
      </c>
      <c r="D17" s="1099"/>
      <c r="E17" s="1099"/>
      <c r="F17" s="1099"/>
      <c r="G17" s="1099"/>
      <c r="H17" s="1098"/>
      <c r="I17" s="1098"/>
      <c r="J17" s="1098"/>
      <c r="K17" s="1098"/>
      <c r="M17" s="137" t="s">
        <v>491</v>
      </c>
      <c r="N17" s="608"/>
      <c r="O17" s="531"/>
      <c r="P17" s="531"/>
      <c r="Q17" s="531"/>
      <c r="R17" s="537" t="str">
        <f>V17</f>
        <v>-</v>
      </c>
      <c r="S17" s="538" t="s">
        <v>509</v>
      </c>
      <c r="U17">
        <f>E19</f>
        <v>50</v>
      </c>
      <c r="V17" t="str">
        <f t="shared" ref="V17:V22" si="0">IF($E$56,U17,"-")</f>
        <v>-</v>
      </c>
    </row>
    <row r="18" spans="3:22" ht="15" x14ac:dyDescent="0.2">
      <c r="C18" s="1098" t="str">
        <f>IF(E9=C5,"Valitulla patterilla lämmitysvedet n.50/30","Valitulla patterilla lämmitysvedet n. 35/20...25")</f>
        <v>Valitulla patterilla lämmitysvedet n. 35/20...25</v>
      </c>
      <c r="D18" s="1099"/>
      <c r="E18" s="1099"/>
      <c r="F18" s="1099"/>
      <c r="G18" s="1099"/>
      <c r="H18" s="1098"/>
      <c r="I18" s="1098"/>
      <c r="J18" s="1098"/>
      <c r="K18" s="1098"/>
      <c r="M18" s="137" t="s">
        <v>492</v>
      </c>
      <c r="N18" s="608"/>
      <c r="O18" s="531"/>
      <c r="P18" s="531"/>
      <c r="Q18" s="531"/>
      <c r="R18" s="537" t="str">
        <f t="shared" ref="R18:R22" si="1">V18</f>
        <v>-</v>
      </c>
      <c r="S18" s="538" t="s">
        <v>509</v>
      </c>
      <c r="U18" s="3">
        <f>E27</f>
        <v>14.893878330564213</v>
      </c>
      <c r="V18" t="str">
        <f t="shared" si="0"/>
        <v>-</v>
      </c>
    </row>
    <row r="19" spans="3:22" ht="17" x14ac:dyDescent="0.25">
      <c r="C19" s="1099" t="s">
        <v>2247</v>
      </c>
      <c r="D19" s="1099"/>
      <c r="E19" s="1112">
        <f>'C-series'!F90</f>
        <v>50</v>
      </c>
      <c r="F19" s="1099" t="s">
        <v>230</v>
      </c>
      <c r="G19" s="1099"/>
      <c r="H19" s="1098" t="s">
        <v>2253</v>
      </c>
      <c r="I19" s="1098">
        <f>(E19+E20)/2-(E15+E14)/2</f>
        <v>32.5</v>
      </c>
      <c r="J19" s="1098"/>
      <c r="K19" s="1098"/>
      <c r="M19" s="137" t="s">
        <v>498</v>
      </c>
      <c r="N19" s="608"/>
      <c r="O19" s="531"/>
      <c r="P19" s="531"/>
      <c r="Q19" s="531"/>
      <c r="R19" s="545" t="str">
        <f t="shared" si="1"/>
        <v>-</v>
      </c>
      <c r="S19" s="538" t="s">
        <v>974</v>
      </c>
      <c r="U19" s="213">
        <f>E28</f>
        <v>0.10795401298441727</v>
      </c>
      <c r="V19" t="str">
        <f t="shared" si="0"/>
        <v>-</v>
      </c>
    </row>
    <row r="20" spans="3:22" ht="17" x14ac:dyDescent="0.25">
      <c r="C20" s="1099" t="s">
        <v>2251</v>
      </c>
      <c r="D20" s="1099"/>
      <c r="E20" s="1112">
        <f>'C-series'!F91</f>
        <v>30</v>
      </c>
      <c r="F20" s="1099" t="s">
        <v>230</v>
      </c>
      <c r="G20" s="1099"/>
      <c r="H20" s="1098" t="s">
        <v>2424</v>
      </c>
      <c r="I20" s="1098">
        <f>AVERAGE(E19:E20)-AVERAGE(E14:E15)</f>
        <v>32.5</v>
      </c>
      <c r="J20" s="1098"/>
      <c r="K20" s="1098"/>
      <c r="M20" s="137" t="s">
        <v>514</v>
      </c>
      <c r="N20" s="608"/>
      <c r="O20" s="531"/>
      <c r="P20" s="531"/>
      <c r="Q20" s="531"/>
      <c r="R20" s="537" t="str">
        <f t="shared" si="1"/>
        <v>-</v>
      </c>
      <c r="S20" s="538" t="s">
        <v>500</v>
      </c>
      <c r="U20" s="314">
        <f>E29</f>
        <v>0.21088978996904817</v>
      </c>
      <c r="V20" t="str">
        <f t="shared" si="0"/>
        <v>-</v>
      </c>
    </row>
    <row r="21" spans="3:22" ht="15" x14ac:dyDescent="0.2">
      <c r="C21" s="1099"/>
      <c r="D21" s="1099"/>
      <c r="E21" s="1099"/>
      <c r="F21" s="1099"/>
      <c r="G21" s="1099"/>
      <c r="J21" s="1098"/>
      <c r="K21" s="1098"/>
      <c r="M21" s="137" t="s">
        <v>556</v>
      </c>
      <c r="N21" s="608"/>
      <c r="O21" s="531"/>
      <c r="P21" s="531"/>
      <c r="Q21" s="531"/>
      <c r="R21" s="537" t="str">
        <f t="shared" si="1"/>
        <v>-</v>
      </c>
      <c r="S21" s="538" t="s">
        <v>500</v>
      </c>
      <c r="U21" s="314" t="str">
        <f>E30</f>
        <v>-</v>
      </c>
      <c r="V21" t="str">
        <f t="shared" si="0"/>
        <v>-</v>
      </c>
    </row>
    <row r="22" spans="3:22" ht="15" x14ac:dyDescent="0.2">
      <c r="C22" s="1099"/>
      <c r="D22" s="1099"/>
      <c r="E22" s="1099"/>
      <c r="F22" s="1099"/>
      <c r="G22" s="1099"/>
      <c r="J22" s="1098"/>
      <c r="K22" s="1098"/>
      <c r="M22" s="543" t="s">
        <v>501</v>
      </c>
      <c r="N22" s="609"/>
      <c r="O22" s="544"/>
      <c r="P22" s="544"/>
      <c r="Q22" s="544"/>
      <c r="R22" s="545" t="str">
        <f t="shared" si="1"/>
        <v>-</v>
      </c>
      <c r="S22" s="546" t="s">
        <v>502</v>
      </c>
      <c r="U22">
        <f>E36</f>
        <v>0.13653381113379423</v>
      </c>
      <c r="V22" t="str">
        <f t="shared" si="0"/>
        <v>-</v>
      </c>
    </row>
    <row r="23" spans="3:22" ht="15" x14ac:dyDescent="0.2">
      <c r="C23" s="1098" t="s">
        <v>2258</v>
      </c>
      <c r="D23" s="1099"/>
      <c r="E23" s="1113">
        <f>IF($E$9=$C$5,'C5 LÄM-1'!T13,'C5 LÄM-2'!T13)</f>
        <v>15.864298347042688</v>
      </c>
      <c r="F23" s="1099" t="s">
        <v>2259</v>
      </c>
      <c r="G23" s="1099"/>
      <c r="H23" s="1098"/>
      <c r="I23" s="1098"/>
      <c r="J23" s="1098"/>
      <c r="K23" s="1098"/>
      <c r="M23" s="1356" t="str">
        <f>V23</f>
        <v/>
      </c>
      <c r="N23" s="529"/>
      <c r="O23" s="531"/>
      <c r="P23" s="531"/>
      <c r="Q23" s="531"/>
      <c r="R23" s="531"/>
      <c r="S23" s="531"/>
      <c r="U23" t="str" cm="1">
        <f t="array" ref="U23">IF(E56,"",INDEX(KirjastoC!$D$4:$K$500,127,KirjastoC!$B$4))</f>
        <v>Ei käyttöalueella. Tarkista mitoitusarvot.</v>
      </c>
      <c r="V23" t="str">
        <f>IF(E51,U23,"")</f>
        <v/>
      </c>
    </row>
    <row r="24" spans="3:22" ht="15" x14ac:dyDescent="0.2">
      <c r="C24" s="1098" t="s">
        <v>2260</v>
      </c>
      <c r="D24" s="1099"/>
      <c r="E24" s="1113">
        <f>IF($E$9=$C$5,'C5 LÄM-1'!T14,'C5 LÄM-2'!T14)</f>
        <v>24.946939165282107</v>
      </c>
      <c r="F24" s="1099" t="s">
        <v>496</v>
      </c>
      <c r="G24" s="1099"/>
      <c r="H24" s="1098"/>
      <c r="I24" s="1098"/>
      <c r="J24" s="1098"/>
      <c r="K24" s="1098"/>
      <c r="M24" s="534" t="s">
        <v>503</v>
      </c>
      <c r="N24" s="607"/>
      <c r="O24" s="535"/>
      <c r="P24" s="535"/>
      <c r="Q24" s="535"/>
      <c r="R24" s="535"/>
      <c r="S24" s="547"/>
    </row>
    <row r="25" spans="3:22" ht="15" x14ac:dyDescent="0.2">
      <c r="C25" s="1099"/>
      <c r="D25" s="1099"/>
      <c r="E25" s="1099"/>
      <c r="F25" s="1099"/>
      <c r="G25" s="1099"/>
      <c r="H25" s="1098"/>
      <c r="I25" s="1098"/>
      <c r="J25" s="1098"/>
      <c r="K25" s="1098"/>
      <c r="M25" s="137" t="s">
        <v>491</v>
      </c>
      <c r="N25" s="608"/>
      <c r="O25" s="531"/>
      <c r="P25" s="531"/>
      <c r="Q25" s="531"/>
      <c r="R25" s="537" t="str">
        <f>V25</f>
        <v>-</v>
      </c>
      <c r="S25" s="538" t="s">
        <v>509</v>
      </c>
      <c r="U25" s="3">
        <f>J27</f>
        <v>34.893878330564213</v>
      </c>
      <c r="V25" t="str">
        <f t="shared" ref="V25:V30" si="2">IF($J$56,U25,"-")</f>
        <v>-</v>
      </c>
    </row>
    <row r="26" spans="3:22" ht="15" x14ac:dyDescent="0.2">
      <c r="C26" s="1105" t="s">
        <v>2435</v>
      </c>
      <c r="D26" s="1099"/>
      <c r="E26" s="1099"/>
      <c r="F26" s="1099"/>
      <c r="G26" s="1099"/>
      <c r="H26" s="1105" t="s">
        <v>2436</v>
      </c>
      <c r="I26" s="1099"/>
      <c r="J26" s="1099"/>
      <c r="K26" s="1099"/>
      <c r="M26" s="137" t="s">
        <v>492</v>
      </c>
      <c r="N26" s="608"/>
      <c r="O26" s="531"/>
      <c r="P26" s="531"/>
      <c r="Q26" s="531"/>
      <c r="R26" s="537" t="str">
        <f t="shared" ref="R26:R32" si="3">V26</f>
        <v>-</v>
      </c>
      <c r="S26" s="538" t="s">
        <v>509</v>
      </c>
      <c r="U26">
        <f>E20</f>
        <v>30</v>
      </c>
      <c r="V26" t="str">
        <f t="shared" si="2"/>
        <v>-</v>
      </c>
    </row>
    <row r="27" spans="3:22" ht="17" x14ac:dyDescent="0.25">
      <c r="C27" s="1098" t="s">
        <v>2251</v>
      </c>
      <c r="D27" s="1099"/>
      <c r="E27" s="1118">
        <f>2*E24-E19+E15+E14</f>
        <v>14.893878330564213</v>
      </c>
      <c r="F27" s="1099" t="s">
        <v>230</v>
      </c>
      <c r="G27" s="1099"/>
      <c r="H27" s="1098" t="s">
        <v>2247</v>
      </c>
      <c r="I27" s="1099"/>
      <c r="J27" s="1119">
        <f>2*E24-E20+E15+E14</f>
        <v>34.893878330564213</v>
      </c>
      <c r="K27" s="1099" t="s">
        <v>230</v>
      </c>
      <c r="M27" s="137" t="s">
        <v>498</v>
      </c>
      <c r="N27" s="608"/>
      <c r="O27" s="531"/>
      <c r="P27" s="531"/>
      <c r="Q27" s="531"/>
      <c r="R27" s="545" t="str">
        <f t="shared" si="3"/>
        <v>-</v>
      </c>
      <c r="S27" s="538" t="s">
        <v>974</v>
      </c>
      <c r="U27" s="213">
        <f>J28</f>
        <v>0.77440558562024442</v>
      </c>
      <c r="V27" t="str">
        <f t="shared" si="2"/>
        <v>-</v>
      </c>
    </row>
    <row r="28" spans="3:22" ht="15" x14ac:dyDescent="0.2">
      <c r="C28" s="1098" t="s">
        <v>498</v>
      </c>
      <c r="D28" s="1099"/>
      <c r="E28" s="1120">
        <f>E23/(E19-E27)/4.186</f>
        <v>0.10795401298441727</v>
      </c>
      <c r="F28" s="1099" t="s">
        <v>13</v>
      </c>
      <c r="G28" s="1099"/>
      <c r="H28" s="1098" t="s">
        <v>498</v>
      </c>
      <c r="I28" s="1099"/>
      <c r="J28" s="1121">
        <f>E23/(J27-E20)/4.186</f>
        <v>0.77440558562024442</v>
      </c>
      <c r="K28" s="1099" t="s">
        <v>13</v>
      </c>
      <c r="M28" s="137" t="s">
        <v>514</v>
      </c>
      <c r="N28" s="608"/>
      <c r="O28" s="531"/>
      <c r="P28" s="531"/>
      <c r="Q28" s="531"/>
      <c r="R28" s="537" t="str">
        <f t="shared" si="3"/>
        <v>-</v>
      </c>
      <c r="S28" s="538" t="s">
        <v>500</v>
      </c>
      <c r="U28" s="314">
        <f>J29</f>
        <v>8.6936835270015429</v>
      </c>
      <c r="V28" t="str">
        <f t="shared" si="2"/>
        <v>-</v>
      </c>
    </row>
    <row r="29" spans="3:22" ht="15" x14ac:dyDescent="0.2">
      <c r="C29" s="1098" t="s">
        <v>514</v>
      </c>
      <c r="D29" s="1099"/>
      <c r="E29" s="1122">
        <f>IF($E$9=$C$5,'C5 LÄM-1'!T19,'C5 LÄM-2'!T19)</f>
        <v>0.21088978996904817</v>
      </c>
      <c r="F29" s="1099" t="s">
        <v>500</v>
      </c>
      <c r="G29" s="1099"/>
      <c r="H29" s="1098" t="s">
        <v>514</v>
      </c>
      <c r="I29" s="1099"/>
      <c r="J29" s="1122">
        <f>IF($E$9=$C$5,'C5 LÄM-1'!Y19,'C5 LÄM-2'!Y19)</f>
        <v>8.6936835270015429</v>
      </c>
      <c r="K29" s="1099" t="s">
        <v>500</v>
      </c>
      <c r="M29" s="137" t="s">
        <v>556</v>
      </c>
      <c r="N29" s="608"/>
      <c r="O29" s="531"/>
      <c r="P29" s="531"/>
      <c r="Q29" s="531"/>
      <c r="R29" s="537" t="str">
        <f t="shared" si="3"/>
        <v>-</v>
      </c>
      <c r="S29" s="538" t="s">
        <v>500</v>
      </c>
      <c r="U29" s="314" t="str">
        <f>J30</f>
        <v>-</v>
      </c>
      <c r="V29" t="str">
        <f t="shared" si="2"/>
        <v>-</v>
      </c>
    </row>
    <row r="30" spans="3:22" ht="15" x14ac:dyDescent="0.2">
      <c r="C30" s="1098" t="s">
        <v>2441</v>
      </c>
      <c r="D30" s="1099"/>
      <c r="E30" s="1122" t="str">
        <f>IF(ISNUMBER(D11),(E28*3.6/D11)^2*100,"-")</f>
        <v>-</v>
      </c>
      <c r="F30" s="1099" t="s">
        <v>500</v>
      </c>
      <c r="G30" s="1099"/>
      <c r="H30" s="1098" t="s">
        <v>2441</v>
      </c>
      <c r="I30" s="1099"/>
      <c r="J30" s="1122" t="str">
        <f>IF(ISNUMBER(D11),(J28*3.6/D11)^2*100,"-")</f>
        <v>-</v>
      </c>
      <c r="K30" s="1099"/>
      <c r="M30" s="543" t="s">
        <v>501</v>
      </c>
      <c r="N30" s="609"/>
      <c r="O30" s="544"/>
      <c r="P30" s="544"/>
      <c r="Q30" s="544"/>
      <c r="R30" s="545" t="str">
        <f t="shared" si="3"/>
        <v>-</v>
      </c>
      <c r="S30" s="546" t="s">
        <v>502</v>
      </c>
      <c r="U30">
        <f>J36</f>
        <v>0.97942209877174125</v>
      </c>
      <c r="V30" t="str">
        <f t="shared" si="2"/>
        <v>-</v>
      </c>
    </row>
    <row r="31" spans="3:22" ht="15" x14ac:dyDescent="0.2">
      <c r="C31" s="1099"/>
      <c r="D31" s="1195" t="s">
        <v>2483</v>
      </c>
      <c r="E31" s="1099" t="e">
        <f>36*E28/SQRT(E30)</f>
        <v>#VALUE!</v>
      </c>
      <c r="F31" s="1099"/>
      <c r="G31" s="1099"/>
      <c r="H31" s="1098"/>
      <c r="I31" s="1098"/>
      <c r="J31" s="1098"/>
      <c r="K31" s="1098"/>
      <c r="M31" s="1356" t="str">
        <f>V31</f>
        <v/>
      </c>
      <c r="R31" s="1355" t="str">
        <f t="shared" si="3"/>
        <v/>
      </c>
      <c r="U31" t="str" cm="1">
        <f t="array" ref="U31">IF(J56,"",INDEX(KirjastoC!$D$4:$K$500,127,KirjastoC!$B$4))</f>
        <v>Ei käyttöalueella. Tarkista mitoitusarvot.</v>
      </c>
      <c r="V31" t="str">
        <f>IF(J51,U31,"")</f>
        <v/>
      </c>
    </row>
    <row r="32" spans="3:22" ht="15" x14ac:dyDescent="0.2">
      <c r="C32" s="1105" t="s">
        <v>2434</v>
      </c>
      <c r="H32" s="1105" t="s">
        <v>2434</v>
      </c>
      <c r="M32" s="1357" t="str">
        <f>V32</f>
        <v/>
      </c>
      <c r="R32" s="1379" t="str">
        <f t="shared" si="3"/>
        <v/>
      </c>
      <c r="U32" t="str">
        <f>N74</f>
        <v>-</v>
      </c>
      <c r="V32" t="str">
        <f>IF(E51,U32,"")</f>
        <v/>
      </c>
    </row>
    <row r="33" spans="3:18" ht="15" x14ac:dyDescent="0.2">
      <c r="C33" s="1098" t="s">
        <v>2271</v>
      </c>
      <c r="D33" s="1098"/>
      <c r="E33" s="1339">
        <f>IF($E$9=$C$5,'C5 LÄM-1'!T21,'C5 LÄM-2'!T22)</f>
        <v>13</v>
      </c>
      <c r="F33" s="1098" t="s">
        <v>2272</v>
      </c>
      <c r="G33" s="1098"/>
      <c r="H33" s="1098" t="s">
        <v>2271</v>
      </c>
      <c r="I33" s="1098"/>
      <c r="J33" s="1339">
        <f>IF($E$9=$C$5,'C5 LÄM-1'!Y21,'C5 LÄM-2'!Y22)</f>
        <v>13</v>
      </c>
      <c r="K33" s="1098" t="s">
        <v>2272</v>
      </c>
    </row>
    <row r="34" spans="3:18" ht="15" x14ac:dyDescent="0.2">
      <c r="C34" s="1098" t="s">
        <v>2275</v>
      </c>
      <c r="D34" s="1098"/>
      <c r="E34" s="1099">
        <f>E28/E33</f>
        <v>8.3041548449551746E-3</v>
      </c>
      <c r="F34" s="1098" t="s">
        <v>13</v>
      </c>
      <c r="G34" s="1098"/>
      <c r="H34" s="1098" t="s">
        <v>2275</v>
      </c>
      <c r="I34" s="1098"/>
      <c r="J34" s="1099">
        <f>J28/J33</f>
        <v>5.9569660432326491E-2</v>
      </c>
      <c r="K34" s="1098" t="s">
        <v>13</v>
      </c>
    </row>
    <row r="35" spans="3:18" ht="15" x14ac:dyDescent="0.2">
      <c r="C35" s="1098" t="s">
        <v>2278</v>
      </c>
      <c r="D35" s="1098"/>
      <c r="E35" s="1127">
        <f>9.52-2*0.36</f>
        <v>8.7999999999999989</v>
      </c>
      <c r="F35" s="1098" t="s">
        <v>2279</v>
      </c>
      <c r="G35" s="1098"/>
      <c r="H35" s="1098" t="s">
        <v>2278</v>
      </c>
      <c r="I35" s="1098"/>
      <c r="J35" s="1127">
        <f>9.52-2*0.36</f>
        <v>8.7999999999999989</v>
      </c>
      <c r="K35" s="1098" t="s">
        <v>2279</v>
      </c>
      <c r="M35" t="s">
        <v>2437</v>
      </c>
      <c r="Q35" s="3">
        <f>IF($E$9=$C$5,'C5 LÄM-1'!AC4,IF('C5 Lämmitys'!$E$9='C5 Lämmitys'!$C$6,'C5 LÄM-2'!AC4,0))</f>
        <v>0</v>
      </c>
      <c r="R35" t="s">
        <v>14</v>
      </c>
    </row>
    <row r="36" spans="3:18" ht="15" x14ac:dyDescent="0.2">
      <c r="C36" s="1098" t="s">
        <v>501</v>
      </c>
      <c r="D36" s="1098"/>
      <c r="E36" s="1099">
        <f>E34/1000/(PI()*(E35/1000/2)^2)</f>
        <v>0.13653381113379423</v>
      </c>
      <c r="F36" s="1098" t="s">
        <v>502</v>
      </c>
      <c r="G36" s="1098"/>
      <c r="H36" s="1098" t="s">
        <v>501</v>
      </c>
      <c r="I36" s="1098"/>
      <c r="J36" s="1099">
        <f>J34/1000/(PI()*(J35/1000/2)^2)</f>
        <v>0.97942209877174125</v>
      </c>
      <c r="K36" s="1098" t="s">
        <v>502</v>
      </c>
      <c r="M36" t="s">
        <v>2461</v>
      </c>
      <c r="Q36" s="3">
        <f>Q35-'C5 LÄM-1'!AC4</f>
        <v>-16.959531830783696</v>
      </c>
      <c r="R36" t="s">
        <v>14</v>
      </c>
    </row>
    <row r="37" spans="3:18" ht="15" x14ac:dyDescent="0.2">
      <c r="C37" s="1098" t="s">
        <v>2283</v>
      </c>
      <c r="D37" s="1098"/>
      <c r="E37" s="1131">
        <f>1000*E36*E35/1000/0.0007</f>
        <v>1716.4250542534128</v>
      </c>
      <c r="F37" s="1098"/>
      <c r="G37" s="1098"/>
      <c r="H37" s="1098" t="s">
        <v>2283</v>
      </c>
      <c r="I37" s="1098"/>
      <c r="J37" s="1131">
        <f>1000*J36*J35/1000/0.0007</f>
        <v>12312.734955987604</v>
      </c>
      <c r="K37" s="1098"/>
    </row>
    <row r="39" spans="3:18" ht="15" x14ac:dyDescent="0.2">
      <c r="C39" s="1098" t="s">
        <v>2427</v>
      </c>
    </row>
    <row r="40" spans="3:18" ht="15" x14ac:dyDescent="0.2">
      <c r="C40" s="1098" t="s">
        <v>2428</v>
      </c>
      <c r="E40" s="1340">
        <v>2</v>
      </c>
      <c r="F40" t="s">
        <v>13</v>
      </c>
    </row>
    <row r="41" spans="3:18" ht="15" x14ac:dyDescent="0.2">
      <c r="C41" s="1098" t="s">
        <v>2429</v>
      </c>
      <c r="E41" s="1340">
        <v>60</v>
      </c>
      <c r="F41" t="s">
        <v>500</v>
      </c>
    </row>
    <row r="42" spans="3:18" ht="15" x14ac:dyDescent="0.2">
      <c r="C42" s="1098" t="s">
        <v>2431</v>
      </c>
      <c r="E42" s="1340">
        <v>2000</v>
      </c>
    </row>
    <row r="49" spans="3:37" ht="14" thickBot="1" x14ac:dyDescent="0.2">
      <c r="M49" s="2" t="s">
        <v>2641</v>
      </c>
    </row>
    <row r="50" spans="3:37" ht="15" x14ac:dyDescent="0.2">
      <c r="C50" s="1105" t="s">
        <v>2425</v>
      </c>
      <c r="H50" s="1105" t="s">
        <v>2425</v>
      </c>
      <c r="M50" s="1380" t="s">
        <v>2633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1"/>
    </row>
    <row r="51" spans="3:37" ht="15" x14ac:dyDescent="0.2">
      <c r="C51" s="1105" t="s">
        <v>2444</v>
      </c>
      <c r="E51" s="95" t="b">
        <f>IF($N$8&gt;2,TRUE,FALSE)</f>
        <v>0</v>
      </c>
      <c r="H51" s="1105" t="s">
        <v>2444</v>
      </c>
      <c r="J51" s="95" t="b">
        <f>IF($N$8&gt;2,TRUE,FALSE)</f>
        <v>0</v>
      </c>
      <c r="M51" s="232"/>
      <c r="AK51" s="364"/>
    </row>
    <row r="52" spans="3:37" ht="15" x14ac:dyDescent="0.2">
      <c r="C52" s="1098" t="s">
        <v>2426</v>
      </c>
      <c r="E52" s="95" t="b">
        <f>IF(E28&lt;=E40,TRUE,FALSE)</f>
        <v>1</v>
      </c>
      <c r="H52" s="1098" t="s">
        <v>2426</v>
      </c>
      <c r="J52" s="95" t="b">
        <f>IF(J28&lt;=E40,TRUE,FALSE)</f>
        <v>1</v>
      </c>
      <c r="M52" s="232" t="str" cm="1">
        <f t="array" ref="M52">INDEX(KirjastoC!$D$4:$K$500,202,KirjastoC!$B$4)</f>
        <v>* Ei valittuna säätöventtiiliä ja toimilaitetta / lämmitysryhmää</v>
      </c>
      <c r="AK52" s="364"/>
    </row>
    <row r="53" spans="3:37" ht="15" x14ac:dyDescent="0.2">
      <c r="C53" s="1098" t="s">
        <v>2450</v>
      </c>
      <c r="E53" s="95" t="b">
        <f>IF(AND(E19&gt;=U6,E19&lt;=V6),TRUE,FALSE)</f>
        <v>0</v>
      </c>
      <c r="H53" s="1098" t="s">
        <v>2451</v>
      </c>
      <c r="J53" s="95" t="b">
        <f>IF(AND(E20&gt;=U7,E20&lt;=V7),TRUE,FALSE)</f>
        <v>1</v>
      </c>
      <c r="M53" s="232" t="str" cm="1">
        <f t="array" ref="M53">INDEX(KirjastoC!$D$4:$K$500,203,KirjastoC!$B$4)</f>
        <v>* Toimituksessa: Jälkilämmityksen 2-tieventtiili ja toimilaite - patterin 50/30 mukaan (kvs = 1,5).</v>
      </c>
      <c r="AK53" s="364"/>
    </row>
    <row r="54" spans="3:37" ht="15" x14ac:dyDescent="0.2">
      <c r="C54" s="1098" t="s">
        <v>2430</v>
      </c>
      <c r="E54" s="95" t="b">
        <f>IF(ISERROR(E29),FALSE,IF(E29&lt;=E41,TRUE,FALSE))</f>
        <v>1</v>
      </c>
      <c r="H54" s="1098" t="s">
        <v>2430</v>
      </c>
      <c r="J54" s="95" t="b">
        <f>IF(ISERROR(J29),FALSE,IF(J29&lt;=E41,TRUE,FALSE))</f>
        <v>1</v>
      </c>
      <c r="M54" s="232" t="str" cm="1">
        <f t="array" ref="M54">INDEX(KirjastoC!$D$4:$K$500,204,KirjastoC!$B$4)</f>
        <v>* Toimituksessa: Jälkilämmityksen pumppuryhmä 50/30 kasattuna ja eristettynä (kvs = 1,5).</v>
      </c>
      <c r="AK54" s="364"/>
    </row>
    <row r="55" spans="3:37" ht="15" x14ac:dyDescent="0.2">
      <c r="C55" s="1098" t="s">
        <v>2432</v>
      </c>
      <c r="E55" s="95" t="b">
        <f>IF(E37&gt;=E42,TRUE,FALSE)</f>
        <v>0</v>
      </c>
      <c r="H55" s="1098" t="s">
        <v>2432</v>
      </c>
      <c r="J55" s="95" t="b">
        <f>IF(J37&gt;=E42,TRUE,FALSE)</f>
        <v>1</v>
      </c>
      <c r="M55" s="232" t="str" cm="1">
        <f t="array" ref="M55">INDEX(KirjastoC!$D$4:$K$500,205,KirjastoC!$B$4)</f>
        <v>* Toimituksessa: Jälkilämmityksen 2-tieventtiili ja toimilaite - patterin 35/25 - 35/30 mukaan (kvs = 5,7).</v>
      </c>
      <c r="AK55" s="364"/>
    </row>
    <row r="56" spans="3:37" ht="15" x14ac:dyDescent="0.2">
      <c r="C56" s="1098" t="s">
        <v>2107</v>
      </c>
      <c r="E56" s="278" t="b">
        <f>IF(AND(E51,E52,E53,E54,E55),TRUE,FALSE)</f>
        <v>0</v>
      </c>
      <c r="H56" s="1098" t="s">
        <v>2107</v>
      </c>
      <c r="J56" s="278" t="b">
        <f>IF(AND(J51,J52,J53,J54,J55),TRUE,FALSE)</f>
        <v>0</v>
      </c>
      <c r="M56" s="232" t="str" cm="1">
        <f t="array" ref="M56">INDEX(KirjastoC!$D$4:$K$500,206,KirjastoC!$B$4)</f>
        <v>* Toimituksessa: Jälkilämmityksen pumppuryhmä 35/25 - 35/30 kasattuna ja eristettynä (kvs = 5,7).</v>
      </c>
      <c r="AK56" s="364"/>
    </row>
    <row r="57" spans="3:37" x14ac:dyDescent="0.15">
      <c r="M57" s="232"/>
      <c r="AK57" s="364"/>
    </row>
    <row r="58" spans="3:37" x14ac:dyDescent="0.15">
      <c r="M58" s="232" t="s">
        <v>2634</v>
      </c>
      <c r="AK58" s="364"/>
    </row>
    <row r="59" spans="3:37" x14ac:dyDescent="0.15">
      <c r="M59" s="232">
        <f>'C koodit'!G12</f>
        <v>2</v>
      </c>
      <c r="N59" t="str">
        <f>'C-selection'!AL12</f>
        <v>12 = Electric, Jälkilämmityspaketti 2: Sulakekoko 400VAC 3x25A, max ottoteho 14,4 kW - Oma jälkilämmityksen syöttö (malleihin C5, Cxx),  Vakiotoimitus konekoossa C5 Electric jos ei muuta pyydetty</v>
      </c>
      <c r="AK59" s="364"/>
    </row>
    <row r="60" spans="3:37" x14ac:dyDescent="0.15">
      <c r="M60" s="232">
        <f>'C koodit'!H12</f>
        <v>3</v>
      </c>
      <c r="N60" t="str">
        <f>'C-selection'!AL13</f>
        <v>1 = Electric, Vakiona valitun teholuokan mukaiset varusteet (Huom! Electric malleissa jälkilämmityksen oma sähkönsyöttö)</v>
      </c>
      <c r="AK60" s="364"/>
    </row>
    <row r="61" spans="3:37" x14ac:dyDescent="0.15">
      <c r="M61" s="232"/>
      <c r="AK61" s="364"/>
    </row>
    <row r="62" spans="3:37" x14ac:dyDescent="0.15">
      <c r="M62" s="1381" t="s">
        <v>2635</v>
      </c>
      <c r="O62" s="2">
        <v>3</v>
      </c>
      <c r="AK62" s="364"/>
    </row>
    <row r="63" spans="3:37" x14ac:dyDescent="0.15">
      <c r="M63" s="232" t="s">
        <v>393</v>
      </c>
      <c r="N63" t="str">
        <f>M52</f>
        <v>* Ei valittuna säätöventtiiliä ja toimilaitetta / lämmitysryhmää</v>
      </c>
      <c r="AK63" s="364"/>
    </row>
    <row r="64" spans="3:37" x14ac:dyDescent="0.15">
      <c r="M64" s="232">
        <v>1.5</v>
      </c>
      <c r="N64" t="str">
        <f>M53</f>
        <v>* Toimituksessa: Jälkilämmityksen 2-tieventtiili ja toimilaite - patterin 50/30 mukaan (kvs = 1,5).</v>
      </c>
      <c r="AK64" s="364"/>
    </row>
    <row r="65" spans="13:37" x14ac:dyDescent="0.15">
      <c r="M65" s="232">
        <v>1.5</v>
      </c>
      <c r="N65" t="str">
        <f>M54</f>
        <v>* Toimituksessa: Jälkilämmityksen pumppuryhmä 50/30 kasattuna ja eristettynä (kvs = 1,5).</v>
      </c>
      <c r="AK65" s="364"/>
    </row>
    <row r="66" spans="13:37" x14ac:dyDescent="0.15">
      <c r="M66" s="232"/>
      <c r="AK66" s="364"/>
    </row>
    <row r="67" spans="13:37" x14ac:dyDescent="0.15">
      <c r="M67" s="1381" t="s">
        <v>2635</v>
      </c>
      <c r="O67" s="2">
        <v>4</v>
      </c>
      <c r="AK67" s="364"/>
    </row>
    <row r="68" spans="13:37" x14ac:dyDescent="0.15">
      <c r="M68" s="232" t="s">
        <v>393</v>
      </c>
      <c r="N68" t="str">
        <f>M52</f>
        <v>* Ei valittuna säätöventtiiliä ja toimilaitetta / lämmitysryhmää</v>
      </c>
      <c r="AK68" s="364"/>
    </row>
    <row r="69" spans="13:37" x14ac:dyDescent="0.15">
      <c r="M69" s="232">
        <v>5.7</v>
      </c>
      <c r="N69" t="str">
        <f>M55</f>
        <v>* Toimituksessa: Jälkilämmityksen 2-tieventtiili ja toimilaite - patterin 35/25 - 35/30 mukaan (kvs = 5,7).</v>
      </c>
      <c r="AK69" s="364"/>
    </row>
    <row r="70" spans="13:37" x14ac:dyDescent="0.15">
      <c r="M70" s="232">
        <v>5.7</v>
      </c>
      <c r="N70" t="str">
        <f>M56</f>
        <v>* Toimituksessa: Jälkilämmityksen pumppuryhmä 35/25 - 35/30 kasattuna ja eristettynä (kvs = 5,7).</v>
      </c>
      <c r="AK70" s="364"/>
    </row>
    <row r="71" spans="13:37" x14ac:dyDescent="0.15">
      <c r="M71" s="232"/>
      <c r="AK71" s="364"/>
    </row>
    <row r="72" spans="13:37" x14ac:dyDescent="0.15">
      <c r="M72" s="1381" t="s">
        <v>2636</v>
      </c>
      <c r="AK72" s="364"/>
    </row>
    <row r="73" spans="13:37" x14ac:dyDescent="0.15">
      <c r="M73" s="1381" t="s">
        <v>2637</v>
      </c>
      <c r="N73" s="2" t="s">
        <v>2638</v>
      </c>
      <c r="AK73" s="364"/>
    </row>
    <row r="74" spans="13:37" x14ac:dyDescent="0.15">
      <c r="M74" s="232" t="str" cm="1">
        <f t="array" ref="M74">IF($M$59=$O$62,INDEX(M63:M65,$M$60),IF($M$59=$O$67,INDEX(M68:M70,$M$60),"-"))</f>
        <v>-</v>
      </c>
      <c r="N74" t="str" cm="1">
        <f t="array" ref="N74">IF($M$59=$O$62,INDEX(N63:N65,$M$60),IF($M$59=$O$67,INDEX(N68:N70,$M$60),"-"))</f>
        <v>-</v>
      </c>
      <c r="AK74" s="364"/>
    </row>
    <row r="75" spans="13:37" x14ac:dyDescent="0.15">
      <c r="M75" s="232"/>
      <c r="AK75" s="364"/>
    </row>
    <row r="76" spans="13:37" x14ac:dyDescent="0.15">
      <c r="M76" s="232"/>
      <c r="AK76" s="364"/>
    </row>
    <row r="77" spans="13:37" x14ac:dyDescent="0.15">
      <c r="M77" s="232"/>
      <c r="AK77" s="364"/>
    </row>
    <row r="78" spans="13:37" x14ac:dyDescent="0.15">
      <c r="M78" s="232"/>
      <c r="AK78" s="364"/>
    </row>
    <row r="79" spans="13:37" x14ac:dyDescent="0.15">
      <c r="M79" s="232"/>
      <c r="AK79" s="364"/>
    </row>
    <row r="80" spans="13:37" x14ac:dyDescent="0.15">
      <c r="M80" s="232"/>
      <c r="AK80" s="364"/>
    </row>
    <row r="81" spans="13:37" ht="14" thickBot="1" x14ac:dyDescent="0.2">
      <c r="M81" s="236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9"/>
    </row>
  </sheetData>
  <conditionalFormatting sqref="E37">
    <cfRule type="cellIs" dxfId="62" priority="18" operator="between">
      <formula>2500</formula>
      <formula>4000</formula>
    </cfRule>
    <cfRule type="cellIs" dxfId="61" priority="19" operator="lessThan">
      <formula>2500</formula>
    </cfRule>
    <cfRule type="cellIs" dxfId="60" priority="20" operator="greaterThan">
      <formula>4000</formula>
    </cfRule>
  </conditionalFormatting>
  <conditionalFormatting sqref="E51:E56">
    <cfRule type="containsText" dxfId="59" priority="13" operator="containsText" text="EPÄTOSI">
      <formula>NOT(ISERROR(SEARCH("EPÄTOSI",E51)))</formula>
    </cfRule>
    <cfRule type="containsText" dxfId="58" priority="14" operator="containsText" text="TOSI">
      <formula>NOT(ISERROR(SEARCH("TOSI",E51)))</formula>
    </cfRule>
  </conditionalFormatting>
  <conditionalFormatting sqref="J37">
    <cfRule type="cellIs" dxfId="57" priority="15" operator="between">
      <formula>2500</formula>
      <formula>4000</formula>
    </cfRule>
    <cfRule type="cellIs" dxfId="56" priority="16" operator="lessThan">
      <formula>2500</formula>
    </cfRule>
    <cfRule type="cellIs" dxfId="55" priority="17" operator="greaterThan">
      <formula>4000</formula>
    </cfRule>
  </conditionalFormatting>
  <conditionalFormatting sqref="J51:J56">
    <cfRule type="containsText" dxfId="54" priority="1" operator="containsText" text="EPÄTOSI">
      <formula>NOT(ISERROR(SEARCH("EPÄTOSI",J51)))</formula>
    </cfRule>
    <cfRule type="containsText" dxfId="53" priority="2" operator="containsText" text="TOSI">
      <formula>NOT(ISERROR(SEARCH("TOSI",J51)))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5937" r:id="rId3" name="Drop Down 1">
              <controlPr defaultSize="0" autoLine="0" autoPict="0">
                <anchor moveWithCells="1">
                  <from>
                    <xdr:col>4</xdr:col>
                    <xdr:colOff>25400</xdr:colOff>
                    <xdr:row>6</xdr:row>
                    <xdr:rowOff>63500</xdr:rowOff>
                  </from>
                  <to>
                    <xdr:col>12</xdr:col>
                    <xdr:colOff>241300</xdr:colOff>
                    <xdr:row>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8" r:id="rId4" name="Drop Down 2">
              <controlPr defaultSize="0" autoLine="0" autoPict="0">
                <anchor moveWithCells="1">
                  <from>
                    <xdr:col>12</xdr:col>
                    <xdr:colOff>101600</xdr:colOff>
                    <xdr:row>77</xdr:row>
                    <xdr:rowOff>127000</xdr:rowOff>
                  </from>
                  <to>
                    <xdr:col>29</xdr:col>
                    <xdr:colOff>533400</xdr:colOff>
                    <xdr:row>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9" r:id="rId5" name="Drop Down 3">
              <controlPr defaultSize="0" autoLine="0" autoPict="0">
                <anchor moveWithCells="1">
                  <from>
                    <xdr:col>12</xdr:col>
                    <xdr:colOff>101600</xdr:colOff>
                    <xdr:row>76</xdr:row>
                    <xdr:rowOff>38100</xdr:rowOff>
                  </from>
                  <to>
                    <xdr:col>22</xdr:col>
                    <xdr:colOff>25400</xdr:colOff>
                    <xdr:row>77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255B-92F5-4B0B-B458-AD17CC8AD5C2}">
  <dimension ref="C2:AG97"/>
  <sheetViews>
    <sheetView topLeftCell="A46" zoomScaleNormal="100" workbookViewId="0">
      <selection activeCell="B126" sqref="B126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2433</v>
      </c>
    </row>
    <row r="4" spans="3:24" x14ac:dyDescent="0.15">
      <c r="C4" t="s">
        <v>2418</v>
      </c>
    </row>
    <row r="5" spans="3:24" x14ac:dyDescent="0.15">
      <c r="C5" t="s">
        <v>2336</v>
      </c>
      <c r="D5" t="s">
        <v>2453</v>
      </c>
      <c r="N5" s="39" t="s">
        <v>2365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2405</v>
      </c>
      <c r="D6" t="s">
        <v>2212</v>
      </c>
      <c r="N6" s="39" t="s">
        <v>2407</v>
      </c>
      <c r="R6" t="s">
        <v>2350</v>
      </c>
      <c r="T6">
        <f>IF($E$9="JÄ-1",7,10)</f>
        <v>10</v>
      </c>
      <c r="U6">
        <f>IF($E$9="JÄ-1",5,8)</f>
        <v>8</v>
      </c>
      <c r="V6">
        <f>IF($E$9="JÄ-1",11,12)</f>
        <v>12</v>
      </c>
      <c r="X6" t="str" cm="1">
        <f t="array" ref="X6">IF($E$9="JÄ-1",INDEX(KirjastoC!$D$4:$K$500,198,KirjastoC!$B$4),IF($E$9=$C$6,INDEX(KirjastoC!$D$4:$K$500,198,KirjastoC!$B$4),""))</f>
        <v/>
      </c>
    </row>
    <row r="7" spans="3:24" ht="11.5" customHeight="1" x14ac:dyDescent="0.15">
      <c r="R7" t="s">
        <v>2351</v>
      </c>
      <c r="T7" s="129">
        <f>IF($E$9="JÄ-1",12,18)</f>
        <v>18</v>
      </c>
      <c r="U7">
        <f>IF($E$9="JÄ-1",10,15)</f>
        <v>15</v>
      </c>
      <c r="V7">
        <f>IF($E$9="JÄ-1",16,20)</f>
        <v>20</v>
      </c>
    </row>
    <row r="8" spans="3:24" x14ac:dyDescent="0.15">
      <c r="C8" s="2" t="s">
        <v>2422</v>
      </c>
      <c r="E8">
        <v>1</v>
      </c>
      <c r="N8">
        <f>'C koodit'!I12</f>
        <v>1</v>
      </c>
      <c r="R8" s="95" t="str" cm="1">
        <f t="array" ref="R8">IF(OR(N8&lt;2,N8&gt;3),INDEX(KirjastoC!$D$4:$K$500,197,KirjastoC!$B$4),"")</f>
        <v>Valitussa mallissa ei vesikiertoista jäähdytyspatteria</v>
      </c>
    </row>
    <row r="9" spans="3:24" x14ac:dyDescent="0.15">
      <c r="C9" s="2" t="s">
        <v>2423</v>
      </c>
      <c r="E9" t="str">
        <f>IF($N$8=2,C5,IF($N$8=3,C6,"Ei vesipatteria"))</f>
        <v>Ei vesipatteria</v>
      </c>
      <c r="F9" t="str">
        <f>IF($N$8=2,N5,IF($N$8=3,N6,"Ei vesipatteria"))</f>
        <v>Ei vesipatteria</v>
      </c>
    </row>
    <row r="10" spans="3:24" ht="15" x14ac:dyDescent="0.2">
      <c r="C10" s="1098" t="s">
        <v>2439</v>
      </c>
      <c r="D10" s="233" t="str">
        <f>IF($E$9="JÄ-1","Belimo R3015-4P (kvs = 4.0)","Belimo R3015-2P5 (kvs = 2.5)")</f>
        <v>Belimo R3015-2P5 (kvs = 2.5)</v>
      </c>
      <c r="M10" s="2" t="s">
        <v>2438</v>
      </c>
    </row>
    <row r="11" spans="3:24" ht="15" x14ac:dyDescent="0.2">
      <c r="C11" s="1098" t="s">
        <v>2440</v>
      </c>
      <c r="D11" s="129" t="str">
        <f>M92</f>
        <v>-</v>
      </c>
      <c r="M11" t="s">
        <v>2442</v>
      </c>
      <c r="O11" t="str">
        <f>V11</f>
        <v/>
      </c>
      <c r="U11" s="95" t="str" cm="1">
        <f t="array" ref="U11">CONCATENATE(INDEX(KirjastoC!$D$4:$K$500,200,KirjastoC!$B$4),F9)</f>
        <v>Valittu patterimalli soveltuu jäähdytysvesille ~Ei vesipatteria</v>
      </c>
      <c r="V11" s="95" t="str">
        <f>IF(E58,U11,"")</f>
        <v/>
      </c>
    </row>
    <row r="12" spans="3:24" x14ac:dyDescent="0.15">
      <c r="M12" t="s">
        <v>2456</v>
      </c>
      <c r="O12" t="str">
        <f>V12</f>
        <v>-</v>
      </c>
      <c r="P12" t="s">
        <v>2259</v>
      </c>
      <c r="U12" s="1349">
        <f>E28</f>
        <v>4.847841666293907</v>
      </c>
      <c r="V12" s="95" t="str">
        <f>IF($E$58,U12,"-")</f>
        <v>-</v>
      </c>
    </row>
    <row r="13" spans="3:24" ht="17" x14ac:dyDescent="0.25">
      <c r="C13" s="1098" t="s">
        <v>485</v>
      </c>
      <c r="D13" s="1099"/>
      <c r="E13" s="1112">
        <f>'C-series'!F117</f>
        <v>500</v>
      </c>
      <c r="F13" s="1099" t="s">
        <v>13</v>
      </c>
      <c r="G13" s="1099" t="s">
        <v>2234</v>
      </c>
      <c r="H13" s="1098"/>
      <c r="I13" s="1098" t="s">
        <v>2235</v>
      </c>
      <c r="J13" s="1098"/>
      <c r="K13" s="1098"/>
      <c r="M13" t="s">
        <v>2348</v>
      </c>
      <c r="O13" s="314" t="str">
        <f>V13</f>
        <v>-</v>
      </c>
      <c r="P13" t="s">
        <v>2259</v>
      </c>
      <c r="U13" s="1349">
        <f>E29</f>
        <v>3.8383783633232684</v>
      </c>
      <c r="V13" s="95" t="str">
        <f>IF($E$58,U13,"-")</f>
        <v>-</v>
      </c>
    </row>
    <row r="14" spans="3:24" ht="17" x14ac:dyDescent="0.25">
      <c r="C14" s="1098" t="s">
        <v>2237</v>
      </c>
      <c r="D14" s="1099"/>
      <c r="E14" s="1112">
        <f>'C-series'!F111</f>
        <v>25</v>
      </c>
      <c r="F14" s="1099" t="s">
        <v>230</v>
      </c>
      <c r="G14" s="1099">
        <f>1.293*273.15/(E14+273.15)</f>
        <v>1.1845814187489518</v>
      </c>
      <c r="H14" s="1098" t="s">
        <v>2238</v>
      </c>
      <c r="I14" s="1098">
        <f>1005+0.2*E14</f>
        <v>1010</v>
      </c>
      <c r="J14" s="1098" t="s">
        <v>2239</v>
      </c>
      <c r="K14" s="1098"/>
      <c r="M14" t="s">
        <v>2352</v>
      </c>
      <c r="O14" s="314" t="str">
        <f>V14</f>
        <v>-</v>
      </c>
      <c r="P14" t="s">
        <v>2259</v>
      </c>
      <c r="U14" s="1349">
        <f>E30</f>
        <v>8.686220029617175</v>
      </c>
      <c r="V14" s="95" t="str">
        <f>IF($E$58,U14,"-")</f>
        <v>-</v>
      </c>
    </row>
    <row r="15" spans="3:24" ht="15" x14ac:dyDescent="0.2">
      <c r="C15" s="1098" t="s">
        <v>2387</v>
      </c>
      <c r="D15" s="1099"/>
      <c r="E15" s="1112">
        <f>'C-series'!F112</f>
        <v>65</v>
      </c>
      <c r="F15" s="1099" t="s">
        <v>481</v>
      </c>
      <c r="G15" s="1342">
        <f>'C5 JÄ-1'!AG85</f>
        <v>1.2900585465042545E-2</v>
      </c>
      <c r="H15" s="1098" t="s">
        <v>2390</v>
      </c>
      <c r="I15" s="1098"/>
      <c r="J15" s="1098"/>
      <c r="K15" s="1098"/>
      <c r="M15" t="s">
        <v>2350</v>
      </c>
      <c r="O15" t="str">
        <f>IF(E60,"",X6)</f>
        <v/>
      </c>
      <c r="U15" s="314"/>
    </row>
    <row r="16" spans="3:24" ht="17" x14ac:dyDescent="0.25">
      <c r="C16" s="1098" t="s">
        <v>2241</v>
      </c>
      <c r="D16" s="1099"/>
      <c r="E16" s="1112">
        <f>'C-series'!F113</f>
        <v>17</v>
      </c>
      <c r="F16" s="1099" t="s">
        <v>230</v>
      </c>
      <c r="G16" s="1099">
        <f>1.293*273.15/(E16+273.15)</f>
        <v>1.2172426331207995</v>
      </c>
      <c r="H16" s="1098" t="s">
        <v>2238</v>
      </c>
      <c r="I16" s="1098">
        <f>1005+0.2*E16</f>
        <v>1008.4</v>
      </c>
      <c r="J16" s="1098" t="s">
        <v>2239</v>
      </c>
      <c r="K16" s="1098"/>
      <c r="M16" t="s">
        <v>2351</v>
      </c>
      <c r="O16" t="str">
        <f>IF(J60,"",X6)</f>
        <v/>
      </c>
      <c r="U16" s="314"/>
    </row>
    <row r="17" spans="3:22" ht="15" x14ac:dyDescent="0.2">
      <c r="C17" s="1098" t="s">
        <v>2387</v>
      </c>
      <c r="E17" s="1117">
        <f>'C5 JÄ-1'!Z86</f>
        <v>93.910777333634414</v>
      </c>
      <c r="F17" s="1099" t="s">
        <v>481</v>
      </c>
      <c r="G17" s="1342">
        <f>'C5 JÄ-1'!AG86</f>
        <v>1.1366710238402121E-2</v>
      </c>
      <c r="H17" s="1098" t="s">
        <v>2390</v>
      </c>
      <c r="I17" s="1098"/>
      <c r="J17" s="1098"/>
      <c r="K17" s="1098"/>
      <c r="U17" s="314"/>
    </row>
    <row r="18" spans="3:22" ht="15" x14ac:dyDescent="0.2">
      <c r="C18" s="1099"/>
      <c r="D18" s="1099"/>
      <c r="E18" s="1099"/>
      <c r="F18" s="1099"/>
      <c r="G18" s="1099"/>
      <c r="H18" s="1098"/>
      <c r="I18" s="1098"/>
      <c r="J18" s="1098"/>
      <c r="K18" s="1098"/>
    </row>
    <row r="19" spans="3:22" ht="15" x14ac:dyDescent="0.2">
      <c r="C19" s="1098" t="s">
        <v>2454</v>
      </c>
      <c r="D19" s="1099"/>
      <c r="E19" s="1099"/>
      <c r="F19" s="1099"/>
      <c r="G19" s="1099"/>
      <c r="H19" s="1098"/>
      <c r="I19" s="1098"/>
      <c r="J19" s="1098"/>
      <c r="K19" s="1098"/>
      <c r="M19" s="534" t="s">
        <v>497</v>
      </c>
      <c r="N19" s="607"/>
      <c r="O19" s="535"/>
      <c r="P19" s="535"/>
      <c r="Q19" s="535"/>
      <c r="R19" s="535"/>
      <c r="S19" s="536"/>
    </row>
    <row r="20" spans="3:22" ht="15" x14ac:dyDescent="0.2">
      <c r="C20" s="1098" t="str">
        <f>IF(E9=C5,"Valitulla patterilla jäähdytysvedet n.7/12","Valitulla patterilla jäähdytysvedet n. 10/18")</f>
        <v>Valitulla patterilla jäähdytysvedet n. 10/18</v>
      </c>
      <c r="D20" s="1099"/>
      <c r="E20" s="1099"/>
      <c r="F20" s="1099"/>
      <c r="G20" s="1099"/>
      <c r="H20" s="1098"/>
      <c r="I20" s="1098"/>
      <c r="J20" s="1098"/>
      <c r="K20" s="1098"/>
      <c r="M20" s="137" t="s">
        <v>491</v>
      </c>
      <c r="N20" s="608"/>
      <c r="O20" s="531"/>
      <c r="P20" s="531"/>
      <c r="Q20" s="531"/>
      <c r="R20" s="537" t="str">
        <f>V20</f>
        <v>-</v>
      </c>
      <c r="S20" s="538" t="s">
        <v>509</v>
      </c>
      <c r="U20" s="95">
        <f>E21</f>
        <v>7</v>
      </c>
      <c r="V20" s="95" t="str">
        <f t="shared" ref="V20:V25" si="0">IF($E$64,U20,"-")</f>
        <v>-</v>
      </c>
    </row>
    <row r="21" spans="3:22" ht="17" x14ac:dyDescent="0.25">
      <c r="C21" s="1099" t="s">
        <v>2247</v>
      </c>
      <c r="D21" s="1099"/>
      <c r="E21" s="1112">
        <f>'C-series'!F114</f>
        <v>7</v>
      </c>
      <c r="F21" s="1099" t="s">
        <v>230</v>
      </c>
      <c r="G21" s="1099"/>
      <c r="H21" s="1098" t="s">
        <v>2253</v>
      </c>
      <c r="I21" s="1098">
        <f>(E21+E22)/2-(E16+E14)/2</f>
        <v>-11.5</v>
      </c>
      <c r="J21" s="1098"/>
      <c r="K21" s="1098"/>
      <c r="M21" s="137" t="s">
        <v>492</v>
      </c>
      <c r="N21" s="608"/>
      <c r="O21" s="531"/>
      <c r="P21" s="531"/>
      <c r="Q21" s="531"/>
      <c r="R21" s="537" t="str">
        <f t="shared" ref="R21:R25" si="1">V21</f>
        <v>-</v>
      </c>
      <c r="S21" s="538" t="s">
        <v>509</v>
      </c>
      <c r="U21" s="1358">
        <f>E34</f>
        <v>16.633287950739138</v>
      </c>
      <c r="V21" s="95" t="str">
        <f t="shared" si="0"/>
        <v>-</v>
      </c>
    </row>
    <row r="22" spans="3:22" ht="17" x14ac:dyDescent="0.25">
      <c r="C22" s="1099" t="s">
        <v>2251</v>
      </c>
      <c r="D22" s="1099"/>
      <c r="E22" s="1112">
        <f>'C-series'!F115</f>
        <v>12</v>
      </c>
      <c r="F22" s="1099" t="s">
        <v>230</v>
      </c>
      <c r="G22" s="1099"/>
      <c r="H22" s="1098" t="s">
        <v>2424</v>
      </c>
      <c r="I22" s="1098">
        <f>AVERAGE(E21:E22)-AVERAGE(E14:E16)</f>
        <v>-26.166666666666664</v>
      </c>
      <c r="J22" s="1098"/>
      <c r="K22" s="1098"/>
      <c r="M22" s="137" t="s">
        <v>498</v>
      </c>
      <c r="N22" s="608"/>
      <c r="O22" s="531"/>
      <c r="P22" s="531"/>
      <c r="Q22" s="531"/>
      <c r="R22" s="545" t="str">
        <f t="shared" si="1"/>
        <v>-</v>
      </c>
      <c r="S22" s="538" t="s">
        <v>974</v>
      </c>
      <c r="U22" s="937">
        <f>E35</f>
        <v>0.21540563496108853</v>
      </c>
      <c r="V22" s="95" t="str">
        <f t="shared" si="0"/>
        <v>-</v>
      </c>
    </row>
    <row r="23" spans="3:22" ht="15" x14ac:dyDescent="0.2">
      <c r="C23" s="1099"/>
      <c r="D23" s="1099"/>
      <c r="E23" s="1099"/>
      <c r="F23" s="1099"/>
      <c r="G23" s="1099"/>
      <c r="J23" s="1098"/>
      <c r="K23" s="1098"/>
      <c r="M23" s="137" t="s">
        <v>514</v>
      </c>
      <c r="N23" s="608"/>
      <c r="O23" s="531"/>
      <c r="P23" s="531"/>
      <c r="Q23" s="531"/>
      <c r="R23" s="537" t="str">
        <f t="shared" si="1"/>
        <v>-</v>
      </c>
      <c r="S23" s="538" t="s">
        <v>500</v>
      </c>
      <c r="U23" s="1349">
        <f>E36</f>
        <v>18.01092783263805</v>
      </c>
      <c r="V23" s="95" t="str">
        <f t="shared" si="0"/>
        <v>-</v>
      </c>
    </row>
    <row r="24" spans="3:22" ht="15" x14ac:dyDescent="0.2">
      <c r="C24" s="1098" t="s">
        <v>2382</v>
      </c>
      <c r="D24" s="1099"/>
      <c r="E24" s="1099">
        <f>'C5 JÄ-1'!X93</f>
        <v>17.952310732769277</v>
      </c>
      <c r="F24" s="1099" t="s">
        <v>230</v>
      </c>
      <c r="G24" s="1099"/>
      <c r="J24" s="1098"/>
      <c r="K24" s="1098"/>
      <c r="M24" s="137" t="s">
        <v>556</v>
      </c>
      <c r="N24" s="608"/>
      <c r="O24" s="531"/>
      <c r="P24" s="531"/>
      <c r="Q24" s="531"/>
      <c r="R24" s="537" t="str">
        <f t="shared" si="1"/>
        <v>-</v>
      </c>
      <c r="S24" s="538" t="s">
        <v>500</v>
      </c>
      <c r="U24" s="1349" t="str">
        <f>E37</f>
        <v>-</v>
      </c>
      <c r="V24" s="95" t="str">
        <f t="shared" si="0"/>
        <v>-</v>
      </c>
    </row>
    <row r="25" spans="3:22" ht="15" x14ac:dyDescent="0.2">
      <c r="C25" s="1098" t="s">
        <v>2397</v>
      </c>
      <c r="D25" s="1099"/>
      <c r="E25" s="1343">
        <f>IF($E$9=$C$5,'C5 JÄ-1'!AE93,IF($E$9=$C$6,'C5 JÄ-2'!AE93,0))</f>
        <v>0</v>
      </c>
      <c r="F25" s="1099" t="s">
        <v>91</v>
      </c>
      <c r="G25" s="1343">
        <f>IF($E$9=$C$5,'C5 JÄ-1'!AD92,IF($E$9=$C$6,'C5 JÄ-2'!AD92,0))</f>
        <v>0</v>
      </c>
      <c r="J25" s="1098"/>
      <c r="K25" s="1098"/>
      <c r="M25" s="543" t="s">
        <v>501</v>
      </c>
      <c r="N25" s="609"/>
      <c r="O25" s="544"/>
      <c r="P25" s="544"/>
      <c r="Q25" s="544"/>
      <c r="R25" s="545" t="str">
        <f t="shared" si="1"/>
        <v>-</v>
      </c>
      <c r="S25" s="546" t="s">
        <v>502</v>
      </c>
      <c r="U25" s="95">
        <f>E43</f>
        <v>0.70832379284929003</v>
      </c>
      <c r="V25" s="95" t="str">
        <f t="shared" si="0"/>
        <v>-</v>
      </c>
    </row>
    <row r="26" spans="3:22" ht="15" x14ac:dyDescent="0.2">
      <c r="C26" s="1098" t="s">
        <v>2455</v>
      </c>
      <c r="D26" s="1099"/>
      <c r="E26" s="1343">
        <f>IF($E$9=$C$5,'C5 JÄ-1'!AG93,IF($E$9=$C$6,'C5 JÄ-2'!AG93,0))</f>
        <v>0</v>
      </c>
      <c r="F26" s="1099"/>
      <c r="G26" s="1099"/>
      <c r="J26" s="1098"/>
      <c r="K26" s="1098"/>
      <c r="M26" s="1356" t="str">
        <f>V26</f>
        <v/>
      </c>
      <c r="N26" s="529"/>
      <c r="O26" s="531"/>
      <c r="P26" s="531"/>
      <c r="Q26" s="531"/>
      <c r="R26" s="531"/>
      <c r="S26" s="531"/>
      <c r="U26" s="95" t="str" cm="1">
        <f t="array" ref="U26">IF(E64,"",INDEX(KirjastoC!$D$4:$K$500,127,KirjastoC!$B$4))</f>
        <v>Ei käyttöalueella. Tarkista mitoitusarvot.</v>
      </c>
      <c r="V26" s="95" t="str">
        <f>IF(E58,U26,"")</f>
        <v/>
      </c>
    </row>
    <row r="27" spans="3:22" ht="15" x14ac:dyDescent="0.2">
      <c r="C27" s="1099"/>
      <c r="D27" s="1099"/>
      <c r="E27" s="1099"/>
      <c r="F27" s="1099"/>
      <c r="G27" s="1099"/>
      <c r="J27" s="1098"/>
      <c r="K27" s="1098"/>
      <c r="M27" s="534" t="s">
        <v>503</v>
      </c>
      <c r="N27" s="607"/>
      <c r="O27" s="535"/>
      <c r="P27" s="535"/>
      <c r="Q27" s="535"/>
      <c r="R27" s="535"/>
      <c r="S27" s="547"/>
    </row>
    <row r="28" spans="3:22" ht="15" x14ac:dyDescent="0.2">
      <c r="C28" s="1098" t="s">
        <v>2400</v>
      </c>
      <c r="D28" s="1099"/>
      <c r="E28" s="1113">
        <f>E13/1000*AVERAGE(G14,G16)*AVERAGE(I14,I16)*(E14-E16)/1000</f>
        <v>4.847841666293907</v>
      </c>
      <c r="F28" s="1099" t="s">
        <v>2259</v>
      </c>
      <c r="G28" s="1099"/>
      <c r="J28" s="1098"/>
      <c r="K28" s="1098"/>
      <c r="M28" s="137" t="s">
        <v>491</v>
      </c>
      <c r="N28" s="608"/>
      <c r="O28" s="531"/>
      <c r="P28" s="531"/>
      <c r="Q28" s="531"/>
      <c r="R28" s="537" t="str">
        <f>V28</f>
        <v>-</v>
      </c>
      <c r="S28" s="538" t="s">
        <v>509</v>
      </c>
      <c r="U28" s="1358">
        <f>J34</f>
        <v>11.633287950739138</v>
      </c>
      <c r="V28" s="95" t="str">
        <f t="shared" ref="V28:V33" si="2">IF($J$64,U28,"-")</f>
        <v>-</v>
      </c>
    </row>
    <row r="29" spans="3:22" ht="15" x14ac:dyDescent="0.2">
      <c r="C29" s="1098" t="s">
        <v>2348</v>
      </c>
      <c r="D29" s="1099"/>
      <c r="E29" s="1113">
        <f>IF($E$9=C5,'C5 JÄ-1'!AB97,'C5 JÄ-2'!AB97)</f>
        <v>3.8383783633232684</v>
      </c>
      <c r="F29" s="1099" t="s">
        <v>2259</v>
      </c>
      <c r="G29" s="1099"/>
      <c r="J29" s="1098"/>
      <c r="K29" s="1098"/>
      <c r="M29" s="137" t="s">
        <v>492</v>
      </c>
      <c r="N29" s="608"/>
      <c r="O29" s="531"/>
      <c r="P29" s="531"/>
      <c r="Q29" s="531"/>
      <c r="R29" s="537" t="str">
        <f t="shared" ref="R29:R33" si="3">V29</f>
        <v>-</v>
      </c>
      <c r="S29" s="538" t="s">
        <v>509</v>
      </c>
      <c r="U29" s="95">
        <f>E22</f>
        <v>12</v>
      </c>
      <c r="V29" s="95" t="str">
        <f t="shared" si="2"/>
        <v>-</v>
      </c>
    </row>
    <row r="30" spans="3:22" ht="15" x14ac:dyDescent="0.2">
      <c r="C30" s="1098" t="s">
        <v>2401</v>
      </c>
      <c r="D30" s="1099"/>
      <c r="E30" s="1344">
        <f>E28+E29</f>
        <v>8.686220029617175</v>
      </c>
      <c r="F30" s="1099" t="s">
        <v>2259</v>
      </c>
      <c r="G30" s="1099"/>
      <c r="H30" s="1098"/>
      <c r="I30" s="1098"/>
      <c r="J30" s="1098"/>
      <c r="K30" s="1098"/>
      <c r="M30" s="137" t="s">
        <v>498</v>
      </c>
      <c r="N30" s="608"/>
      <c r="O30" s="531"/>
      <c r="P30" s="531"/>
      <c r="Q30" s="531"/>
      <c r="R30" s="545" t="str">
        <f t="shared" si="3"/>
        <v>-</v>
      </c>
      <c r="S30" s="538" t="s">
        <v>974</v>
      </c>
      <c r="U30" s="937">
        <f>J35</f>
        <v>5.6585664746343358</v>
      </c>
      <c r="V30" s="95" t="str">
        <f t="shared" si="2"/>
        <v>-</v>
      </c>
    </row>
    <row r="31" spans="3:22" ht="15" x14ac:dyDescent="0.2">
      <c r="C31" s="1098" t="s">
        <v>2260</v>
      </c>
      <c r="D31" s="1099"/>
      <c r="E31" s="1113">
        <f>IF($E$9=$C$5,'C5 JÄ-1'!X97,'C5 JÄ-2'!X97)</f>
        <v>9.1833560246304309</v>
      </c>
      <c r="F31" s="1099" t="s">
        <v>496</v>
      </c>
      <c r="G31" s="1099"/>
      <c r="H31" s="1098"/>
      <c r="I31" s="1098"/>
      <c r="J31" s="1098"/>
      <c r="K31" s="1098"/>
      <c r="M31" s="137" t="s">
        <v>514</v>
      </c>
      <c r="N31" s="608"/>
      <c r="O31" s="531"/>
      <c r="P31" s="531"/>
      <c r="Q31" s="531"/>
      <c r="R31" s="537" t="str">
        <f t="shared" si="3"/>
        <v>-</v>
      </c>
      <c r="S31" s="538" t="s">
        <v>500</v>
      </c>
      <c r="U31" s="1349">
        <f>J36</f>
        <v>13343.898713454468</v>
      </c>
      <c r="V31" s="95" t="str">
        <f t="shared" si="2"/>
        <v>-</v>
      </c>
    </row>
    <row r="32" spans="3:22" ht="15" x14ac:dyDescent="0.2">
      <c r="C32" s="1099"/>
      <c r="D32" s="1099"/>
      <c r="E32" s="1099"/>
      <c r="F32" s="1099"/>
      <c r="G32" s="1099"/>
      <c r="H32" s="1098"/>
      <c r="I32" s="1098"/>
      <c r="J32" s="1098"/>
      <c r="K32" s="1098"/>
      <c r="M32" s="137" t="s">
        <v>556</v>
      </c>
      <c r="N32" s="608"/>
      <c r="O32" s="531"/>
      <c r="P32" s="531"/>
      <c r="Q32" s="531"/>
      <c r="R32" s="537" t="str">
        <f t="shared" si="3"/>
        <v>-</v>
      </c>
      <c r="S32" s="538" t="s">
        <v>500</v>
      </c>
      <c r="U32" s="1349" t="str">
        <f>J37</f>
        <v>-</v>
      </c>
      <c r="V32" s="95" t="str">
        <f t="shared" si="2"/>
        <v>-</v>
      </c>
    </row>
    <row r="33" spans="3:22" ht="15" x14ac:dyDescent="0.2">
      <c r="C33" s="1105" t="s">
        <v>2435</v>
      </c>
      <c r="D33" s="1099"/>
      <c r="E33" s="1099"/>
      <c r="F33" s="1099"/>
      <c r="G33" s="1099"/>
      <c r="H33" s="1105" t="s">
        <v>2436</v>
      </c>
      <c r="I33" s="1099"/>
      <c r="J33" s="1099"/>
      <c r="K33" s="1099"/>
      <c r="M33" s="543" t="s">
        <v>501</v>
      </c>
      <c r="N33" s="609"/>
      <c r="O33" s="544"/>
      <c r="P33" s="544"/>
      <c r="Q33" s="544"/>
      <c r="R33" s="545" t="str">
        <f t="shared" si="3"/>
        <v>-</v>
      </c>
      <c r="S33" s="546" t="s">
        <v>502</v>
      </c>
      <c r="U33" s="95">
        <f>J43</f>
        <v>18.60720713330857</v>
      </c>
      <c r="V33" s="95" t="str">
        <f t="shared" si="2"/>
        <v>-</v>
      </c>
    </row>
    <row r="34" spans="3:22" ht="17" x14ac:dyDescent="0.25">
      <c r="C34" s="1098" t="s">
        <v>2251</v>
      </c>
      <c r="D34" s="1099"/>
      <c r="E34" s="1118">
        <f>IF($E$9=$C$5,'C5 JÄ-1'!X102,'C5 JÄ-2'!X102)</f>
        <v>16.633287950739138</v>
      </c>
      <c r="F34" s="1099" t="s">
        <v>230</v>
      </c>
      <c r="G34" s="1099"/>
      <c r="H34" s="1098" t="s">
        <v>2247</v>
      </c>
      <c r="I34" s="1099"/>
      <c r="J34" s="1118">
        <f>IF($E$9=$C$5,'C5 JÄ-1'!AC101,'C5 JÄ-2'!AC101)</f>
        <v>11.633287950739138</v>
      </c>
      <c r="K34" s="1099" t="s">
        <v>230</v>
      </c>
      <c r="M34" s="1356" t="str">
        <f>V34</f>
        <v/>
      </c>
      <c r="U34" s="95" t="str" cm="1">
        <f t="array" ref="U34">IF(J64,"",INDEX(KirjastoC!$D$4:$K$500,127,KirjastoC!$B$4))</f>
        <v>Ei käyttöalueella. Tarkista mitoitusarvot.</v>
      </c>
      <c r="V34" s="95" t="str">
        <f>IF(J58,U34,"")</f>
        <v/>
      </c>
    </row>
    <row r="35" spans="3:22" ht="15" x14ac:dyDescent="0.2">
      <c r="C35" s="1098" t="s">
        <v>498</v>
      </c>
      <c r="D35" s="1099"/>
      <c r="E35" s="1118">
        <f>IF($E$9=$C$5,'C5 JÄ-1'!X103,'C5 JÄ-2'!X103)</f>
        <v>0.21540563496108853</v>
      </c>
      <c r="F35" s="1099" t="s">
        <v>13</v>
      </c>
      <c r="G35" s="1099"/>
      <c r="H35" s="1098" t="s">
        <v>498</v>
      </c>
      <c r="I35" s="1099"/>
      <c r="J35" s="1118">
        <f>IF($E$9=$C$5,'C5 JÄ-1'!AC103,'C5 JÄ-2'!AC103)</f>
        <v>5.6585664746343358</v>
      </c>
      <c r="K35" s="1099" t="s">
        <v>13</v>
      </c>
      <c r="M35" s="1357" t="str">
        <f>V35</f>
        <v/>
      </c>
      <c r="U35" s="95" t="str">
        <f>N92</f>
        <v>-</v>
      </c>
      <c r="V35" s="95" t="str">
        <f>IF(E58,U35,"")</f>
        <v/>
      </c>
    </row>
    <row r="36" spans="3:22" ht="15" x14ac:dyDescent="0.2">
      <c r="C36" s="1098" t="s">
        <v>514</v>
      </c>
      <c r="D36" s="1099"/>
      <c r="E36" s="1118">
        <f>IF($E$9=$C$5,'C5 JÄ-1'!X104,'C5 JÄ-2'!X104)</f>
        <v>18.01092783263805</v>
      </c>
      <c r="F36" s="1099" t="s">
        <v>500</v>
      </c>
      <c r="G36" s="1099"/>
      <c r="H36" s="1098" t="s">
        <v>514</v>
      </c>
      <c r="I36" s="1099"/>
      <c r="J36" s="1118">
        <f>IF($E$9=$C$5,'C5 JÄ-1'!AC104,'C5 JÄ-2'!AC104)</f>
        <v>13343.898713454468</v>
      </c>
      <c r="K36" s="1099" t="s">
        <v>500</v>
      </c>
    </row>
    <row r="37" spans="3:22" ht="15" x14ac:dyDescent="0.2">
      <c r="C37" s="1098" t="s">
        <v>2441</v>
      </c>
      <c r="D37" s="1099"/>
      <c r="E37" s="1122" t="str">
        <f>IF(ISNUMBER(D11),(E35*3.6/D11)^2*100,"-")</f>
        <v>-</v>
      </c>
      <c r="F37" s="1099" t="s">
        <v>500</v>
      </c>
      <c r="G37" s="1099"/>
      <c r="H37" s="1098" t="s">
        <v>2441</v>
      </c>
      <c r="I37" s="1099"/>
      <c r="J37" s="1122" t="str">
        <f>IF(ISNUMBER(D11),(J35*3.6/D11)^2*100,"-")</f>
        <v>-</v>
      </c>
      <c r="K37" s="1099"/>
    </row>
    <row r="38" spans="3:22" ht="15" x14ac:dyDescent="0.2">
      <c r="C38" s="1099"/>
      <c r="D38" s="1099"/>
      <c r="E38" s="1099"/>
      <c r="F38" s="1099"/>
      <c r="G38" s="1099"/>
      <c r="H38" s="1098"/>
      <c r="I38" s="1098"/>
      <c r="J38" s="1098"/>
      <c r="K38" s="1098"/>
      <c r="M38" t="s">
        <v>2437</v>
      </c>
      <c r="Q38" s="3">
        <f>IF($E$9=$C$5,'C5 JÄ-1'!AM85,IF('C5 Jäähdytys'!$E$9='C5 Jäähdytys'!$C$6,'C5 JÄ-2'!AM85,0))</f>
        <v>0</v>
      </c>
      <c r="R38" t="s">
        <v>14</v>
      </c>
    </row>
    <row r="39" spans="3:22" ht="15" x14ac:dyDescent="0.2">
      <c r="C39" s="1105" t="s">
        <v>2434</v>
      </c>
      <c r="H39" s="1105" t="s">
        <v>2434</v>
      </c>
      <c r="M39" t="s">
        <v>2461</v>
      </c>
      <c r="Q39" s="3">
        <f>Q38</f>
        <v>0</v>
      </c>
      <c r="R39" t="s">
        <v>14</v>
      </c>
      <c r="S39" t="s">
        <v>2462</v>
      </c>
    </row>
    <row r="40" spans="3:22" ht="15" x14ac:dyDescent="0.2">
      <c r="C40" s="1098" t="s">
        <v>2271</v>
      </c>
      <c r="D40" s="1098"/>
      <c r="E40" s="1339">
        <f>IF($E$9=$C$5,'C5 JÄ-1'!X110,'C5 JÄ-2'!X110)</f>
        <v>5</v>
      </c>
      <c r="F40" s="1098" t="s">
        <v>2272</v>
      </c>
      <c r="G40" s="1098"/>
      <c r="H40" s="1098" t="s">
        <v>2271</v>
      </c>
      <c r="I40" s="1098"/>
      <c r="J40" s="1339">
        <f>E40</f>
        <v>5</v>
      </c>
      <c r="K40" s="1098" t="s">
        <v>2272</v>
      </c>
    </row>
    <row r="41" spans="3:22" ht="15" x14ac:dyDescent="0.2">
      <c r="C41" s="1098" t="s">
        <v>2275</v>
      </c>
      <c r="D41" s="1098"/>
      <c r="E41" s="1099">
        <f>E35/E40</f>
        <v>4.3081126992217708E-2</v>
      </c>
      <c r="F41" s="1098" t="s">
        <v>13</v>
      </c>
      <c r="G41" s="1098"/>
      <c r="H41" s="1098" t="s">
        <v>2275</v>
      </c>
      <c r="I41" s="1098"/>
      <c r="J41" s="1099">
        <f>J35/J40</f>
        <v>1.1317132949268671</v>
      </c>
      <c r="K41" s="1098" t="s">
        <v>13</v>
      </c>
    </row>
    <row r="42" spans="3:22" ht="15" x14ac:dyDescent="0.2">
      <c r="C42" s="1098" t="s">
        <v>2278</v>
      </c>
      <c r="D42" s="1098"/>
      <c r="E42" s="1127">
        <f>9.52-2*0.36</f>
        <v>8.7999999999999989</v>
      </c>
      <c r="F42" s="1098" t="s">
        <v>2279</v>
      </c>
      <c r="G42" s="1098"/>
      <c r="H42" s="1098" t="s">
        <v>2278</v>
      </c>
      <c r="I42" s="1098"/>
      <c r="J42" s="1127">
        <f>9.52-2*0.36</f>
        <v>8.7999999999999989</v>
      </c>
      <c r="K42" s="1098" t="s">
        <v>2279</v>
      </c>
    </row>
    <row r="43" spans="3:22" ht="15" x14ac:dyDescent="0.2">
      <c r="C43" s="1098" t="s">
        <v>501</v>
      </c>
      <c r="D43" s="1098"/>
      <c r="E43" s="1099">
        <f>E41/1000/(PI()*(E42/1000/2)^2)</f>
        <v>0.70832379284929003</v>
      </c>
      <c r="F43" s="1098" t="s">
        <v>502</v>
      </c>
      <c r="G43" s="1098"/>
      <c r="H43" s="1098" t="s">
        <v>501</v>
      </c>
      <c r="I43" s="1098"/>
      <c r="J43" s="1099">
        <f>J41/1000/(PI()*(J42/1000/2)^2)</f>
        <v>18.60720713330857</v>
      </c>
      <c r="K43" s="1098" t="s">
        <v>502</v>
      </c>
    </row>
    <row r="44" spans="3:22" ht="15" x14ac:dyDescent="0.2">
      <c r="C44" s="1098" t="s">
        <v>2283</v>
      </c>
      <c r="D44" s="1098"/>
      <c r="E44" s="1131">
        <f>1000*E43*(E42/1000)/0.0012</f>
        <v>5194.3744808947931</v>
      </c>
      <c r="F44" s="1098"/>
      <c r="G44" s="1098"/>
      <c r="H44" s="1098" t="s">
        <v>2283</v>
      </c>
      <c r="I44" s="1098"/>
      <c r="J44" s="1131">
        <f>1000*J43*J42/1000/0.0012</f>
        <v>136452.85231092951</v>
      </c>
      <c r="K44" s="1098"/>
    </row>
    <row r="46" spans="3:22" ht="15" x14ac:dyDescent="0.2">
      <c r="C46" s="1098" t="s">
        <v>2427</v>
      </c>
    </row>
    <row r="47" spans="3:22" ht="15" x14ac:dyDescent="0.2">
      <c r="C47" s="1098" t="s">
        <v>2428</v>
      </c>
      <c r="E47" s="1340">
        <v>2</v>
      </c>
      <c r="F47" t="s">
        <v>13</v>
      </c>
    </row>
    <row r="48" spans="3:22" ht="15" x14ac:dyDescent="0.2">
      <c r="C48" s="1098" t="s">
        <v>2429</v>
      </c>
      <c r="E48" s="1340">
        <v>60</v>
      </c>
      <c r="F48" t="s">
        <v>500</v>
      </c>
    </row>
    <row r="49" spans="3:11" ht="15" x14ac:dyDescent="0.2">
      <c r="C49" s="1098" t="s">
        <v>2431</v>
      </c>
      <c r="E49" s="1340">
        <v>1500</v>
      </c>
    </row>
    <row r="57" spans="3:11" ht="15" x14ac:dyDescent="0.2">
      <c r="C57" s="1105" t="s">
        <v>2425</v>
      </c>
      <c r="H57" s="1105" t="s">
        <v>2425</v>
      </c>
    </row>
    <row r="58" spans="3:11" ht="15" x14ac:dyDescent="0.2">
      <c r="C58" s="1105" t="s">
        <v>2444</v>
      </c>
      <c r="E58" s="95" t="b">
        <f>IF(AND($N$8&gt;1,$N$8&lt;4),TRUE,FALSE)</f>
        <v>0</v>
      </c>
      <c r="H58" s="1105" t="s">
        <v>2444</v>
      </c>
      <c r="J58" s="95" t="b">
        <f>E58</f>
        <v>0</v>
      </c>
    </row>
    <row r="59" spans="3:11" ht="15" x14ac:dyDescent="0.2">
      <c r="C59" s="1098" t="s">
        <v>2426</v>
      </c>
      <c r="E59" s="95" t="b">
        <f>IF(E35&lt;=E47,TRUE,FALSE)</f>
        <v>1</v>
      </c>
      <c r="H59" s="1098" t="s">
        <v>2426</v>
      </c>
      <c r="J59" s="95" t="b">
        <f>IF(J35&lt;=E47,TRUE,FALSE)</f>
        <v>0</v>
      </c>
    </row>
    <row r="60" spans="3:11" ht="15" x14ac:dyDescent="0.2">
      <c r="C60" s="1098" t="s">
        <v>2450</v>
      </c>
      <c r="E60" s="95" t="b">
        <f>IF(AND(E21&gt;=U6,E21&lt;=V6),TRUE,FALSE)</f>
        <v>0</v>
      </c>
      <c r="H60" s="1098" t="s">
        <v>2451</v>
      </c>
      <c r="J60" s="95" t="b">
        <f>IF(AND(E22&gt;=U7,E22&lt;=V7),TRUE,FALSE)</f>
        <v>0</v>
      </c>
    </row>
    <row r="61" spans="3:11" ht="15" x14ac:dyDescent="0.2">
      <c r="C61" s="1098" t="s">
        <v>2430</v>
      </c>
      <c r="E61" s="95" t="b">
        <f>IF(ISERROR(E36),FALSE,IF(E36&lt;=E48,TRUE,FALSE))</f>
        <v>1</v>
      </c>
      <c r="H61" s="1098" t="s">
        <v>2430</v>
      </c>
      <c r="J61" s="95" t="b">
        <f>IF(ISERROR(J36),FALSE,IF(J36&lt;=E48,TRUE,FALSE))</f>
        <v>0</v>
      </c>
    </row>
    <row r="62" spans="3:11" ht="15" x14ac:dyDescent="0.2">
      <c r="C62" s="1098" t="s">
        <v>2432</v>
      </c>
      <c r="E62" s="95" t="b">
        <f>IF(E44&gt;=E49,TRUE,FALSE)</f>
        <v>1</v>
      </c>
      <c r="H62" s="1098" t="s">
        <v>2432</v>
      </c>
      <c r="J62" s="95" t="b">
        <f>IF(J44&gt;=E49,TRUE,FALSE)</f>
        <v>1</v>
      </c>
    </row>
    <row r="63" spans="3:11" ht="15" x14ac:dyDescent="0.2">
      <c r="C63" s="1098" t="s">
        <v>2459</v>
      </c>
      <c r="E63" s="95" t="b">
        <f>IF(E34&gt;0,TRUE,FALSE)</f>
        <v>1</v>
      </c>
      <c r="H63" s="1098" t="s">
        <v>2460</v>
      </c>
      <c r="J63" s="95" t="b">
        <f>IF(J34&gt;5,TRUE,FALSE)</f>
        <v>1</v>
      </c>
      <c r="K63" t="s">
        <v>2668</v>
      </c>
    </row>
    <row r="64" spans="3:11" ht="15" x14ac:dyDescent="0.2">
      <c r="C64" s="1098" t="s">
        <v>2107</v>
      </c>
      <c r="E64" s="278" t="b">
        <f>IF(AND(E58,E59,E60,E61,E62,E63),TRUE,FALSE)</f>
        <v>0</v>
      </c>
      <c r="H64" s="1098" t="s">
        <v>2107</v>
      </c>
      <c r="J64" s="278" t="b">
        <f>IF(AND(J58,J59,J60,J61,J62,J63),TRUE,FALSE)</f>
        <v>0</v>
      </c>
    </row>
    <row r="67" spans="13:33" ht="14" thickBot="1" x14ac:dyDescent="0.2">
      <c r="M67" s="2" t="s">
        <v>2641</v>
      </c>
    </row>
    <row r="68" spans="13:33" x14ac:dyDescent="0.15">
      <c r="M68" s="228" t="s">
        <v>2633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1"/>
    </row>
    <row r="69" spans="13:33" x14ac:dyDescent="0.15">
      <c r="M69" s="232"/>
      <c r="AG69" s="364"/>
    </row>
    <row r="70" spans="13:33" x14ac:dyDescent="0.15">
      <c r="M70" s="232" t="str" cm="1">
        <f t="array" ref="M70">INDEX(KirjastoC!$D$4:$K$500,207,KirjastoC!$B$4)</f>
        <v>* Ei valittuna säätöventtiiliä ja toimilaitetta / jäähdytysryhmää</v>
      </c>
      <c r="AG70" s="364"/>
    </row>
    <row r="71" spans="13:33" x14ac:dyDescent="0.15">
      <c r="M71" s="232" t="str" cm="1">
        <f t="array" ref="M71">INDEX(KirjastoC!$D$4:$K$500,208,KirjastoC!$B$4)</f>
        <v>* Toimituksessa: Jäähdytyksen 3-tieventtiili ja toimilaite - patterin 7/12 - 10/15 mukaan  (kvs = 4).</v>
      </c>
      <c r="AG71" s="364"/>
    </row>
    <row r="72" spans="13:33" x14ac:dyDescent="0.15">
      <c r="M72" s="232" t="str" cm="1">
        <f t="array" ref="M72">INDEX(KirjastoC!$D$4:$K$500,209,KirjastoC!$B$4)</f>
        <v>* Toimituksessa: Jäähdytyksen pumppuryhmä 7/12 - 10/15 kasattuna ja eristettynä  (kvs = 4).</v>
      </c>
      <c r="AG72" s="364"/>
    </row>
    <row r="73" spans="13:33" x14ac:dyDescent="0.15">
      <c r="M73" s="232" t="str" cm="1">
        <f t="array" ref="M73">INDEX(KirjastoC!$D$4:$K$500,210,KirjastoC!$B$4)</f>
        <v>* Toimituksessa: Jäähdytyksen 3-tieventtiili ja toimilaite - patterin 10/18 mukaan (kvs = 2,5).</v>
      </c>
      <c r="AG73" s="364"/>
    </row>
    <row r="74" spans="13:33" x14ac:dyDescent="0.15">
      <c r="M74" s="232" t="str" cm="1">
        <f t="array" ref="M74">INDEX(KirjastoC!$D$4:$K$500,211,KirjastoC!$B$4)</f>
        <v>* Toimituksessa: Jäähdytyksen pumppuryhmä 10/18 kasattuna ja eristettynä (kvs = 2,5).</v>
      </c>
      <c r="AG74" s="364"/>
    </row>
    <row r="75" spans="13:33" x14ac:dyDescent="0.15">
      <c r="M75" s="232"/>
      <c r="AG75" s="364"/>
    </row>
    <row r="76" spans="13:33" x14ac:dyDescent="0.15">
      <c r="M76" s="232" t="s">
        <v>2634</v>
      </c>
      <c r="AG76" s="364"/>
    </row>
    <row r="77" spans="13:33" x14ac:dyDescent="0.15">
      <c r="M77" s="232">
        <f>'C koodit'!I12</f>
        <v>1</v>
      </c>
      <c r="N77" t="str">
        <f>'C-selection'!AL14</f>
        <v xml:space="preserve">0 = ei sisäistä jäähdytystä. Vakiotoimitus jos ei muuta pyydetty. </v>
      </c>
      <c r="AG77" s="364"/>
    </row>
    <row r="78" spans="13:33" x14ac:dyDescent="0.15">
      <c r="M78" s="232">
        <f>'C koodit'!J12</f>
        <v>1</v>
      </c>
      <c r="N78" t="str">
        <f>'C-selection'!AL15</f>
        <v>0 = Ei jäähdytyksen toimilaitteita tai venttiileitä. Vakiotoimitus jos ei muuta pyydetty.</v>
      </c>
      <c r="AG78" s="364"/>
    </row>
    <row r="79" spans="13:33" x14ac:dyDescent="0.15">
      <c r="M79" s="232"/>
      <c r="AG79" s="364"/>
    </row>
    <row r="80" spans="13:33" x14ac:dyDescent="0.15">
      <c r="M80" s="1381" t="s">
        <v>2635</v>
      </c>
      <c r="O80" s="2">
        <v>2</v>
      </c>
      <c r="AG80" s="364"/>
    </row>
    <row r="81" spans="13:33" x14ac:dyDescent="0.15">
      <c r="M81" s="232" t="s">
        <v>393</v>
      </c>
      <c r="N81" t="str">
        <f>M70</f>
        <v>* Ei valittuna säätöventtiiliä ja toimilaitetta / jäähdytysryhmää</v>
      </c>
      <c r="AG81" s="364"/>
    </row>
    <row r="82" spans="13:33" x14ac:dyDescent="0.15">
      <c r="M82" s="232">
        <v>4</v>
      </c>
      <c r="N82" t="str">
        <f>M71</f>
        <v>* Toimituksessa: Jäähdytyksen 3-tieventtiili ja toimilaite - patterin 7/12 - 10/15 mukaan  (kvs = 4).</v>
      </c>
      <c r="AG82" s="364"/>
    </row>
    <row r="83" spans="13:33" x14ac:dyDescent="0.15">
      <c r="M83" s="232">
        <v>4</v>
      </c>
      <c r="N83" t="str">
        <f>M72</f>
        <v>* Toimituksessa: Jäähdytyksen pumppuryhmä 7/12 - 10/15 kasattuna ja eristettynä  (kvs = 4).</v>
      </c>
      <c r="AG83" s="364"/>
    </row>
    <row r="84" spans="13:33" x14ac:dyDescent="0.15">
      <c r="M84" s="232"/>
      <c r="AG84" s="364"/>
    </row>
    <row r="85" spans="13:33" x14ac:dyDescent="0.15">
      <c r="M85" s="1381" t="s">
        <v>2635</v>
      </c>
      <c r="O85" s="2">
        <v>3</v>
      </c>
      <c r="AG85" s="364"/>
    </row>
    <row r="86" spans="13:33" x14ac:dyDescent="0.15">
      <c r="M86" s="232" t="s">
        <v>393</v>
      </c>
      <c r="N86" t="str">
        <f>M70</f>
        <v>* Ei valittuna säätöventtiiliä ja toimilaitetta / jäähdytysryhmää</v>
      </c>
      <c r="AG86" s="364"/>
    </row>
    <row r="87" spans="13:33" x14ac:dyDescent="0.15">
      <c r="M87" s="232">
        <v>2.5</v>
      </c>
      <c r="N87" t="str">
        <f>M73</f>
        <v>* Toimituksessa: Jäähdytyksen 3-tieventtiili ja toimilaite - patterin 10/18 mukaan (kvs = 2,5).</v>
      </c>
      <c r="AG87" s="364"/>
    </row>
    <row r="88" spans="13:33" x14ac:dyDescent="0.15">
      <c r="M88" s="232">
        <v>2.5</v>
      </c>
      <c r="N88" t="str">
        <f>M74</f>
        <v>* Toimituksessa: Jäähdytyksen pumppuryhmä 10/18 kasattuna ja eristettynä (kvs = 2,5).</v>
      </c>
      <c r="AG88" s="364"/>
    </row>
    <row r="89" spans="13:33" x14ac:dyDescent="0.15">
      <c r="M89" s="232"/>
      <c r="AG89" s="364"/>
    </row>
    <row r="90" spans="13:33" x14ac:dyDescent="0.15">
      <c r="M90" s="1381" t="s">
        <v>2636</v>
      </c>
      <c r="AG90" s="364"/>
    </row>
    <row r="91" spans="13:33" x14ac:dyDescent="0.15">
      <c r="M91" s="1381" t="s">
        <v>2637</v>
      </c>
      <c r="N91" s="2" t="s">
        <v>2638</v>
      </c>
      <c r="AG91" s="364"/>
    </row>
    <row r="92" spans="13:33" x14ac:dyDescent="0.15">
      <c r="M92" s="232" t="str" cm="1">
        <f t="array" ref="M92">IF($M$77=$O$80,INDEX(M81:M83,$M$78),IF($M$77=$O$85,INDEX(M86:M88,$M$78),"-"))</f>
        <v>-</v>
      </c>
      <c r="N92" t="str" cm="1">
        <f t="array" ref="N92">IF($M$77=$O$80,INDEX(N81:N83,$M$78),IF($M$77=$O$85,INDEX(N86:N88,$M$78),"-"))</f>
        <v>-</v>
      </c>
      <c r="AG92" s="364"/>
    </row>
    <row r="93" spans="13:33" x14ac:dyDescent="0.15">
      <c r="M93" s="232"/>
      <c r="AG93" s="364"/>
    </row>
    <row r="94" spans="13:33" x14ac:dyDescent="0.15">
      <c r="M94" s="232"/>
      <c r="AG94" s="364"/>
    </row>
    <row r="95" spans="13:33" x14ac:dyDescent="0.15">
      <c r="M95" s="232"/>
      <c r="AG95" s="364"/>
    </row>
    <row r="96" spans="13:33" x14ac:dyDescent="0.15">
      <c r="M96" s="232"/>
      <c r="AG96" s="364"/>
    </row>
    <row r="97" spans="13:33" ht="14" thickBot="1" x14ac:dyDescent="0.2">
      <c r="M97" s="236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9"/>
    </row>
  </sheetData>
  <conditionalFormatting sqref="E44">
    <cfRule type="cellIs" dxfId="52" priority="20" operator="between">
      <formula>2500</formula>
      <formula>4000</formula>
    </cfRule>
    <cfRule type="cellIs" dxfId="51" priority="21" operator="lessThan">
      <formula>2500</formula>
    </cfRule>
    <cfRule type="cellIs" dxfId="50" priority="22" operator="greaterThan">
      <formula>4000</formula>
    </cfRule>
  </conditionalFormatting>
  <conditionalFormatting sqref="E58:E64">
    <cfRule type="containsText" dxfId="49" priority="15" operator="containsText" text="EPÄTOSI">
      <formula>NOT(ISERROR(SEARCH("EPÄTOSI",E58)))</formula>
    </cfRule>
    <cfRule type="containsText" dxfId="48" priority="16" operator="containsText" text="TOSI">
      <formula>NOT(ISERROR(SEARCH("TOSI",E58)))</formula>
    </cfRule>
  </conditionalFormatting>
  <conditionalFormatting sqref="J44">
    <cfRule type="cellIs" dxfId="47" priority="17" operator="between">
      <formula>2500</formula>
      <formula>4000</formula>
    </cfRule>
    <cfRule type="cellIs" dxfId="46" priority="18" operator="lessThan">
      <formula>2500</formula>
    </cfRule>
    <cfRule type="cellIs" dxfId="45" priority="19" operator="greaterThan">
      <formula>4000</formula>
    </cfRule>
  </conditionalFormatting>
  <conditionalFormatting sqref="J58:J64">
    <cfRule type="containsText" dxfId="44" priority="1" operator="containsText" text="EPÄTOSI">
      <formula>NOT(ISERROR(SEARCH("EPÄTOSI",J58)))</formula>
    </cfRule>
    <cfRule type="containsText" dxfId="43" priority="2" operator="containsText" text="TOSI">
      <formula>NOT(ISERROR(SEARCH("TOSI",J58)))</formula>
    </cfRule>
  </conditionalFormatting>
  <pageMargins left="0.7" right="0.7" top="0.75" bottom="0.75" header="0.3" footer="0.3"/>
  <ignoredErrors>
    <ignoredError sqref="N6" twoDigitTextYear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250" r:id="rId3" name="Drop Down 2">
              <controlPr defaultSize="0" autoLine="0" autoPict="0">
                <anchor moveWithCells="1">
                  <from>
                    <xdr:col>4</xdr:col>
                    <xdr:colOff>50800</xdr:colOff>
                    <xdr:row>6</xdr:row>
                    <xdr:rowOff>101600</xdr:rowOff>
                  </from>
                  <to>
                    <xdr:col>10</xdr:col>
                    <xdr:colOff>368300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1" r:id="rId4" name="Drop Down 3">
              <controlPr defaultSize="0" autoLine="0" autoPict="0">
                <anchor moveWithCells="1">
                  <from>
                    <xdr:col>12</xdr:col>
                    <xdr:colOff>63500</xdr:colOff>
                    <xdr:row>93</xdr:row>
                    <xdr:rowOff>139700</xdr:rowOff>
                  </from>
                  <to>
                    <xdr:col>20</xdr:col>
                    <xdr:colOff>101600</xdr:colOff>
                    <xdr:row>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2" r:id="rId5" name="Drop Down 4">
              <controlPr defaultSize="0" autoLine="0" autoPict="0">
                <anchor moveWithCells="1">
                  <from>
                    <xdr:col>12</xdr:col>
                    <xdr:colOff>76200</xdr:colOff>
                    <xdr:row>95</xdr:row>
                    <xdr:rowOff>38100</xdr:rowOff>
                  </from>
                  <to>
                    <xdr:col>20</xdr:col>
                    <xdr:colOff>114300</xdr:colOff>
                    <xdr:row>96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57555-390D-481D-9F7B-9B7212A67ED6}">
  <dimension ref="A1:AE81"/>
  <sheetViews>
    <sheetView topLeftCell="K1" zoomScaleNormal="100" workbookViewId="0">
      <selection activeCell="B126" sqref="B126"/>
    </sheetView>
  </sheetViews>
  <sheetFormatPr baseColWidth="10" defaultColWidth="9.1640625" defaultRowHeight="15" x14ac:dyDescent="0.2"/>
  <cols>
    <col min="1" max="1" width="28" style="1098" customWidth="1"/>
    <col min="2" max="2" width="9.1640625" style="1098" customWidth="1"/>
    <col min="3" max="3" width="1.6640625" style="1098" customWidth="1"/>
    <col min="4" max="17" width="8.83203125" style="1099" customWidth="1"/>
    <col min="18" max="18" width="12.5" style="1099" customWidth="1"/>
    <col min="19" max="22" width="8.83203125" style="1099" customWidth="1"/>
    <col min="23" max="25" width="8.83203125" style="1098" customWidth="1"/>
    <col min="26" max="28" width="9.1640625" style="1098"/>
    <col min="29" max="29" width="8.5" style="1098" customWidth="1"/>
    <col min="30" max="16384" width="9.1640625" style="1098"/>
  </cols>
  <sheetData>
    <row r="1" spans="1:30" ht="20" thickBot="1" x14ac:dyDescent="0.25">
      <c r="A1" s="1097" t="s">
        <v>2229</v>
      </c>
    </row>
    <row r="2" spans="1:30" ht="12.75" customHeight="1" x14ac:dyDescent="0.2">
      <c r="A2" s="1100" t="s">
        <v>2230</v>
      </c>
      <c r="B2" s="1101"/>
      <c r="C2" s="1101"/>
      <c r="D2" s="1102">
        <v>1</v>
      </c>
      <c r="E2" s="1103">
        <v>2</v>
      </c>
      <c r="F2" s="1103">
        <v>3</v>
      </c>
      <c r="G2" s="1103">
        <v>4</v>
      </c>
      <c r="H2" s="1104">
        <v>5</v>
      </c>
      <c r="I2" s="1102">
        <v>6</v>
      </c>
      <c r="J2" s="1103">
        <v>7</v>
      </c>
      <c r="K2" s="1104">
        <v>8</v>
      </c>
      <c r="L2" s="1102">
        <v>9</v>
      </c>
      <c r="M2" s="1103">
        <v>10</v>
      </c>
      <c r="N2" s="1104">
        <v>11</v>
      </c>
      <c r="R2" s="1105" t="s">
        <v>2231</v>
      </c>
    </row>
    <row r="3" spans="1:30" ht="12.75" customHeight="1" x14ac:dyDescent="0.2">
      <c r="A3" s="1100" t="s">
        <v>2232</v>
      </c>
      <c r="B3" s="1101"/>
      <c r="C3" s="1101"/>
      <c r="D3" s="1106">
        <v>1</v>
      </c>
      <c r="E3" s="1107">
        <v>1</v>
      </c>
      <c r="F3" s="1107">
        <v>1</v>
      </c>
      <c r="G3" s="1107">
        <v>1</v>
      </c>
      <c r="H3" s="1108">
        <v>1</v>
      </c>
      <c r="I3" s="1106">
        <v>1</v>
      </c>
      <c r="J3" s="1107">
        <v>1</v>
      </c>
      <c r="K3" s="1108">
        <v>1</v>
      </c>
      <c r="L3" s="1106">
        <v>1</v>
      </c>
      <c r="M3" s="1107">
        <v>1</v>
      </c>
      <c r="N3" s="1108">
        <v>1</v>
      </c>
    </row>
    <row r="4" spans="1:30" ht="12.75" customHeight="1" x14ac:dyDescent="0.25">
      <c r="A4" s="1100" t="s">
        <v>2233</v>
      </c>
      <c r="B4" s="1101"/>
      <c r="C4" s="1101"/>
      <c r="D4" s="1109"/>
      <c r="E4" s="1110"/>
      <c r="F4" s="1110"/>
      <c r="G4" s="1110"/>
      <c r="H4" s="1111"/>
      <c r="I4" s="1109"/>
      <c r="J4" s="1110"/>
      <c r="K4" s="1111"/>
      <c r="L4" s="1109"/>
      <c r="M4" s="1110"/>
      <c r="N4" s="1111"/>
      <c r="R4" s="1098" t="s">
        <v>485</v>
      </c>
      <c r="T4" s="1112">
        <f>'C5 Lämmitys'!E13</f>
        <v>500</v>
      </c>
      <c r="U4" s="1099" t="s">
        <v>13</v>
      </c>
      <c r="V4" s="1099" t="s">
        <v>2234</v>
      </c>
      <c r="X4" s="1098" t="s">
        <v>2235</v>
      </c>
      <c r="Z4" s="1098" t="s">
        <v>2437</v>
      </c>
      <c r="AC4" s="1119">
        <f>S64*(T4/1000)^Q64</f>
        <v>16.959531830783696</v>
      </c>
      <c r="AD4" s="1098" t="s">
        <v>14</v>
      </c>
    </row>
    <row r="5" spans="1:30" ht="12.75" customHeight="1" x14ac:dyDescent="0.25">
      <c r="A5" s="1100" t="s">
        <v>2236</v>
      </c>
      <c r="B5" s="1101"/>
      <c r="C5" s="1101"/>
      <c r="D5" s="1109"/>
      <c r="E5" s="1110"/>
      <c r="F5" s="1110"/>
      <c r="G5" s="1110"/>
      <c r="H5" s="1111"/>
      <c r="I5" s="1109"/>
      <c r="J5" s="1110"/>
      <c r="K5" s="1111"/>
      <c r="L5" s="1109"/>
      <c r="M5" s="1110"/>
      <c r="N5" s="1111"/>
      <c r="R5" s="1098" t="s">
        <v>2237</v>
      </c>
      <c r="T5" s="1112">
        <f>'C5 Lämmitys'!E14</f>
        <v>-5</v>
      </c>
      <c r="U5" s="1099" t="s">
        <v>230</v>
      </c>
      <c r="V5" s="1099">
        <f>1.293*273.15/(T5+273.15)</f>
        <v>1.3171096401267945</v>
      </c>
      <c r="W5" s="1098" t="s">
        <v>2238</v>
      </c>
      <c r="X5" s="1098">
        <f>1005+0.2*T5</f>
        <v>1004</v>
      </c>
      <c r="Y5" s="1098" t="s">
        <v>2239</v>
      </c>
    </row>
    <row r="6" spans="1:30" ht="12.75" customHeight="1" x14ac:dyDescent="0.25">
      <c r="A6" s="1100" t="s">
        <v>2240</v>
      </c>
      <c r="B6" s="1101"/>
      <c r="C6" s="1101"/>
      <c r="D6" s="1109"/>
      <c r="E6" s="1110"/>
      <c r="F6" s="1110"/>
      <c r="G6" s="1110"/>
      <c r="H6" s="1111"/>
      <c r="I6" s="1109"/>
      <c r="J6" s="1110"/>
      <c r="K6" s="1111"/>
      <c r="L6" s="1109"/>
      <c r="M6" s="1110"/>
      <c r="N6" s="1111"/>
      <c r="R6" s="1098" t="s">
        <v>2241</v>
      </c>
      <c r="T6" s="1112">
        <f>'C5 Lämmitys'!E15</f>
        <v>20</v>
      </c>
      <c r="U6" s="1099" t="s">
        <v>230</v>
      </c>
      <c r="V6" s="1099">
        <f>1.293*273.15/(T6+273.15)</f>
        <v>1.2047857752004092</v>
      </c>
      <c r="W6" s="1098" t="s">
        <v>2238</v>
      </c>
      <c r="X6" s="1098">
        <f>1005+0.2*T6</f>
        <v>1009</v>
      </c>
      <c r="Y6" s="1098" t="s">
        <v>2239</v>
      </c>
    </row>
    <row r="7" spans="1:30" ht="12.75" customHeight="1" x14ac:dyDescent="0.2">
      <c r="A7" s="1100" t="s">
        <v>2242</v>
      </c>
      <c r="B7" s="1101"/>
      <c r="C7" s="1101"/>
      <c r="D7" s="1106" t="s">
        <v>2243</v>
      </c>
      <c r="E7" s="1107" t="s">
        <v>2243</v>
      </c>
      <c r="F7" s="1107" t="s">
        <v>2243</v>
      </c>
      <c r="G7" s="1107" t="s">
        <v>2243</v>
      </c>
      <c r="H7" s="1108" t="s">
        <v>2243</v>
      </c>
      <c r="I7" s="1106" t="s">
        <v>2243</v>
      </c>
      <c r="J7" s="1107" t="s">
        <v>2243</v>
      </c>
      <c r="K7" s="1108" t="s">
        <v>2243</v>
      </c>
      <c r="L7" s="1106" t="s">
        <v>2243</v>
      </c>
      <c r="M7" s="1107" t="s">
        <v>2243</v>
      </c>
      <c r="N7" s="1108" t="s">
        <v>2243</v>
      </c>
    </row>
    <row r="8" spans="1:30" ht="12.75" customHeight="1" x14ac:dyDescent="0.2">
      <c r="A8" s="1100" t="s">
        <v>2244</v>
      </c>
      <c r="B8" s="1101"/>
      <c r="C8" s="1101"/>
      <c r="D8" s="1109"/>
      <c r="E8" s="1110"/>
      <c r="F8" s="1110"/>
      <c r="G8" s="1110"/>
      <c r="H8" s="1111"/>
      <c r="I8" s="1109"/>
      <c r="J8" s="1110"/>
      <c r="K8" s="1111"/>
      <c r="L8" s="1109"/>
      <c r="M8" s="1110"/>
      <c r="N8" s="1111"/>
      <c r="R8" s="1098" t="s">
        <v>2245</v>
      </c>
    </row>
    <row r="9" spans="1:30" ht="12.75" customHeight="1" x14ac:dyDescent="0.25">
      <c r="A9" s="1100" t="s">
        <v>2246</v>
      </c>
      <c r="B9" s="1101"/>
      <c r="C9" s="1101"/>
      <c r="D9" s="1109"/>
      <c r="E9" s="1110"/>
      <c r="F9" s="1110"/>
      <c r="G9" s="1110"/>
      <c r="H9" s="1111"/>
      <c r="I9" s="1109"/>
      <c r="J9" s="1110"/>
      <c r="K9" s="1111"/>
      <c r="L9" s="1109"/>
      <c r="M9" s="1110"/>
      <c r="N9" s="1111"/>
      <c r="R9" s="1099" t="s">
        <v>2247</v>
      </c>
      <c r="T9" s="1112">
        <f>'C5 Lämmitys'!E19</f>
        <v>50</v>
      </c>
      <c r="U9" s="1099" t="s">
        <v>230</v>
      </c>
    </row>
    <row r="10" spans="1:30" ht="12.75" customHeight="1" x14ac:dyDescent="0.25">
      <c r="A10" s="1100" t="s">
        <v>2248</v>
      </c>
      <c r="B10" s="1101"/>
      <c r="C10" s="1101"/>
      <c r="D10" s="1106" t="s">
        <v>2249</v>
      </c>
      <c r="E10" s="1107" t="s">
        <v>2249</v>
      </c>
      <c r="F10" s="1107" t="s">
        <v>2249</v>
      </c>
      <c r="G10" s="1107" t="s">
        <v>2249</v>
      </c>
      <c r="H10" s="1108" t="s">
        <v>2249</v>
      </c>
      <c r="I10" s="1106" t="s">
        <v>2250</v>
      </c>
      <c r="J10" s="1107" t="s">
        <v>2249</v>
      </c>
      <c r="K10" s="1108" t="s">
        <v>2249</v>
      </c>
      <c r="L10" s="1106" t="s">
        <v>2250</v>
      </c>
      <c r="M10" s="1107" t="s">
        <v>2249</v>
      </c>
      <c r="N10" s="1108" t="s">
        <v>2249</v>
      </c>
      <c r="R10" s="1099" t="s">
        <v>2251</v>
      </c>
      <c r="T10" s="1112">
        <f>'C5 Lämmitys'!E20</f>
        <v>30</v>
      </c>
      <c r="U10" s="1099" t="s">
        <v>230</v>
      </c>
    </row>
    <row r="11" spans="1:30" ht="12.75" customHeight="1" x14ac:dyDescent="0.2">
      <c r="A11" s="1100" t="s">
        <v>2252</v>
      </c>
      <c r="B11" s="1101"/>
      <c r="C11" s="1101"/>
      <c r="D11" s="1106" t="s">
        <v>2249</v>
      </c>
      <c r="E11" s="1107" t="s">
        <v>2249</v>
      </c>
      <c r="F11" s="1107" t="s">
        <v>2249</v>
      </c>
      <c r="G11" s="1107" t="s">
        <v>2249</v>
      </c>
      <c r="H11" s="1108" t="s">
        <v>2249</v>
      </c>
      <c r="I11" s="1106" t="s">
        <v>2249</v>
      </c>
      <c r="J11" s="1107" t="s">
        <v>2249</v>
      </c>
      <c r="K11" s="1108" t="s">
        <v>2249</v>
      </c>
      <c r="L11" s="1106" t="s">
        <v>2249</v>
      </c>
      <c r="M11" s="1107" t="s">
        <v>2249</v>
      </c>
      <c r="N11" s="1108" t="s">
        <v>2249</v>
      </c>
      <c r="W11" s="1098" t="s">
        <v>2253</v>
      </c>
      <c r="X11" s="1098">
        <f>(T9+T10)/2-(T6+T5)/2</f>
        <v>32.5</v>
      </c>
    </row>
    <row r="12" spans="1:30" ht="12.75" customHeight="1" x14ac:dyDescent="0.2">
      <c r="A12" s="1100" t="s">
        <v>2254</v>
      </c>
      <c r="B12" s="1101"/>
      <c r="C12" s="1101"/>
      <c r="D12" s="1106" t="s">
        <v>2255</v>
      </c>
      <c r="E12" s="1107" t="s">
        <v>2255</v>
      </c>
      <c r="F12" s="1107" t="s">
        <v>2255</v>
      </c>
      <c r="G12" s="1107" t="s">
        <v>2255</v>
      </c>
      <c r="H12" s="1108" t="s">
        <v>2255</v>
      </c>
      <c r="I12" s="1106" t="s">
        <v>2255</v>
      </c>
      <c r="J12" s="1107" t="s">
        <v>2255</v>
      </c>
      <c r="K12" s="1108" t="s">
        <v>2255</v>
      </c>
      <c r="L12" s="1106" t="s">
        <v>2255</v>
      </c>
      <c r="M12" s="1107" t="s">
        <v>2255</v>
      </c>
      <c r="N12" s="1108" t="s">
        <v>2255</v>
      </c>
      <c r="X12" s="1098">
        <f>AVERAGE(T9:T10)-AVERAGE(T5:T6)</f>
        <v>32.5</v>
      </c>
    </row>
    <row r="13" spans="1:30" ht="12.75" customHeight="1" x14ac:dyDescent="0.2">
      <c r="A13" s="1100" t="s">
        <v>2256</v>
      </c>
      <c r="B13" s="1100" t="s">
        <v>2257</v>
      </c>
      <c r="C13" s="1101"/>
      <c r="D13" s="1109"/>
      <c r="E13" s="1110"/>
      <c r="F13" s="1110"/>
      <c r="G13" s="1110"/>
      <c r="H13" s="1111"/>
      <c r="I13" s="1109"/>
      <c r="J13" s="1110"/>
      <c r="K13" s="1111"/>
      <c r="L13" s="1109"/>
      <c r="M13" s="1110"/>
      <c r="N13" s="1111"/>
      <c r="R13" s="1098" t="s">
        <v>2258</v>
      </c>
      <c r="T13" s="1113">
        <f>T4/1000*AVERAGE(V5:V6)*AVERAGE(X5:X6)*(T6-T5)/1000</f>
        <v>15.864298347042688</v>
      </c>
      <c r="U13" s="1099" t="s">
        <v>2259</v>
      </c>
    </row>
    <row r="14" spans="1:30" ht="12.75" customHeight="1" x14ac:dyDescent="0.2">
      <c r="A14" s="1101"/>
      <c r="B14" s="1101"/>
      <c r="C14" s="1101"/>
      <c r="D14" s="1114"/>
      <c r="E14" s="1115"/>
      <c r="F14" s="1115"/>
      <c r="G14" s="1115"/>
      <c r="H14" s="1116"/>
      <c r="I14" s="1114"/>
      <c r="J14" s="1115"/>
      <c r="K14" s="1116"/>
      <c r="L14" s="1114"/>
      <c r="M14" s="1115"/>
      <c r="N14" s="1116"/>
      <c r="R14" s="1098" t="s">
        <v>2260</v>
      </c>
      <c r="T14" s="1117">
        <f>(T13/$Y$44)^(1/$W$44)</f>
        <v>32.981846782572561</v>
      </c>
      <c r="U14" s="1099" t="s">
        <v>496</v>
      </c>
    </row>
    <row r="15" spans="1:30" ht="12.75" customHeight="1" x14ac:dyDescent="0.2">
      <c r="A15" s="1100" t="s">
        <v>2261</v>
      </c>
      <c r="B15" s="1100" t="s">
        <v>2262</v>
      </c>
      <c r="C15" s="1101"/>
      <c r="D15" s="1106">
        <v>650</v>
      </c>
      <c r="E15" s="1107">
        <v>650</v>
      </c>
      <c r="F15" s="1107">
        <v>650</v>
      </c>
      <c r="G15" s="1107">
        <v>650</v>
      </c>
      <c r="H15" s="1108">
        <v>650</v>
      </c>
      <c r="I15" s="1106">
        <v>650</v>
      </c>
      <c r="J15" s="1107">
        <v>650</v>
      </c>
      <c r="K15" s="1108">
        <v>650</v>
      </c>
      <c r="L15" s="1106">
        <v>650</v>
      </c>
      <c r="M15" s="1107">
        <v>650</v>
      </c>
      <c r="N15" s="1108">
        <v>650</v>
      </c>
    </row>
    <row r="16" spans="1:30" ht="12.75" customHeight="1" x14ac:dyDescent="0.2">
      <c r="A16" s="1100" t="s">
        <v>2263</v>
      </c>
      <c r="B16" s="1100" t="s">
        <v>2262</v>
      </c>
      <c r="C16" s="1101"/>
      <c r="D16" s="1106">
        <v>450</v>
      </c>
      <c r="E16" s="1107">
        <v>450</v>
      </c>
      <c r="F16" s="1107">
        <v>450</v>
      </c>
      <c r="G16" s="1107">
        <v>450</v>
      </c>
      <c r="H16" s="1108">
        <v>450</v>
      </c>
      <c r="I16" s="1106">
        <v>450</v>
      </c>
      <c r="J16" s="1107">
        <v>450</v>
      </c>
      <c r="K16" s="1108">
        <v>450</v>
      </c>
      <c r="L16" s="1106">
        <v>450</v>
      </c>
      <c r="M16" s="1107">
        <v>450</v>
      </c>
      <c r="N16" s="1108">
        <v>450</v>
      </c>
      <c r="R16" s="1098" t="s">
        <v>2264</v>
      </c>
      <c r="W16" s="1098" t="s">
        <v>2265</v>
      </c>
      <c r="X16" s="1099"/>
      <c r="Y16" s="1099"/>
      <c r="Z16" s="1099"/>
    </row>
    <row r="17" spans="1:31" ht="12.75" customHeight="1" x14ac:dyDescent="0.25">
      <c r="A17" s="1100" t="s">
        <v>2266</v>
      </c>
      <c r="B17" s="1100" t="s">
        <v>2262</v>
      </c>
      <c r="C17" s="1101"/>
      <c r="D17" s="1106">
        <v>710</v>
      </c>
      <c r="E17" s="1107">
        <v>710</v>
      </c>
      <c r="F17" s="1107">
        <v>710</v>
      </c>
      <c r="G17" s="1107">
        <v>710</v>
      </c>
      <c r="H17" s="1108">
        <v>710</v>
      </c>
      <c r="I17" s="1106">
        <v>710</v>
      </c>
      <c r="J17" s="1107">
        <v>710</v>
      </c>
      <c r="K17" s="1108">
        <v>710</v>
      </c>
      <c r="L17" s="1106">
        <v>710</v>
      </c>
      <c r="M17" s="1107">
        <v>710</v>
      </c>
      <c r="N17" s="1108">
        <v>710</v>
      </c>
      <c r="R17" s="1099" t="s">
        <v>2251</v>
      </c>
      <c r="T17" s="1118">
        <f>2*T14-T9+T6+T5</f>
        <v>30.963693565145121</v>
      </c>
      <c r="U17" s="1099" t="s">
        <v>230</v>
      </c>
      <c r="W17" s="1099" t="s">
        <v>2247</v>
      </c>
      <c r="X17" s="1099"/>
      <c r="Y17" s="1119">
        <f>2*T14-T10+T6+T5</f>
        <v>50.963693565145121</v>
      </c>
      <c r="Z17" s="1099" t="s">
        <v>230</v>
      </c>
    </row>
    <row r="18" spans="1:31" ht="12.75" customHeight="1" x14ac:dyDescent="0.2">
      <c r="A18" s="1100" t="s">
        <v>2267</v>
      </c>
      <c r="B18" s="1100" t="s">
        <v>2262</v>
      </c>
      <c r="C18" s="1101"/>
      <c r="D18" s="1106">
        <v>450</v>
      </c>
      <c r="E18" s="1107">
        <v>450</v>
      </c>
      <c r="F18" s="1107">
        <v>450</v>
      </c>
      <c r="G18" s="1107">
        <v>450</v>
      </c>
      <c r="H18" s="1108">
        <v>450</v>
      </c>
      <c r="I18" s="1106">
        <v>450</v>
      </c>
      <c r="J18" s="1107">
        <v>450</v>
      </c>
      <c r="K18" s="1108">
        <v>450</v>
      </c>
      <c r="L18" s="1106">
        <v>450</v>
      </c>
      <c r="M18" s="1107">
        <v>450</v>
      </c>
      <c r="N18" s="1108">
        <v>450</v>
      </c>
      <c r="R18" s="1099" t="s">
        <v>498</v>
      </c>
      <c r="T18" s="1120">
        <f>T13/(T9-T17)/4.186</f>
        <v>0.19908519163127744</v>
      </c>
      <c r="U18" s="1099" t="s">
        <v>13</v>
      </c>
      <c r="W18" s="1099" t="s">
        <v>498</v>
      </c>
      <c r="X18" s="1099"/>
      <c r="Y18" s="1121">
        <f>T13/(Y17-T10)/4.186</f>
        <v>0.18078144019601197</v>
      </c>
      <c r="Z18" s="1099" t="s">
        <v>13</v>
      </c>
    </row>
    <row r="19" spans="1:31" ht="12.75" customHeight="1" x14ac:dyDescent="0.2">
      <c r="A19" s="1100" t="s">
        <v>2268</v>
      </c>
      <c r="B19" s="1100" t="s">
        <v>2262</v>
      </c>
      <c r="C19" s="1101"/>
      <c r="D19" s="1106">
        <v>120</v>
      </c>
      <c r="E19" s="1107">
        <v>120</v>
      </c>
      <c r="F19" s="1107">
        <v>120</v>
      </c>
      <c r="G19" s="1107">
        <v>120</v>
      </c>
      <c r="H19" s="1108">
        <v>120</v>
      </c>
      <c r="I19" s="1106">
        <v>120</v>
      </c>
      <c r="J19" s="1107">
        <v>120</v>
      </c>
      <c r="K19" s="1108">
        <v>120</v>
      </c>
      <c r="L19" s="1106">
        <v>120</v>
      </c>
      <c r="M19" s="1107">
        <v>120</v>
      </c>
      <c r="N19" s="1108">
        <v>120</v>
      </c>
      <c r="R19" s="1099" t="s">
        <v>499</v>
      </c>
      <c r="T19" s="1122">
        <f>$U$81*T18^$S$81</f>
        <v>7.0377426315536731</v>
      </c>
      <c r="U19" s="1099" t="s">
        <v>500</v>
      </c>
      <c r="W19" s="1099" t="s">
        <v>499</v>
      </c>
      <c r="X19" s="1099"/>
      <c r="Y19" s="1123">
        <f>$U$81*Y18^$S$81</f>
        <v>5.8164896359916396</v>
      </c>
      <c r="Z19" s="1099" t="s">
        <v>500</v>
      </c>
    </row>
    <row r="20" spans="1:31" ht="12.75" customHeight="1" x14ac:dyDescent="0.2">
      <c r="A20" s="1101"/>
      <c r="B20" s="1101"/>
      <c r="C20" s="1101"/>
      <c r="D20" s="1114"/>
      <c r="E20" s="1115"/>
      <c r="F20" s="1115"/>
      <c r="G20" s="1115"/>
      <c r="H20" s="1116"/>
      <c r="I20" s="1114"/>
      <c r="J20" s="1115"/>
      <c r="K20" s="1116"/>
      <c r="L20" s="1114"/>
      <c r="M20" s="1115"/>
      <c r="N20" s="1116"/>
    </row>
    <row r="21" spans="1:31" ht="12.75" customHeight="1" x14ac:dyDescent="0.2">
      <c r="A21" s="1100" t="s">
        <v>2269</v>
      </c>
      <c r="B21" s="1100" t="s">
        <v>2270</v>
      </c>
      <c r="C21" s="1101"/>
      <c r="D21" s="1106">
        <v>6</v>
      </c>
      <c r="E21" s="1107">
        <v>9</v>
      </c>
      <c r="F21" s="1107">
        <v>12</v>
      </c>
      <c r="G21" s="1107">
        <v>15</v>
      </c>
      <c r="H21" s="1108">
        <v>18</v>
      </c>
      <c r="I21" s="1106">
        <v>7.2</v>
      </c>
      <c r="J21" s="1107">
        <v>9.6</v>
      </c>
      <c r="K21" s="1108">
        <v>12</v>
      </c>
      <c r="L21" s="1106">
        <v>5.4</v>
      </c>
      <c r="M21" s="1107">
        <v>7.2</v>
      </c>
      <c r="N21" s="1108">
        <v>9</v>
      </c>
      <c r="R21" s="1098" t="s">
        <v>2271</v>
      </c>
      <c r="S21" s="1098"/>
      <c r="T21" s="1099">
        <v>5</v>
      </c>
      <c r="U21" s="1098" t="s">
        <v>2272</v>
      </c>
      <c r="V21" s="1098"/>
      <c r="W21" s="1098" t="s">
        <v>2271</v>
      </c>
      <c r="Y21" s="1099">
        <v>5</v>
      </c>
      <c r="Z21" s="1098" t="s">
        <v>2272</v>
      </c>
    </row>
    <row r="22" spans="1:31" ht="12.75" customHeight="1" x14ac:dyDescent="0.2">
      <c r="A22" s="1100" t="s">
        <v>2273</v>
      </c>
      <c r="B22" s="1100" t="s">
        <v>2274</v>
      </c>
      <c r="C22" s="1101"/>
      <c r="D22" s="1124">
        <v>0.2</v>
      </c>
      <c r="E22" s="1125">
        <v>0.3</v>
      </c>
      <c r="F22" s="1125">
        <v>0.4</v>
      </c>
      <c r="G22" s="1125">
        <v>0.5</v>
      </c>
      <c r="H22" s="1126">
        <v>0.6</v>
      </c>
      <c r="I22" s="1124">
        <v>0.3</v>
      </c>
      <c r="J22" s="1125">
        <v>0.4</v>
      </c>
      <c r="K22" s="1126">
        <v>0.5</v>
      </c>
      <c r="L22" s="1124">
        <v>0.3</v>
      </c>
      <c r="M22" s="1125">
        <v>0.4</v>
      </c>
      <c r="N22" s="1126">
        <v>0.5</v>
      </c>
      <c r="R22" s="1098" t="s">
        <v>2275</v>
      </c>
      <c r="S22" s="1098"/>
      <c r="T22" s="1099">
        <f>T18/T21</f>
        <v>3.9817038326255487E-2</v>
      </c>
      <c r="U22" s="1098" t="s">
        <v>13</v>
      </c>
      <c r="V22" s="1098"/>
      <c r="W22" s="1098" t="s">
        <v>2275</v>
      </c>
      <c r="Y22" s="1099">
        <f>Y18/Y21</f>
        <v>3.6156288039202393E-2</v>
      </c>
      <c r="Z22" s="1098" t="s">
        <v>13</v>
      </c>
    </row>
    <row r="23" spans="1:31" ht="12.75" customHeight="1" x14ac:dyDescent="0.2">
      <c r="A23" s="1100" t="s">
        <v>2276</v>
      </c>
      <c r="B23" s="1100" t="s">
        <v>2277</v>
      </c>
      <c r="C23" s="1101"/>
      <c r="D23" s="1106">
        <v>0.24</v>
      </c>
      <c r="E23" s="1107">
        <v>0.36</v>
      </c>
      <c r="F23" s="1107">
        <v>0.48</v>
      </c>
      <c r="G23" s="1107">
        <v>0.6</v>
      </c>
      <c r="H23" s="1108">
        <v>0.72</v>
      </c>
      <c r="I23" s="1106">
        <v>0.36</v>
      </c>
      <c r="J23" s="1107">
        <v>0.48</v>
      </c>
      <c r="K23" s="1108">
        <v>0.6</v>
      </c>
      <c r="L23" s="1106">
        <v>0.36</v>
      </c>
      <c r="M23" s="1107">
        <v>0.48</v>
      </c>
      <c r="N23" s="1108">
        <v>0.6</v>
      </c>
      <c r="R23" s="1098" t="s">
        <v>2278</v>
      </c>
      <c r="S23" s="1098"/>
      <c r="T23" s="1127">
        <f>9.52-2*0.36</f>
        <v>8.7999999999999989</v>
      </c>
      <c r="U23" s="1098" t="s">
        <v>2279</v>
      </c>
      <c r="V23" s="1098"/>
      <c r="W23" s="1098" t="s">
        <v>2278</v>
      </c>
      <c r="Y23" s="1127">
        <f>9.52-2*0.36</f>
        <v>8.7999999999999989</v>
      </c>
      <c r="Z23" s="1098" t="s">
        <v>2279</v>
      </c>
    </row>
    <row r="24" spans="1:31" ht="12.75" customHeight="1" x14ac:dyDescent="0.2">
      <c r="A24" s="1100" t="s">
        <v>2280</v>
      </c>
      <c r="B24" s="1100" t="s">
        <v>2281</v>
      </c>
      <c r="C24" s="1101"/>
      <c r="D24" s="1106">
        <v>-5</v>
      </c>
      <c r="E24" s="1107">
        <v>-5</v>
      </c>
      <c r="F24" s="1107">
        <v>-5</v>
      </c>
      <c r="G24" s="1107">
        <v>-5</v>
      </c>
      <c r="H24" s="1108">
        <v>-5</v>
      </c>
      <c r="I24" s="1128">
        <v>1.0000000000000001E-5</v>
      </c>
      <c r="J24" s="1129">
        <v>1.0000000000000001E-5</v>
      </c>
      <c r="K24" s="1130">
        <v>1.0000000000000001E-5</v>
      </c>
      <c r="L24" s="1106">
        <v>5</v>
      </c>
      <c r="M24" s="1107">
        <v>5</v>
      </c>
      <c r="N24" s="1108">
        <v>5</v>
      </c>
      <c r="R24" s="1098" t="s">
        <v>501</v>
      </c>
      <c r="S24" s="1098"/>
      <c r="T24" s="1099">
        <f>T22/1000/(PI()*(T23/1000/2)^2)</f>
        <v>0.65465686662221179</v>
      </c>
      <c r="U24" s="1098" t="s">
        <v>502</v>
      </c>
      <c r="V24" s="1098"/>
      <c r="W24" s="1098" t="s">
        <v>501</v>
      </c>
      <c r="Y24" s="1099">
        <f>Y22/1000/(PI()*(Y23/1000/2)^2)</f>
        <v>0.59446817823279285</v>
      </c>
      <c r="Z24" s="1098" t="s">
        <v>502</v>
      </c>
    </row>
    <row r="25" spans="1:31" ht="12.75" customHeight="1" x14ac:dyDescent="0.2">
      <c r="A25" s="1100" t="s">
        <v>2282</v>
      </c>
      <c r="B25" s="1100" t="s">
        <v>2281</v>
      </c>
      <c r="C25" s="1101"/>
      <c r="D25" s="1106">
        <v>20</v>
      </c>
      <c r="E25" s="1107">
        <v>20</v>
      </c>
      <c r="F25" s="1107">
        <v>20</v>
      </c>
      <c r="G25" s="1107">
        <v>20</v>
      </c>
      <c r="H25" s="1108">
        <v>20</v>
      </c>
      <c r="I25" s="1106">
        <v>20</v>
      </c>
      <c r="J25" s="1107">
        <v>20</v>
      </c>
      <c r="K25" s="1108">
        <v>20</v>
      </c>
      <c r="L25" s="1106">
        <v>20</v>
      </c>
      <c r="M25" s="1107">
        <v>20</v>
      </c>
      <c r="N25" s="1108">
        <v>20</v>
      </c>
      <c r="R25" s="1098" t="s">
        <v>2283</v>
      </c>
      <c r="S25" s="1098"/>
      <c r="T25" s="1131">
        <f>1000*T24*T23/1000/0.0007</f>
        <v>8229.972037536374</v>
      </c>
      <c r="U25" s="1098"/>
      <c r="V25" s="1098"/>
      <c r="W25" s="1098" t="s">
        <v>2283</v>
      </c>
      <c r="Y25" s="1131">
        <f>1000*Y24*Y23/1000/0.0007</f>
        <v>7473.3142406408233</v>
      </c>
      <c r="AE25" s="1132"/>
    </row>
    <row r="26" spans="1:31" ht="12.75" customHeight="1" x14ac:dyDescent="0.2">
      <c r="A26" s="1100" t="s">
        <v>2284</v>
      </c>
      <c r="B26" s="1100" t="s">
        <v>2285</v>
      </c>
      <c r="C26" s="1101"/>
      <c r="D26" s="1106">
        <v>0.68</v>
      </c>
      <c r="E26" s="1107">
        <v>1.03</v>
      </c>
      <c r="F26" s="1107">
        <v>1.37</v>
      </c>
      <c r="G26" s="1107">
        <v>1.71</v>
      </c>
      <c r="H26" s="1108">
        <v>2.0499999999999998</v>
      </c>
      <c r="I26" s="1106">
        <v>1.03</v>
      </c>
      <c r="J26" s="1107">
        <v>1.37</v>
      </c>
      <c r="K26" s="1108">
        <v>1.71</v>
      </c>
      <c r="L26" s="1106">
        <v>1.03</v>
      </c>
      <c r="M26" s="1107">
        <v>1.37</v>
      </c>
      <c r="N26" s="1108">
        <v>1.71</v>
      </c>
    </row>
    <row r="27" spans="1:31" ht="12.75" customHeight="1" x14ac:dyDescent="0.2">
      <c r="A27" s="1100" t="s">
        <v>2286</v>
      </c>
      <c r="B27" s="1100" t="s">
        <v>2287</v>
      </c>
      <c r="C27" s="1101"/>
      <c r="D27" s="1106">
        <v>3.6</v>
      </c>
      <c r="E27" s="1107">
        <v>7.1</v>
      </c>
      <c r="F27" s="1107">
        <v>11.6</v>
      </c>
      <c r="G27" s="1107">
        <v>17</v>
      </c>
      <c r="H27" s="1108">
        <v>23.1</v>
      </c>
      <c r="I27" s="1106">
        <v>7.1</v>
      </c>
      <c r="J27" s="1107">
        <v>11.6</v>
      </c>
      <c r="K27" s="1108">
        <v>17</v>
      </c>
      <c r="L27" s="1106">
        <v>7.1</v>
      </c>
      <c r="M27" s="1107">
        <v>11.6</v>
      </c>
      <c r="N27" s="1108">
        <v>17</v>
      </c>
      <c r="R27" s="1133" t="s">
        <v>289</v>
      </c>
      <c r="S27" s="1133" t="s">
        <v>2253</v>
      </c>
      <c r="T27" s="1133" t="s">
        <v>47</v>
      </c>
      <c r="U27" s="1133" t="s">
        <v>2288</v>
      </c>
      <c r="AA27" s="1134" t="s">
        <v>2253</v>
      </c>
      <c r="AB27" s="1135" t="s">
        <v>289</v>
      </c>
      <c r="AC27" s="1136" t="s">
        <v>47</v>
      </c>
    </row>
    <row r="28" spans="1:31" ht="12.75" customHeight="1" x14ac:dyDescent="0.2">
      <c r="A28" s="1101"/>
      <c r="B28" s="1101"/>
      <c r="C28" s="1101"/>
      <c r="D28" s="1114"/>
      <c r="E28" s="1115"/>
      <c r="F28" s="1115"/>
      <c r="G28" s="1115"/>
      <c r="H28" s="1116"/>
      <c r="I28" s="1114"/>
      <c r="J28" s="1115"/>
      <c r="K28" s="1116"/>
      <c r="L28" s="1114"/>
      <c r="M28" s="1115"/>
      <c r="N28" s="1116"/>
      <c r="R28" s="1137">
        <v>0.5</v>
      </c>
      <c r="S28" s="1138">
        <f>G62</f>
        <v>32.435795973154399</v>
      </c>
      <c r="T28" s="1137">
        <f>G21</f>
        <v>15</v>
      </c>
      <c r="U28" s="1137">
        <f>G31</f>
        <v>0.18</v>
      </c>
      <c r="W28" s="1098">
        <f t="array" ref="W28:X28">LINEST(LN(T28:T30),LN(S28:S30))</f>
        <v>3.0475003915400629</v>
      </c>
      <c r="X28" s="1098">
        <v>-7.8898600813984583</v>
      </c>
      <c r="Y28" s="1098">
        <f>EXP(X28)</f>
        <v>3.7452197391103689E-4</v>
      </c>
      <c r="AA28" s="1139">
        <f>S28</f>
        <v>32.435795973154399</v>
      </c>
      <c r="AB28" s="1140">
        <f>R28</f>
        <v>0.5</v>
      </c>
      <c r="AC28" s="1117">
        <f>T28</f>
        <v>15</v>
      </c>
    </row>
    <row r="29" spans="1:31" ht="12.75" customHeight="1" x14ac:dyDescent="0.2">
      <c r="A29" s="1100" t="s">
        <v>2289</v>
      </c>
      <c r="B29" s="1100" t="s">
        <v>2281</v>
      </c>
      <c r="C29" s="1101"/>
      <c r="D29" s="1106">
        <v>50</v>
      </c>
      <c r="E29" s="1107">
        <v>50</v>
      </c>
      <c r="F29" s="1107">
        <v>50</v>
      </c>
      <c r="G29" s="1107">
        <v>50</v>
      </c>
      <c r="H29" s="1108">
        <v>50</v>
      </c>
      <c r="I29" s="1106">
        <v>50</v>
      </c>
      <c r="J29" s="1107">
        <v>50</v>
      </c>
      <c r="K29" s="1108">
        <v>50</v>
      </c>
      <c r="L29" s="1106">
        <v>50</v>
      </c>
      <c r="M29" s="1107">
        <v>50</v>
      </c>
      <c r="N29" s="1108">
        <v>50</v>
      </c>
      <c r="R29" s="1137">
        <v>0.5</v>
      </c>
      <c r="S29" s="1138">
        <f>K62</f>
        <v>29.999995002666761</v>
      </c>
      <c r="T29" s="1137">
        <f>K21</f>
        <v>12</v>
      </c>
      <c r="U29" s="1137">
        <f>K31</f>
        <v>0.14000000000000001</v>
      </c>
      <c r="AA29" s="1141">
        <f>S33</f>
        <v>32.435795973154399</v>
      </c>
      <c r="AB29" s="1099">
        <f>R33</f>
        <v>0.4</v>
      </c>
      <c r="AC29" s="1117">
        <f>T33</f>
        <v>12</v>
      </c>
    </row>
    <row r="30" spans="1:31" ht="12.75" customHeight="1" x14ac:dyDescent="0.2">
      <c r="A30" s="1100" t="s">
        <v>2290</v>
      </c>
      <c r="B30" s="1100" t="s">
        <v>2281</v>
      </c>
      <c r="C30" s="1101"/>
      <c r="D30" s="1106">
        <v>30</v>
      </c>
      <c r="E30" s="1107">
        <v>30</v>
      </c>
      <c r="F30" s="1107">
        <v>30</v>
      </c>
      <c r="G30" s="1107">
        <v>30</v>
      </c>
      <c r="H30" s="1108">
        <v>33</v>
      </c>
      <c r="I30" s="1106">
        <v>30</v>
      </c>
      <c r="J30" s="1107">
        <v>30</v>
      </c>
      <c r="K30" s="1108">
        <v>30</v>
      </c>
      <c r="L30" s="1106">
        <v>30</v>
      </c>
      <c r="M30" s="1107">
        <v>30</v>
      </c>
      <c r="N30" s="1108">
        <v>30</v>
      </c>
      <c r="R30" s="1137">
        <v>0.5</v>
      </c>
      <c r="S30" s="1138">
        <f>N62</f>
        <v>27.424074738735392</v>
      </c>
      <c r="T30" s="1137">
        <f>N21</f>
        <v>9</v>
      </c>
      <c r="U30" s="1137">
        <f>N31</f>
        <v>0.11</v>
      </c>
      <c r="AA30" s="1142">
        <f>S38</f>
        <v>32.435795973154399</v>
      </c>
      <c r="AB30" s="1143">
        <f>R38</f>
        <v>0.3</v>
      </c>
      <c r="AC30" s="1117">
        <f>T38</f>
        <v>9</v>
      </c>
    </row>
    <row r="31" spans="1:31" ht="12.75" customHeight="1" x14ac:dyDescent="0.2">
      <c r="A31" s="1100" t="s">
        <v>2291</v>
      </c>
      <c r="B31" s="1100" t="s">
        <v>2292</v>
      </c>
      <c r="C31" s="1101"/>
      <c r="D31" s="1106">
        <v>7.0000000000000007E-2</v>
      </c>
      <c r="E31" s="1107">
        <v>0.11</v>
      </c>
      <c r="F31" s="1107">
        <v>0.14000000000000001</v>
      </c>
      <c r="G31" s="1107">
        <v>0.18</v>
      </c>
      <c r="H31" s="1108">
        <v>0.26</v>
      </c>
      <c r="I31" s="1106">
        <v>0.09</v>
      </c>
      <c r="J31" s="1107">
        <v>0.12</v>
      </c>
      <c r="K31" s="1108">
        <v>0.14000000000000001</v>
      </c>
      <c r="L31" s="1106">
        <v>7.0000000000000007E-2</v>
      </c>
      <c r="M31" s="1107">
        <v>0.09</v>
      </c>
      <c r="N31" s="1108">
        <v>0.11</v>
      </c>
      <c r="P31" s="1099">
        <f>N31*4.186*(N29-N30)</f>
        <v>9.2091999999999992</v>
      </c>
    </row>
    <row r="32" spans="1:31" ht="12.75" customHeight="1" x14ac:dyDescent="0.2">
      <c r="A32" s="1100" t="s">
        <v>2293</v>
      </c>
      <c r="B32" s="1100" t="s">
        <v>2285</v>
      </c>
      <c r="C32" s="1101"/>
      <c r="D32" s="1106">
        <v>0.21</v>
      </c>
      <c r="E32" s="1107">
        <v>0.31</v>
      </c>
      <c r="F32" s="1107">
        <v>0.42</v>
      </c>
      <c r="G32" s="1107">
        <v>0.52</v>
      </c>
      <c r="H32" s="1108">
        <v>0.74</v>
      </c>
      <c r="I32" s="1106">
        <v>0.25</v>
      </c>
      <c r="J32" s="1107">
        <v>0.33</v>
      </c>
      <c r="K32" s="1108">
        <v>0.42</v>
      </c>
      <c r="L32" s="1106">
        <v>0.19</v>
      </c>
      <c r="M32" s="1107">
        <v>0.25</v>
      </c>
      <c r="N32" s="1108">
        <v>0.31</v>
      </c>
      <c r="R32" s="1133" t="s">
        <v>289</v>
      </c>
      <c r="S32" s="1133" t="s">
        <v>2253</v>
      </c>
      <c r="T32" s="1133" t="s">
        <v>47</v>
      </c>
      <c r="U32" s="1133" t="s">
        <v>2288</v>
      </c>
      <c r="AA32" s="1134" t="s">
        <v>2253</v>
      </c>
      <c r="AB32" s="1135" t="s">
        <v>289</v>
      </c>
      <c r="AC32" s="1136" t="s">
        <v>47</v>
      </c>
    </row>
    <row r="33" spans="1:29" ht="12.75" customHeight="1" x14ac:dyDescent="0.2">
      <c r="A33" s="1100" t="s">
        <v>2294</v>
      </c>
      <c r="B33" s="1100" t="s">
        <v>2295</v>
      </c>
      <c r="C33" s="1101"/>
      <c r="D33" s="1106">
        <v>1</v>
      </c>
      <c r="E33" s="1107">
        <v>2.2000000000000002</v>
      </c>
      <c r="F33" s="1107">
        <v>3.8</v>
      </c>
      <c r="G33" s="1107">
        <v>5.8</v>
      </c>
      <c r="H33" s="1108">
        <v>11.2</v>
      </c>
      <c r="I33" s="1106">
        <v>1.4</v>
      </c>
      <c r="J33" s="1107">
        <v>2.5</v>
      </c>
      <c r="K33" s="1108">
        <v>3.8</v>
      </c>
      <c r="L33" s="1106">
        <v>0.8</v>
      </c>
      <c r="M33" s="1107">
        <v>1.4</v>
      </c>
      <c r="N33" s="1108">
        <v>2.2000000000000002</v>
      </c>
      <c r="R33" s="1137">
        <v>0.4</v>
      </c>
      <c r="S33" s="1138">
        <f>F62</f>
        <v>32.435795973154399</v>
      </c>
      <c r="T33" s="1137">
        <f>F21</f>
        <v>12</v>
      </c>
      <c r="U33" s="1137">
        <f>F31</f>
        <v>0.14000000000000001</v>
      </c>
      <c r="W33" s="1098">
        <f t="array" ref="W33:X33">LINEST(LN(T33:T35),LN(S33:S35))</f>
        <v>3.0475003915400638</v>
      </c>
      <c r="X33" s="1098">
        <v>-8.1130036327126724</v>
      </c>
      <c r="Y33" s="1098">
        <f>EXP(X33)</f>
        <v>2.9961757912882819E-4</v>
      </c>
      <c r="AA33" s="1139">
        <f>S29</f>
        <v>29.999995002666761</v>
      </c>
      <c r="AB33" s="1144">
        <f>R29</f>
        <v>0.5</v>
      </c>
      <c r="AC33" s="1117">
        <f>T29</f>
        <v>12</v>
      </c>
    </row>
    <row r="34" spans="1:29" ht="12.75" customHeight="1" x14ac:dyDescent="0.2">
      <c r="A34" s="1100" t="s">
        <v>2296</v>
      </c>
      <c r="B34" s="1100" t="s">
        <v>2297</v>
      </c>
      <c r="C34" s="1101"/>
      <c r="D34" s="1106" t="s">
        <v>2298</v>
      </c>
      <c r="E34" s="1107" t="s">
        <v>2298</v>
      </c>
      <c r="F34" s="1107" t="s">
        <v>2298</v>
      </c>
      <c r="G34" s="1107" t="s">
        <v>2298</v>
      </c>
      <c r="H34" s="1108" t="s">
        <v>2298</v>
      </c>
      <c r="I34" s="1106" t="s">
        <v>2298</v>
      </c>
      <c r="J34" s="1107" t="s">
        <v>2298</v>
      </c>
      <c r="K34" s="1108" t="s">
        <v>2298</v>
      </c>
      <c r="L34" s="1106" t="s">
        <v>2298</v>
      </c>
      <c r="M34" s="1107" t="s">
        <v>2298</v>
      </c>
      <c r="N34" s="1108" t="s">
        <v>2298</v>
      </c>
      <c r="R34" s="1137">
        <v>0.4</v>
      </c>
      <c r="S34" s="1138">
        <f>J62</f>
        <v>29.999995002666761</v>
      </c>
      <c r="T34" s="1137">
        <f>J21</f>
        <v>9.6</v>
      </c>
      <c r="U34" s="1137">
        <f>J31</f>
        <v>0.12</v>
      </c>
      <c r="AA34" s="1141">
        <f>S34</f>
        <v>29.999995002666761</v>
      </c>
      <c r="AB34" s="1145">
        <f>R34</f>
        <v>0.4</v>
      </c>
      <c r="AC34" s="1117">
        <f>T34</f>
        <v>9.6</v>
      </c>
    </row>
    <row r="35" spans="1:29" ht="12.75" customHeight="1" x14ac:dyDescent="0.2">
      <c r="A35" s="1100" t="s">
        <v>2299</v>
      </c>
      <c r="B35" s="1100" t="s">
        <v>2257</v>
      </c>
      <c r="C35" s="1101"/>
      <c r="D35" s="1109">
        <f>AVERAGE(D29:D30)-AVERAGE(D24:D25)</f>
        <v>32.5</v>
      </c>
      <c r="E35" s="1110">
        <f t="shared" ref="E35:N35" si="0">AVERAGE(E29:E30)-AVERAGE(E24:E25)</f>
        <v>32.5</v>
      </c>
      <c r="F35" s="1110">
        <f t="shared" si="0"/>
        <v>32.5</v>
      </c>
      <c r="G35" s="1110">
        <f t="shared" si="0"/>
        <v>32.5</v>
      </c>
      <c r="H35" s="1111">
        <f t="shared" si="0"/>
        <v>34</v>
      </c>
      <c r="I35" s="1109">
        <f t="shared" si="0"/>
        <v>29.999994999999998</v>
      </c>
      <c r="J35" s="1110">
        <f t="shared" si="0"/>
        <v>29.999994999999998</v>
      </c>
      <c r="K35" s="1111">
        <f t="shared" si="0"/>
        <v>29.999994999999998</v>
      </c>
      <c r="L35" s="1109">
        <f t="shared" si="0"/>
        <v>27.5</v>
      </c>
      <c r="M35" s="1110">
        <f t="shared" si="0"/>
        <v>27.5</v>
      </c>
      <c r="N35" s="1111">
        <f t="shared" si="0"/>
        <v>27.5</v>
      </c>
      <c r="R35" s="1137">
        <v>0.4</v>
      </c>
      <c r="S35" s="1138">
        <f>M62</f>
        <v>27.424074738735392</v>
      </c>
      <c r="T35" s="1137">
        <f>M21</f>
        <v>7.2</v>
      </c>
      <c r="U35" s="1137">
        <f>M31</f>
        <v>0.09</v>
      </c>
      <c r="AA35" s="1142">
        <f>S39</f>
        <v>29.999995002666761</v>
      </c>
      <c r="AB35" s="1146">
        <f>R39</f>
        <v>0.3</v>
      </c>
      <c r="AC35" s="1117">
        <f>T39</f>
        <v>7.2</v>
      </c>
    </row>
    <row r="36" spans="1:29" ht="12.75" customHeight="1" x14ac:dyDescent="0.2">
      <c r="A36" s="1101"/>
      <c r="B36" s="1101"/>
      <c r="C36" s="1101"/>
      <c r="D36" s="1114"/>
      <c r="E36" s="1115"/>
      <c r="F36" s="1115"/>
      <c r="G36" s="1115"/>
      <c r="H36" s="1116"/>
      <c r="I36" s="1114"/>
      <c r="J36" s="1115"/>
      <c r="K36" s="1116"/>
      <c r="L36" s="1114"/>
      <c r="M36" s="1115"/>
      <c r="N36" s="1116"/>
    </row>
    <row r="37" spans="1:29" ht="12.75" customHeight="1" x14ac:dyDescent="0.2">
      <c r="A37" s="1100" t="s">
        <v>2300</v>
      </c>
      <c r="B37" s="1101"/>
      <c r="C37" s="1101"/>
      <c r="D37" s="1106">
        <v>2</v>
      </c>
      <c r="E37" s="1107">
        <v>2</v>
      </c>
      <c r="F37" s="1107">
        <v>2</v>
      </c>
      <c r="G37" s="1107">
        <v>2</v>
      </c>
      <c r="H37" s="1108">
        <v>2</v>
      </c>
      <c r="I37" s="1106">
        <v>2</v>
      </c>
      <c r="J37" s="1107">
        <v>2</v>
      </c>
      <c r="K37" s="1108">
        <v>2</v>
      </c>
      <c r="L37" s="1106">
        <v>2</v>
      </c>
      <c r="M37" s="1107">
        <v>2</v>
      </c>
      <c r="N37" s="1108">
        <v>2</v>
      </c>
      <c r="R37" s="1133" t="s">
        <v>289</v>
      </c>
      <c r="S37" s="1133" t="s">
        <v>2253</v>
      </c>
      <c r="T37" s="1133" t="s">
        <v>47</v>
      </c>
      <c r="U37" s="1133" t="s">
        <v>2288</v>
      </c>
      <c r="AA37" s="1134" t="s">
        <v>2253</v>
      </c>
      <c r="AB37" s="1135" t="s">
        <v>289</v>
      </c>
      <c r="AC37" s="1136" t="s">
        <v>47</v>
      </c>
    </row>
    <row r="38" spans="1:29" ht="12.75" customHeight="1" x14ac:dyDescent="0.2">
      <c r="A38" s="1100" t="s">
        <v>2301</v>
      </c>
      <c r="B38" s="1100" t="s">
        <v>2262</v>
      </c>
      <c r="C38" s="1101"/>
      <c r="D38" s="1106">
        <v>2</v>
      </c>
      <c r="E38" s="1107">
        <v>2</v>
      </c>
      <c r="F38" s="1107">
        <v>2</v>
      </c>
      <c r="G38" s="1107">
        <v>2</v>
      </c>
      <c r="H38" s="1108">
        <v>2</v>
      </c>
      <c r="I38" s="1106">
        <v>2</v>
      </c>
      <c r="J38" s="1107">
        <v>2</v>
      </c>
      <c r="K38" s="1108">
        <v>2</v>
      </c>
      <c r="L38" s="1106">
        <v>2</v>
      </c>
      <c r="M38" s="1107">
        <v>2</v>
      </c>
      <c r="N38" s="1108">
        <v>2</v>
      </c>
      <c r="R38" s="1137">
        <v>0.3</v>
      </c>
      <c r="S38" s="1138">
        <f>E62</f>
        <v>32.435795973154399</v>
      </c>
      <c r="T38" s="1137">
        <f>E21</f>
        <v>9</v>
      </c>
      <c r="U38" s="1137">
        <f>E31</f>
        <v>0.11</v>
      </c>
      <c r="W38" s="1098">
        <f t="array" ref="W38:X38">LINEST(LN(T38:T40),LN(S38:S40))</f>
        <v>3.0475003915400642</v>
      </c>
      <c r="X38" s="1098">
        <v>-8.4006857051644541</v>
      </c>
      <c r="Y38" s="1098">
        <f>EXP(X38)</f>
        <v>2.2471318434662098E-4</v>
      </c>
      <c r="AA38" s="1139">
        <f>S30</f>
        <v>27.424074738735392</v>
      </c>
      <c r="AB38" s="1144">
        <f>R30</f>
        <v>0.5</v>
      </c>
      <c r="AC38" s="1117">
        <f>T30</f>
        <v>9</v>
      </c>
    </row>
    <row r="39" spans="1:29" ht="12.75" customHeight="1" x14ac:dyDescent="0.2">
      <c r="A39" s="1100" t="s">
        <v>2302</v>
      </c>
      <c r="B39" s="1100" t="s">
        <v>2303</v>
      </c>
      <c r="C39" s="1101"/>
      <c r="D39" s="1106">
        <v>2.2999999999999998</v>
      </c>
      <c r="E39" s="1107">
        <v>2.2999999999999998</v>
      </c>
      <c r="F39" s="1107">
        <v>2.2999999999999998</v>
      </c>
      <c r="G39" s="1107">
        <v>2.2999999999999998</v>
      </c>
      <c r="H39" s="1108" t="s">
        <v>2304</v>
      </c>
      <c r="I39" s="1106" t="s">
        <v>2304</v>
      </c>
      <c r="J39" s="1107" t="s">
        <v>2304</v>
      </c>
      <c r="K39" s="1108" t="s">
        <v>2304</v>
      </c>
      <c r="L39" s="1106" t="s">
        <v>2304</v>
      </c>
      <c r="M39" s="1107" t="s">
        <v>2304</v>
      </c>
      <c r="N39" s="1108" t="s">
        <v>2304</v>
      </c>
      <c r="R39" s="1137">
        <v>0.3</v>
      </c>
      <c r="S39" s="1138">
        <f>I62</f>
        <v>29.999995002666761</v>
      </c>
      <c r="T39" s="1137">
        <f>I21</f>
        <v>7.2</v>
      </c>
      <c r="U39" s="1137">
        <f>I31</f>
        <v>0.09</v>
      </c>
      <c r="AA39" s="1141">
        <f>S35</f>
        <v>27.424074738735392</v>
      </c>
      <c r="AB39" s="1145">
        <f>R35</f>
        <v>0.4</v>
      </c>
      <c r="AC39" s="1117">
        <f>T35</f>
        <v>7.2</v>
      </c>
    </row>
    <row r="40" spans="1:29" ht="12.75" customHeight="1" x14ac:dyDescent="0.2">
      <c r="A40" s="1100" t="s">
        <v>2305</v>
      </c>
      <c r="B40" s="1100" t="s">
        <v>2306</v>
      </c>
      <c r="C40" s="1101"/>
      <c r="D40" s="1106">
        <v>9</v>
      </c>
      <c r="E40" s="1107">
        <v>9</v>
      </c>
      <c r="F40" s="1107">
        <v>9</v>
      </c>
      <c r="G40" s="1107">
        <v>9</v>
      </c>
      <c r="H40" s="1108">
        <v>9</v>
      </c>
      <c r="I40" s="1106">
        <v>9</v>
      </c>
      <c r="J40" s="1107">
        <v>9</v>
      </c>
      <c r="K40" s="1108">
        <v>9</v>
      </c>
      <c r="L40" s="1106">
        <v>9</v>
      </c>
      <c r="M40" s="1107">
        <v>9</v>
      </c>
      <c r="N40" s="1108">
        <v>9</v>
      </c>
      <c r="R40" s="1137">
        <v>0.3</v>
      </c>
      <c r="S40" s="1138">
        <f>L62</f>
        <v>27.424074738735392</v>
      </c>
      <c r="T40" s="1137">
        <f>L21</f>
        <v>5.4</v>
      </c>
      <c r="U40" s="1137">
        <f>L31</f>
        <v>7.0000000000000007E-2</v>
      </c>
      <c r="AA40" s="1142">
        <f>S40</f>
        <v>27.424074738735392</v>
      </c>
      <c r="AB40" s="1146">
        <f>R40</f>
        <v>0.3</v>
      </c>
      <c r="AC40" s="1117">
        <f>T40</f>
        <v>5.4</v>
      </c>
    </row>
    <row r="41" spans="1:29" ht="12.75" customHeight="1" x14ac:dyDescent="0.2">
      <c r="A41" s="1101"/>
      <c r="B41" s="1101"/>
      <c r="C41" s="1101"/>
      <c r="D41" s="1114"/>
      <c r="E41" s="1115"/>
      <c r="F41" s="1115"/>
      <c r="G41" s="1115"/>
      <c r="H41" s="1116"/>
      <c r="I41" s="1114"/>
      <c r="J41" s="1115"/>
      <c r="K41" s="1116"/>
      <c r="L41" s="1114"/>
      <c r="M41" s="1115"/>
      <c r="N41" s="1116"/>
    </row>
    <row r="42" spans="1:29" ht="12.75" customHeight="1" x14ac:dyDescent="0.2">
      <c r="A42" s="1100" t="s">
        <v>2307</v>
      </c>
      <c r="B42" s="1101" t="s">
        <v>2308</v>
      </c>
      <c r="C42" s="1147"/>
      <c r="D42" s="1110">
        <v>8.8000000000000007</v>
      </c>
      <c r="E42" s="1110">
        <v>8.8000000000000007</v>
      </c>
      <c r="F42" s="1110">
        <v>8.8000000000000007</v>
      </c>
      <c r="G42" s="1110">
        <v>8.8000000000000007</v>
      </c>
      <c r="H42" s="1110">
        <v>8.8000000000000007</v>
      </c>
      <c r="I42" s="1110">
        <v>8.8000000000000007</v>
      </c>
      <c r="J42" s="1110">
        <v>8.8000000000000007</v>
      </c>
      <c r="K42" s="1110">
        <v>8.8000000000000007</v>
      </c>
      <c r="L42" s="1110">
        <v>8.8000000000000007</v>
      </c>
      <c r="M42" s="1110">
        <v>8.8000000000000007</v>
      </c>
      <c r="N42" s="1110">
        <v>8.8000000000000007</v>
      </c>
      <c r="R42" s="1105" t="s">
        <v>2309</v>
      </c>
    </row>
    <row r="43" spans="1:29" ht="12.75" customHeight="1" x14ac:dyDescent="0.2">
      <c r="A43" s="1100" t="s">
        <v>2310</v>
      </c>
      <c r="B43" s="1101" t="s">
        <v>2311</v>
      </c>
      <c r="C43" s="1147"/>
      <c r="D43" s="1110">
        <v>5</v>
      </c>
      <c r="E43" s="1110">
        <v>5</v>
      </c>
      <c r="F43" s="1110">
        <v>5</v>
      </c>
      <c r="G43" s="1110">
        <v>5</v>
      </c>
      <c r="H43" s="1110">
        <v>5</v>
      </c>
      <c r="I43" s="1110">
        <v>5</v>
      </c>
      <c r="J43" s="1110">
        <v>5</v>
      </c>
      <c r="K43" s="1110">
        <v>5</v>
      </c>
      <c r="L43" s="1110">
        <v>5</v>
      </c>
      <c r="M43" s="1110">
        <v>5</v>
      </c>
      <c r="N43" s="1110">
        <v>5</v>
      </c>
      <c r="R43" s="1137" t="s">
        <v>289</v>
      </c>
      <c r="S43" s="1137" t="s">
        <v>2253</v>
      </c>
      <c r="T43" s="1137" t="s">
        <v>47</v>
      </c>
    </row>
    <row r="44" spans="1:29" ht="12.75" customHeight="1" x14ac:dyDescent="0.2">
      <c r="A44" s="1100" t="s">
        <v>2312</v>
      </c>
      <c r="B44" s="1101" t="s">
        <v>2313</v>
      </c>
      <c r="C44" s="1147"/>
      <c r="D44" s="1110">
        <f>D31/D43</f>
        <v>1.4000000000000002E-2</v>
      </c>
      <c r="E44" s="1110">
        <f t="shared" ref="E44:N44" si="1">E31/E43</f>
        <v>2.1999999999999999E-2</v>
      </c>
      <c r="F44" s="1110">
        <f t="shared" si="1"/>
        <v>2.8000000000000004E-2</v>
      </c>
      <c r="G44" s="1110">
        <f t="shared" si="1"/>
        <v>3.5999999999999997E-2</v>
      </c>
      <c r="H44" s="1110">
        <f t="shared" si="1"/>
        <v>5.2000000000000005E-2</v>
      </c>
      <c r="I44" s="1110">
        <f t="shared" si="1"/>
        <v>1.7999999999999999E-2</v>
      </c>
      <c r="J44" s="1110">
        <f t="shared" si="1"/>
        <v>2.4E-2</v>
      </c>
      <c r="K44" s="1110">
        <f t="shared" si="1"/>
        <v>2.8000000000000004E-2</v>
      </c>
      <c r="L44" s="1110">
        <f t="shared" si="1"/>
        <v>1.4000000000000002E-2</v>
      </c>
      <c r="M44" s="1110">
        <f t="shared" si="1"/>
        <v>1.7999999999999999E-2</v>
      </c>
      <c r="N44" s="1110">
        <f t="shared" si="1"/>
        <v>2.1999999999999999E-2</v>
      </c>
      <c r="R44" s="1137">
        <f>T4/1000</f>
        <v>0.5</v>
      </c>
      <c r="S44" s="1138">
        <f>AVERAGE(AA28:AA30)</f>
        <v>32.435795973154399</v>
      </c>
      <c r="T44" s="1137">
        <f>_xlfn.FORECAST.LINEAR(R44,AC28:AC30,AB28:AB30)</f>
        <v>15.000000000000002</v>
      </c>
      <c r="W44" s="1105">
        <f t="array" ref="W44:X44">LINEST(LN(T44:T46),LN(S44:S46))</f>
        <v>3.0475003915400629</v>
      </c>
      <c r="X44" s="1098">
        <v>-7.8898600813984583</v>
      </c>
      <c r="Y44" s="1105">
        <f>EXP(X44)</f>
        <v>3.7452197391103689E-4</v>
      </c>
    </row>
    <row r="45" spans="1:29" ht="12.75" customHeight="1" x14ac:dyDescent="0.2">
      <c r="A45" s="1100" t="s">
        <v>2314</v>
      </c>
      <c r="B45" s="1101" t="s">
        <v>2315</v>
      </c>
      <c r="C45" s="1147"/>
      <c r="D45" s="1110">
        <f>PI()*(D42/2/1000)^2</f>
        <v>6.0821233773498395E-5</v>
      </c>
      <c r="E45" s="1110">
        <f t="shared" ref="E45:N45" si="2">PI()*(E42/2/1000)^2</f>
        <v>6.0821233773498395E-5</v>
      </c>
      <c r="F45" s="1110">
        <f t="shared" si="2"/>
        <v>6.0821233773498395E-5</v>
      </c>
      <c r="G45" s="1110">
        <f t="shared" si="2"/>
        <v>6.0821233773498395E-5</v>
      </c>
      <c r="H45" s="1110">
        <f t="shared" si="2"/>
        <v>6.0821233773498395E-5</v>
      </c>
      <c r="I45" s="1110">
        <f t="shared" si="2"/>
        <v>6.0821233773498395E-5</v>
      </c>
      <c r="J45" s="1110">
        <f t="shared" si="2"/>
        <v>6.0821233773498395E-5</v>
      </c>
      <c r="K45" s="1110">
        <f t="shared" si="2"/>
        <v>6.0821233773498395E-5</v>
      </c>
      <c r="L45" s="1110">
        <f t="shared" si="2"/>
        <v>6.0821233773498395E-5</v>
      </c>
      <c r="M45" s="1110">
        <f t="shared" si="2"/>
        <v>6.0821233773498395E-5</v>
      </c>
      <c r="N45" s="1110">
        <f t="shared" si="2"/>
        <v>6.0821233773498395E-5</v>
      </c>
      <c r="R45" s="1137">
        <f>R44</f>
        <v>0.5</v>
      </c>
      <c r="S45" s="1138">
        <f>AVERAGE(AA33:AA35)</f>
        <v>29.999995002666761</v>
      </c>
      <c r="T45" s="1137">
        <f>_xlfn.FORECAST.LINEAR(R45,AC33:AC35,AB33:AB35)</f>
        <v>12</v>
      </c>
    </row>
    <row r="46" spans="1:29" ht="12.75" customHeight="1" x14ac:dyDescent="0.2">
      <c r="A46" s="1100" t="s">
        <v>2316</v>
      </c>
      <c r="B46" s="1101" t="s">
        <v>502</v>
      </c>
      <c r="C46" s="1147"/>
      <c r="D46" s="1148">
        <f>D44/1000/D45</f>
        <v>0.23018276893455941</v>
      </c>
      <c r="E46" s="1148">
        <f t="shared" ref="E46:N46" si="3">E44/1000/E45</f>
        <v>0.36171577975430758</v>
      </c>
      <c r="F46" s="1148">
        <f t="shared" si="3"/>
        <v>0.46036553786911882</v>
      </c>
      <c r="G46" s="1148">
        <f t="shared" si="3"/>
        <v>0.59189854868886682</v>
      </c>
      <c r="H46" s="1148">
        <f t="shared" si="3"/>
        <v>0.85496457032836348</v>
      </c>
      <c r="I46" s="1148">
        <f t="shared" si="3"/>
        <v>0.29594927434443341</v>
      </c>
      <c r="J46" s="1148">
        <f t="shared" si="3"/>
        <v>0.39459903245924466</v>
      </c>
      <c r="K46" s="1148">
        <f t="shared" si="3"/>
        <v>0.46036553786911882</v>
      </c>
      <c r="L46" s="1148">
        <f t="shared" si="3"/>
        <v>0.23018276893455941</v>
      </c>
      <c r="M46" s="1148">
        <f t="shared" si="3"/>
        <v>0.29594927434443341</v>
      </c>
      <c r="N46" s="1148">
        <f t="shared" si="3"/>
        <v>0.36171577975430758</v>
      </c>
      <c r="R46" s="1137">
        <f>R45</f>
        <v>0.5</v>
      </c>
      <c r="S46" s="1138">
        <f>AVERAGE(AA38:AA40)</f>
        <v>27.424074738735396</v>
      </c>
      <c r="T46" s="1137">
        <f>_xlfn.FORECAST.LINEAR(R46,AC38:AC40,AB38:AB40)</f>
        <v>9</v>
      </c>
    </row>
    <row r="47" spans="1:29" ht="12.75" customHeight="1" x14ac:dyDescent="0.2">
      <c r="A47" s="1100" t="s">
        <v>2317</v>
      </c>
      <c r="B47" s="1100" t="s">
        <v>487</v>
      </c>
      <c r="C47" s="1147"/>
      <c r="D47" s="1131">
        <f>1000*D46*(D42/1000)/0.0007</f>
        <v>2893.7262380344619</v>
      </c>
      <c r="E47" s="1131">
        <f t="shared" ref="E47:N47" si="4">1000*E46*(E42/1000)/0.0007</f>
        <v>4547.2840883398667</v>
      </c>
      <c r="F47" s="1131">
        <f t="shared" si="4"/>
        <v>5787.4524760689237</v>
      </c>
      <c r="G47" s="1131">
        <f t="shared" si="4"/>
        <v>7441.0103263743267</v>
      </c>
      <c r="H47" s="1131">
        <f t="shared" si="4"/>
        <v>10748.126026985141</v>
      </c>
      <c r="I47" s="1131">
        <f t="shared" si="4"/>
        <v>3720.5051631871634</v>
      </c>
      <c r="J47" s="1131">
        <f t="shared" si="4"/>
        <v>4960.673550916219</v>
      </c>
      <c r="K47" s="1131">
        <f t="shared" si="4"/>
        <v>5787.4524760689237</v>
      </c>
      <c r="L47" s="1131">
        <f t="shared" si="4"/>
        <v>2893.7262380344619</v>
      </c>
      <c r="M47" s="1131">
        <f t="shared" si="4"/>
        <v>3720.5051631871634</v>
      </c>
      <c r="N47" s="1131">
        <f t="shared" si="4"/>
        <v>4547.2840883398667</v>
      </c>
    </row>
    <row r="48" spans="1:29" ht="12.75" customHeight="1" x14ac:dyDescent="0.2">
      <c r="A48" s="1100" t="s">
        <v>2318</v>
      </c>
      <c r="B48" s="1100" t="s">
        <v>2319</v>
      </c>
      <c r="C48" s="1147"/>
      <c r="D48" s="1107"/>
      <c r="E48" s="1107"/>
      <c r="F48" s="1107"/>
      <c r="G48" s="1107"/>
      <c r="H48" s="1149"/>
      <c r="I48" s="1149"/>
      <c r="J48" s="1149"/>
      <c r="K48" s="1149"/>
      <c r="L48" s="1149"/>
      <c r="M48" s="1149"/>
      <c r="N48" s="1149"/>
    </row>
    <row r="49" spans="1:19" ht="6.5" customHeight="1" x14ac:dyDescent="0.2">
      <c r="A49" s="1101"/>
      <c r="B49" s="1101"/>
      <c r="C49" s="1101"/>
      <c r="D49" s="1150"/>
      <c r="E49" s="1150"/>
      <c r="F49" s="1150"/>
      <c r="G49" s="1150"/>
    </row>
    <row r="50" spans="1:19" ht="16.5" customHeight="1" x14ac:dyDescent="0.2">
      <c r="A50" s="1530" t="s">
        <v>2320</v>
      </c>
      <c r="B50" s="1530"/>
      <c r="C50" s="1530"/>
      <c r="D50" s="1530"/>
      <c r="E50" s="1150"/>
      <c r="F50" s="1150"/>
      <c r="G50" s="1150"/>
    </row>
    <row r="51" spans="1:19" ht="11.75" customHeight="1" x14ac:dyDescent="0.2">
      <c r="A51" s="1530" t="s">
        <v>2321</v>
      </c>
      <c r="B51" s="1530"/>
      <c r="C51" s="1101"/>
      <c r="D51" s="1150"/>
      <c r="E51" s="1150"/>
      <c r="F51" s="1150"/>
      <c r="G51" s="1150"/>
    </row>
    <row r="52" spans="1:19" ht="10.25" customHeight="1" x14ac:dyDescent="0.2">
      <c r="A52" s="1152" t="s">
        <v>2322</v>
      </c>
      <c r="B52" s="1101"/>
      <c r="C52" s="1101"/>
      <c r="D52" s="1150"/>
      <c r="E52" s="1150"/>
      <c r="F52" s="1150"/>
      <c r="G52" s="1150"/>
    </row>
    <row r="53" spans="1:19" ht="12.25" customHeight="1" x14ac:dyDescent="0.2">
      <c r="A53" s="1530" t="s">
        <v>2323</v>
      </c>
      <c r="B53" s="1530"/>
      <c r="C53" s="1101"/>
      <c r="D53" s="1150"/>
      <c r="E53" s="1150"/>
      <c r="F53" s="1150"/>
      <c r="G53" s="1150"/>
    </row>
    <row r="54" spans="1:19" ht="10.25" customHeight="1" x14ac:dyDescent="0.2">
      <c r="A54" s="1152" t="s">
        <v>2322</v>
      </c>
      <c r="B54" s="1101"/>
      <c r="C54" s="1101"/>
      <c r="D54" s="1150"/>
      <c r="E54" s="1150"/>
      <c r="F54" s="1150"/>
      <c r="G54" s="1150"/>
    </row>
    <row r="55" spans="1:19" ht="12.25" customHeight="1" x14ac:dyDescent="0.2">
      <c r="A55" s="1530" t="s">
        <v>2324</v>
      </c>
      <c r="B55" s="1530"/>
      <c r="C55" s="1101"/>
      <c r="D55" s="1150"/>
      <c r="E55" s="1150"/>
      <c r="F55" s="1150"/>
      <c r="G55" s="1150"/>
    </row>
    <row r="56" spans="1:19" ht="10.25" customHeight="1" x14ac:dyDescent="0.2">
      <c r="A56" s="1152" t="s">
        <v>2322</v>
      </c>
      <c r="B56" s="1101"/>
      <c r="C56" s="1101"/>
      <c r="D56" s="1150"/>
      <c r="E56" s="1150"/>
      <c r="F56" s="1150"/>
      <c r="G56" s="1150"/>
    </row>
    <row r="57" spans="1:19" ht="12.25" customHeight="1" x14ac:dyDescent="0.2">
      <c r="A57" s="1530" t="s">
        <v>2325</v>
      </c>
      <c r="B57" s="1530"/>
      <c r="C57" s="1101"/>
      <c r="D57" s="1150"/>
      <c r="E57" s="1150"/>
      <c r="F57" s="1150"/>
      <c r="G57" s="1150"/>
    </row>
    <row r="58" spans="1:19" ht="14" customHeight="1" x14ac:dyDescent="0.2">
      <c r="A58" s="1152" t="s">
        <v>2322</v>
      </c>
      <c r="B58" s="1101"/>
      <c r="C58" s="1101"/>
      <c r="D58" s="1150"/>
      <c r="E58" s="1150"/>
      <c r="F58" s="1150"/>
      <c r="G58" s="1150"/>
    </row>
    <row r="59" spans="1:19" x14ac:dyDescent="0.2">
      <c r="A59" s="1153"/>
      <c r="B59" s="1153"/>
      <c r="C59" s="1153"/>
      <c r="D59" s="1153"/>
      <c r="E59" s="1153"/>
      <c r="F59" s="1153"/>
      <c r="G59" s="1153"/>
      <c r="H59" s="1153"/>
      <c r="I59" s="1153"/>
      <c r="J59" s="1153"/>
      <c r="K59" s="1153"/>
    </row>
    <row r="60" spans="1:19" ht="16" x14ac:dyDescent="0.2">
      <c r="A60" s="1153" t="s">
        <v>2326</v>
      </c>
      <c r="B60" s="1153" t="s">
        <v>2238</v>
      </c>
      <c r="C60" s="1153"/>
      <c r="D60" s="1153">
        <f>1.293*273.15/(D24+273.15)</f>
        <v>1.3171096401267945</v>
      </c>
      <c r="E60" s="1153">
        <f t="shared" ref="E60:N61" si="5">1.293*273.15/(E24+273.15)</f>
        <v>1.3171096401267945</v>
      </c>
      <c r="F60" s="1153">
        <f t="shared" si="5"/>
        <v>1.3171096401267945</v>
      </c>
      <c r="G60" s="1153">
        <f t="shared" si="5"/>
        <v>1.3171096401267945</v>
      </c>
      <c r="H60" s="1153">
        <f t="shared" si="5"/>
        <v>1.3171096401267945</v>
      </c>
      <c r="I60" s="1153">
        <f t="shared" si="5"/>
        <v>1.2929999526633735</v>
      </c>
      <c r="J60" s="1153">
        <f t="shared" si="5"/>
        <v>1.2929999526633735</v>
      </c>
      <c r="K60" s="1153">
        <f t="shared" si="5"/>
        <v>1.2929999526633735</v>
      </c>
      <c r="L60" s="1153">
        <f t="shared" si="5"/>
        <v>1.2697571454251302</v>
      </c>
      <c r="M60" s="1153">
        <f t="shared" si="5"/>
        <v>1.2697571454251302</v>
      </c>
      <c r="N60" s="1153">
        <f t="shared" si="5"/>
        <v>1.2697571454251302</v>
      </c>
    </row>
    <row r="61" spans="1:19" ht="16" x14ac:dyDescent="0.2">
      <c r="A61" s="1153" t="s">
        <v>2327</v>
      </c>
      <c r="B61" s="1153" t="s">
        <v>2238</v>
      </c>
      <c r="C61" s="1153"/>
      <c r="D61" s="1153">
        <f>1.293*273.15/(D25+273.15)</f>
        <v>1.2047857752004092</v>
      </c>
      <c r="E61" s="1153">
        <f t="shared" si="5"/>
        <v>1.2047857752004092</v>
      </c>
      <c r="F61" s="1153">
        <f t="shared" si="5"/>
        <v>1.2047857752004092</v>
      </c>
      <c r="G61" s="1153">
        <f t="shared" si="5"/>
        <v>1.2047857752004092</v>
      </c>
      <c r="H61" s="1153">
        <f t="shared" si="5"/>
        <v>1.2047857752004092</v>
      </c>
      <c r="I61" s="1153">
        <f t="shared" si="5"/>
        <v>1.2047857752004092</v>
      </c>
      <c r="J61" s="1153">
        <f t="shared" si="5"/>
        <v>1.2047857752004092</v>
      </c>
      <c r="K61" s="1153">
        <f t="shared" si="5"/>
        <v>1.2047857752004092</v>
      </c>
      <c r="L61" s="1153">
        <f t="shared" si="5"/>
        <v>1.2047857752004092</v>
      </c>
      <c r="M61" s="1153">
        <f t="shared" si="5"/>
        <v>1.2047857752004092</v>
      </c>
      <c r="N61" s="1153">
        <f t="shared" si="5"/>
        <v>1.2047857752004092</v>
      </c>
    </row>
    <row r="62" spans="1:19" ht="16" x14ac:dyDescent="0.2">
      <c r="A62" s="1153" t="s">
        <v>2328</v>
      </c>
      <c r="B62" s="1153" t="s">
        <v>496</v>
      </c>
      <c r="C62" s="1153"/>
      <c r="D62" s="1154">
        <f>((D29-D25)-(D30-D24))/LN((D29-D25)/(D30-D24))</f>
        <v>32.435795973154399</v>
      </c>
      <c r="E62" s="1154">
        <f t="shared" ref="E62:N62" si="6">((E29-E25)-(E30-E24))/LN((E29-E25)/(E30-E24))</f>
        <v>32.435795973154399</v>
      </c>
      <c r="F62" s="1154">
        <f t="shared" si="6"/>
        <v>32.435795973154399</v>
      </c>
      <c r="G62" s="1154">
        <f t="shared" si="6"/>
        <v>32.435795973154399</v>
      </c>
      <c r="H62" s="1154">
        <f t="shared" si="6"/>
        <v>33.842554056547812</v>
      </c>
      <c r="I62" s="1154">
        <f t="shared" si="6"/>
        <v>29.999995002666761</v>
      </c>
      <c r="J62" s="1154">
        <f t="shared" si="6"/>
        <v>29.999995002666761</v>
      </c>
      <c r="K62" s="1154">
        <f t="shared" si="6"/>
        <v>29.999995002666761</v>
      </c>
      <c r="L62" s="1154">
        <f t="shared" si="6"/>
        <v>27.424074738735392</v>
      </c>
      <c r="M62" s="1154">
        <f t="shared" si="6"/>
        <v>27.424074738735392</v>
      </c>
      <c r="N62" s="1154">
        <f t="shared" si="6"/>
        <v>27.424074738735392</v>
      </c>
    </row>
    <row r="63" spans="1:19" ht="16" x14ac:dyDescent="0.2">
      <c r="A63" s="1153" t="s">
        <v>2329</v>
      </c>
      <c r="B63" s="1153" t="s">
        <v>496</v>
      </c>
      <c r="C63" s="1153"/>
      <c r="D63" s="1150">
        <f>AVERAGE(D29:D30)-AVERAGE(D24:D25)</f>
        <v>32.5</v>
      </c>
      <c r="E63" s="1150">
        <f t="shared" ref="E63:N63" si="7">AVERAGE(E29:E30)-AVERAGE(E24:E25)</f>
        <v>32.5</v>
      </c>
      <c r="F63" s="1150">
        <f t="shared" si="7"/>
        <v>32.5</v>
      </c>
      <c r="G63" s="1150">
        <f t="shared" si="7"/>
        <v>32.5</v>
      </c>
      <c r="H63" s="1150">
        <f t="shared" si="7"/>
        <v>34</v>
      </c>
      <c r="I63" s="1150">
        <f t="shared" si="7"/>
        <v>29.999994999999998</v>
      </c>
      <c r="J63" s="1150">
        <f t="shared" si="7"/>
        <v>29.999994999999998</v>
      </c>
      <c r="K63" s="1150">
        <f t="shared" si="7"/>
        <v>29.999994999999998</v>
      </c>
      <c r="L63" s="1150">
        <f t="shared" si="7"/>
        <v>27.5</v>
      </c>
      <c r="M63" s="1150">
        <f t="shared" si="7"/>
        <v>27.5</v>
      </c>
      <c r="N63" s="1150">
        <f t="shared" si="7"/>
        <v>27.5</v>
      </c>
    </row>
    <row r="64" spans="1:19" x14ac:dyDescent="0.2">
      <c r="A64" s="1153"/>
      <c r="B64" s="1153"/>
      <c r="C64" s="1153"/>
      <c r="D64" s="1153"/>
      <c r="E64" s="1153"/>
      <c r="F64" s="1153"/>
      <c r="G64" s="1153"/>
      <c r="H64" s="1153"/>
      <c r="I64" s="1153"/>
      <c r="J64" s="1153"/>
      <c r="K64" s="1153"/>
      <c r="Q64" s="1155">
        <f t="array" ref="Q64:R64">LINEST(LN(D27:N27),LN(D22:N22))</f>
        <v>1.6981040587097147</v>
      </c>
      <c r="R64" s="1099">
        <v>4.0078660662577903</v>
      </c>
      <c r="S64" s="1155">
        <f>EXP(R64)</f>
        <v>55.029316266739983</v>
      </c>
    </row>
    <row r="65" spans="1:14" x14ac:dyDescent="0.2">
      <c r="A65" s="1153"/>
      <c r="B65" s="1153"/>
      <c r="C65" s="1153"/>
      <c r="D65" s="1153"/>
      <c r="E65" s="1153"/>
      <c r="F65" s="1153"/>
      <c r="G65" s="1153"/>
      <c r="H65" s="1153"/>
      <c r="I65" s="1153"/>
      <c r="J65" s="1153"/>
      <c r="K65" s="1153"/>
    </row>
    <row r="66" spans="1:14" x14ac:dyDescent="0.2">
      <c r="A66" s="1153"/>
      <c r="B66" s="1153"/>
      <c r="C66" s="1153"/>
      <c r="D66" s="1153"/>
      <c r="E66" s="1153"/>
      <c r="F66" s="1153"/>
      <c r="G66" s="1153"/>
      <c r="H66" s="1153"/>
      <c r="I66" s="1153"/>
      <c r="J66" s="1153"/>
      <c r="K66" s="1153"/>
      <c r="L66" s="1153"/>
      <c r="M66" s="1153"/>
      <c r="N66" s="1153"/>
    </row>
    <row r="67" spans="1:14" x14ac:dyDescent="0.2">
      <c r="A67" s="1153"/>
      <c r="B67" s="1153"/>
      <c r="C67" s="1153"/>
      <c r="D67" s="1153"/>
      <c r="E67" s="1153"/>
      <c r="F67" s="1153"/>
      <c r="G67" s="1153"/>
      <c r="H67" s="1153"/>
      <c r="I67" s="1153"/>
      <c r="J67" s="1153"/>
      <c r="K67" s="1153"/>
    </row>
    <row r="68" spans="1:14" x14ac:dyDescent="0.2">
      <c r="A68" s="1153"/>
      <c r="B68" s="1153"/>
      <c r="C68" s="1153"/>
      <c r="D68" s="1153"/>
      <c r="E68" s="1153"/>
      <c r="F68" s="1153"/>
      <c r="G68" s="1153"/>
      <c r="H68" s="1153"/>
      <c r="I68" s="1153"/>
      <c r="J68" s="1153"/>
      <c r="K68" s="1153"/>
    </row>
    <row r="69" spans="1:14" x14ac:dyDescent="0.2">
      <c r="A69" s="1153"/>
      <c r="B69" s="1153"/>
      <c r="C69" s="1153"/>
      <c r="D69" s="1153"/>
      <c r="E69" s="1153"/>
      <c r="F69" s="1153"/>
      <c r="G69" s="1153"/>
      <c r="H69" s="1153"/>
      <c r="I69" s="1153"/>
      <c r="J69" s="1153"/>
      <c r="K69" s="1153"/>
    </row>
    <row r="70" spans="1:14" x14ac:dyDescent="0.2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</row>
    <row r="71" spans="1:14" x14ac:dyDescent="0.2">
      <c r="A71" s="1153"/>
      <c r="B71" s="1153"/>
      <c r="C71" s="1153"/>
      <c r="D71" s="1153"/>
      <c r="E71" s="1153"/>
      <c r="F71" s="1153"/>
      <c r="G71" s="1153"/>
      <c r="H71" s="1153"/>
      <c r="I71" s="1153"/>
      <c r="J71" s="1153"/>
      <c r="K71" s="1153"/>
    </row>
    <row r="72" spans="1:14" x14ac:dyDescent="0.2">
      <c r="A72" s="1153"/>
      <c r="B72" s="1153"/>
      <c r="C72" s="1153"/>
      <c r="D72" s="1153"/>
      <c r="E72" s="1153"/>
      <c r="F72" s="1153"/>
      <c r="G72" s="1153"/>
      <c r="H72" s="1153"/>
      <c r="I72" s="1153"/>
      <c r="J72" s="1153"/>
      <c r="K72" s="1153"/>
    </row>
    <row r="73" spans="1:14" x14ac:dyDescent="0.2">
      <c r="A73" s="1153"/>
      <c r="B73" s="1153"/>
      <c r="C73" s="1153"/>
      <c r="D73" s="1153"/>
      <c r="E73" s="1153"/>
      <c r="F73" s="1153"/>
      <c r="G73" s="1153"/>
      <c r="H73" s="1153"/>
      <c r="I73" s="1153"/>
      <c r="J73" s="1153"/>
      <c r="K73" s="1153"/>
    </row>
    <row r="74" spans="1:14" x14ac:dyDescent="0.2">
      <c r="A74" s="1153"/>
      <c r="B74" s="1153"/>
      <c r="C74" s="1153"/>
      <c r="D74" s="1153"/>
      <c r="E74" s="1153"/>
      <c r="F74" s="1153"/>
      <c r="G74" s="1153"/>
      <c r="H74" s="1153"/>
      <c r="I74" s="1153"/>
      <c r="J74" s="1153"/>
      <c r="K74" s="1153"/>
    </row>
    <row r="81" spans="19:21" x14ac:dyDescent="0.2">
      <c r="S81" s="1155">
        <f t="array" ref="S81:T81">LINEST(LN(D33:N33),LN(D31:N31))</f>
        <v>1.9761774779177685</v>
      </c>
      <c r="T81" s="1099">
        <v>5.1408822788662185</v>
      </c>
      <c r="U81" s="1155">
        <f>EXP(T81)</f>
        <v>170.86645369933061</v>
      </c>
    </row>
  </sheetData>
  <mergeCells count="5">
    <mergeCell ref="A50:D50"/>
    <mergeCell ref="A51:B51"/>
    <mergeCell ref="A53:B53"/>
    <mergeCell ref="A55:B55"/>
    <mergeCell ref="A57:B57"/>
  </mergeCells>
  <conditionalFormatting sqref="D47:N47">
    <cfRule type="cellIs" dxfId="42" priority="4" operator="between">
      <formula>2500</formula>
      <formula>4000</formula>
    </cfRule>
    <cfRule type="cellIs" dxfId="41" priority="5" operator="lessThan">
      <formula>2500</formula>
    </cfRule>
    <cfRule type="cellIs" dxfId="40" priority="6" operator="greaterThan">
      <formula>4000</formula>
    </cfRule>
  </conditionalFormatting>
  <conditionalFormatting sqref="T25">
    <cfRule type="cellIs" dxfId="39" priority="10" operator="between">
      <formula>2500</formula>
      <formula>4000</formula>
    </cfRule>
    <cfRule type="cellIs" dxfId="38" priority="11" operator="lessThan">
      <formula>2500</formula>
    </cfRule>
    <cfRule type="cellIs" dxfId="37" priority="12" operator="greaterThan">
      <formula>4000</formula>
    </cfRule>
  </conditionalFormatting>
  <conditionalFormatting sqref="Y25">
    <cfRule type="cellIs" dxfId="36" priority="1" operator="between">
      <formula>2500</formula>
      <formula>4000</formula>
    </cfRule>
    <cfRule type="cellIs" dxfId="35" priority="2" operator="lessThan">
      <formula>2500</formula>
    </cfRule>
    <cfRule type="cellIs" dxfId="34" priority="3" operator="greaterThan">
      <formula>4000</formula>
    </cfRule>
  </conditionalFormatting>
  <conditionalFormatting sqref="AE25">
    <cfRule type="cellIs" dxfId="33" priority="13" operator="greaterThan">
      <formula>4000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A960-3A5A-45A4-B825-2C235AAD46AD}">
  <dimension ref="A1:AD81"/>
  <sheetViews>
    <sheetView topLeftCell="J1" zoomScale="115" zoomScaleNormal="115" workbookViewId="0">
      <selection activeCell="B126" sqref="B126"/>
    </sheetView>
  </sheetViews>
  <sheetFormatPr baseColWidth="10" defaultColWidth="9.1640625" defaultRowHeight="15" x14ac:dyDescent="0.2"/>
  <cols>
    <col min="1" max="1" width="28" style="1098" customWidth="1"/>
    <col min="2" max="2" width="7.5" style="1098" customWidth="1"/>
    <col min="3" max="3" width="1.6640625" style="1098" customWidth="1"/>
    <col min="4" max="17" width="8.83203125" style="1099" customWidth="1"/>
    <col min="18" max="18" width="12.5" style="1099" customWidth="1"/>
    <col min="19" max="22" width="8.83203125" style="1099" customWidth="1"/>
    <col min="23" max="25" width="8.83203125" style="1098" customWidth="1"/>
    <col min="26" max="16384" width="9.1640625" style="1098"/>
  </cols>
  <sheetData>
    <row r="1" spans="1:30" ht="19" x14ac:dyDescent="0.2">
      <c r="A1" s="1097" t="s">
        <v>2330</v>
      </c>
    </row>
    <row r="2" spans="1:30" ht="12.75" customHeight="1" x14ac:dyDescent="0.2">
      <c r="A2" s="1100" t="s">
        <v>2230</v>
      </c>
      <c r="B2" s="1101"/>
      <c r="C2" s="1147"/>
      <c r="D2" s="1156">
        <v>1</v>
      </c>
      <c r="E2" s="1156">
        <v>2</v>
      </c>
      <c r="F2" s="1156">
        <v>3</v>
      </c>
      <c r="G2" s="1156">
        <v>4</v>
      </c>
      <c r="H2" s="1157">
        <v>5</v>
      </c>
      <c r="I2" s="1157">
        <v>6</v>
      </c>
      <c r="J2" s="1157">
        <v>7</v>
      </c>
      <c r="K2" s="1157">
        <v>8</v>
      </c>
      <c r="L2" s="1157">
        <v>9</v>
      </c>
      <c r="M2" s="1157">
        <v>10</v>
      </c>
      <c r="N2" s="1157">
        <v>11</v>
      </c>
      <c r="R2" s="1105" t="s">
        <v>2231</v>
      </c>
    </row>
    <row r="3" spans="1:30" ht="12.75" customHeight="1" x14ac:dyDescent="0.2">
      <c r="A3" s="1100" t="s">
        <v>2232</v>
      </c>
      <c r="B3" s="1101"/>
      <c r="C3" s="1147"/>
      <c r="D3" s="1107">
        <v>1</v>
      </c>
      <c r="E3" s="1107">
        <v>1</v>
      </c>
      <c r="F3" s="1107">
        <v>1</v>
      </c>
      <c r="G3" s="1107">
        <v>1</v>
      </c>
      <c r="H3" s="1149">
        <v>1</v>
      </c>
      <c r="I3" s="1149">
        <v>1</v>
      </c>
      <c r="J3" s="1149">
        <v>1</v>
      </c>
      <c r="K3" s="1149">
        <v>1</v>
      </c>
      <c r="L3" s="1149">
        <v>1</v>
      </c>
      <c r="M3" s="1149">
        <v>1</v>
      </c>
      <c r="N3" s="1149">
        <v>1</v>
      </c>
    </row>
    <row r="4" spans="1:30" ht="12.75" customHeight="1" x14ac:dyDescent="0.25">
      <c r="A4" s="1100" t="s">
        <v>2233</v>
      </c>
      <c r="B4" s="1101"/>
      <c r="C4" s="1147"/>
      <c r="D4" s="1110"/>
      <c r="E4" s="1110"/>
      <c r="F4" s="1110"/>
      <c r="G4" s="1110"/>
      <c r="H4" s="1158"/>
      <c r="I4" s="1158"/>
      <c r="J4" s="1158"/>
      <c r="K4" s="1158"/>
      <c r="L4" s="1158"/>
      <c r="M4" s="1158"/>
      <c r="N4" s="1158"/>
      <c r="R4" s="1098" t="s">
        <v>485</v>
      </c>
      <c r="T4" s="1112">
        <f>'C5 Lämmitys'!E13</f>
        <v>500</v>
      </c>
      <c r="U4" s="1099" t="s">
        <v>13</v>
      </c>
      <c r="V4" s="1099" t="s">
        <v>2234</v>
      </c>
      <c r="X4" s="1098" t="s">
        <v>2235</v>
      </c>
      <c r="Z4" s="1098" t="s">
        <v>2437</v>
      </c>
      <c r="AC4" s="1119">
        <f>S64*(T4/1000)^Q64</f>
        <v>26.36533393849389</v>
      </c>
      <c r="AD4" s="1098" t="s">
        <v>14</v>
      </c>
    </row>
    <row r="5" spans="1:30" ht="12.75" customHeight="1" x14ac:dyDescent="0.25">
      <c r="A5" s="1100" t="s">
        <v>2236</v>
      </c>
      <c r="B5" s="1101"/>
      <c r="C5" s="1147"/>
      <c r="D5" s="1110"/>
      <c r="E5" s="1110"/>
      <c r="F5" s="1110"/>
      <c r="G5" s="1110"/>
      <c r="H5" s="1158"/>
      <c r="I5" s="1158"/>
      <c r="J5" s="1158"/>
      <c r="K5" s="1158"/>
      <c r="L5" s="1158"/>
      <c r="M5" s="1158"/>
      <c r="N5" s="1158"/>
      <c r="R5" s="1098" t="s">
        <v>2237</v>
      </c>
      <c r="T5" s="1112">
        <f>'C5 Lämmitys'!E14</f>
        <v>-5</v>
      </c>
      <c r="U5" s="1099" t="s">
        <v>230</v>
      </c>
      <c r="V5" s="1099">
        <f>1.293*273.15/(T5+273.15)</f>
        <v>1.3171096401267945</v>
      </c>
      <c r="W5" s="1098" t="s">
        <v>2238</v>
      </c>
      <c r="X5" s="1098">
        <f>1005+0.2*T5</f>
        <v>1004</v>
      </c>
      <c r="Y5" s="1098" t="s">
        <v>2239</v>
      </c>
    </row>
    <row r="6" spans="1:30" ht="12.75" customHeight="1" x14ac:dyDescent="0.25">
      <c r="A6" s="1100" t="s">
        <v>2240</v>
      </c>
      <c r="B6" s="1101"/>
      <c r="C6" s="1147"/>
      <c r="D6" s="1110"/>
      <c r="E6" s="1110"/>
      <c r="F6" s="1110"/>
      <c r="G6" s="1110"/>
      <c r="H6" s="1158"/>
      <c r="I6" s="1158"/>
      <c r="J6" s="1158"/>
      <c r="K6" s="1158"/>
      <c r="L6" s="1158"/>
      <c r="M6" s="1158"/>
      <c r="N6" s="1158"/>
      <c r="R6" s="1098" t="s">
        <v>2241</v>
      </c>
      <c r="T6" s="1112">
        <f>'C5 Lämmitys'!E15</f>
        <v>20</v>
      </c>
      <c r="U6" s="1099" t="s">
        <v>230</v>
      </c>
      <c r="V6" s="1099">
        <f>1.293*273.15/(T6+273.15)</f>
        <v>1.2047857752004092</v>
      </c>
      <c r="W6" s="1098" t="s">
        <v>2238</v>
      </c>
      <c r="X6" s="1098">
        <f>1005+0.2*T6</f>
        <v>1009</v>
      </c>
      <c r="Y6" s="1098" t="s">
        <v>2239</v>
      </c>
    </row>
    <row r="7" spans="1:30" ht="12.75" customHeight="1" x14ac:dyDescent="0.2">
      <c r="A7" s="1100" t="s">
        <v>2242</v>
      </c>
      <c r="B7" s="1101"/>
      <c r="C7" s="1147"/>
      <c r="D7" s="1107" t="s">
        <v>2243</v>
      </c>
      <c r="E7" s="1107" t="s">
        <v>2243</v>
      </c>
      <c r="F7" s="1107" t="s">
        <v>2243</v>
      </c>
      <c r="G7" s="1107" t="s">
        <v>2243</v>
      </c>
      <c r="H7" s="1149" t="s">
        <v>2243</v>
      </c>
      <c r="I7" s="1149" t="s">
        <v>2243</v>
      </c>
      <c r="J7" s="1149" t="s">
        <v>2243</v>
      </c>
      <c r="K7" s="1149" t="s">
        <v>2243</v>
      </c>
      <c r="L7" s="1149" t="s">
        <v>2243</v>
      </c>
      <c r="M7" s="1149" t="s">
        <v>2243</v>
      </c>
      <c r="N7" s="1149" t="s">
        <v>2243</v>
      </c>
    </row>
    <row r="8" spans="1:30" ht="12.75" customHeight="1" x14ac:dyDescent="0.2">
      <c r="A8" s="1100" t="s">
        <v>2244</v>
      </c>
      <c r="B8" s="1101"/>
      <c r="C8" s="1147"/>
      <c r="D8" s="1110"/>
      <c r="E8" s="1110"/>
      <c r="F8" s="1110"/>
      <c r="G8" s="1110"/>
      <c r="H8" s="1158"/>
      <c r="I8" s="1158"/>
      <c r="J8" s="1158"/>
      <c r="K8" s="1158"/>
      <c r="L8" s="1158"/>
      <c r="M8" s="1158"/>
      <c r="N8" s="1158"/>
      <c r="R8" s="1098" t="s">
        <v>2245</v>
      </c>
    </row>
    <row r="9" spans="1:30" ht="12.75" customHeight="1" x14ac:dyDescent="0.25">
      <c r="A9" s="1100" t="s">
        <v>2246</v>
      </c>
      <c r="B9" s="1101"/>
      <c r="C9" s="1147"/>
      <c r="D9" s="1110"/>
      <c r="E9" s="1110"/>
      <c r="F9" s="1110"/>
      <c r="G9" s="1110"/>
      <c r="H9" s="1158"/>
      <c r="I9" s="1158"/>
      <c r="J9" s="1158"/>
      <c r="K9" s="1158"/>
      <c r="L9" s="1158"/>
      <c r="M9" s="1158"/>
      <c r="N9" s="1158"/>
      <c r="R9" s="1099" t="s">
        <v>2247</v>
      </c>
      <c r="T9" s="1112">
        <f>'C5 LÄM-1'!T9</f>
        <v>50</v>
      </c>
      <c r="U9" s="1099" t="s">
        <v>230</v>
      </c>
    </row>
    <row r="10" spans="1:30" ht="12.75" customHeight="1" x14ac:dyDescent="0.25">
      <c r="A10" s="1100" t="s">
        <v>2248</v>
      </c>
      <c r="B10" s="1101"/>
      <c r="C10" s="1147"/>
      <c r="D10" s="1107" t="s">
        <v>2249</v>
      </c>
      <c r="E10" s="1107" t="s">
        <v>2249</v>
      </c>
      <c r="F10" s="1107" t="s">
        <v>2249</v>
      </c>
      <c r="G10" s="1107" t="s">
        <v>2249</v>
      </c>
      <c r="H10" s="1149" t="s">
        <v>2249</v>
      </c>
      <c r="I10" s="1149" t="s">
        <v>2250</v>
      </c>
      <c r="J10" s="1149" t="s">
        <v>2249</v>
      </c>
      <c r="K10" s="1149" t="s">
        <v>2249</v>
      </c>
      <c r="L10" s="1149" t="s">
        <v>2249</v>
      </c>
      <c r="M10" s="1149" t="s">
        <v>2249</v>
      </c>
      <c r="N10" s="1149" t="s">
        <v>2249</v>
      </c>
      <c r="R10" s="1099" t="s">
        <v>2251</v>
      </c>
      <c r="T10" s="1112">
        <f>'C5 LÄM-1'!T10</f>
        <v>30</v>
      </c>
      <c r="U10" s="1099" t="s">
        <v>230</v>
      </c>
    </row>
    <row r="11" spans="1:30" ht="12.75" customHeight="1" x14ac:dyDescent="0.2">
      <c r="A11" s="1100" t="s">
        <v>2252</v>
      </c>
      <c r="B11" s="1101"/>
      <c r="C11" s="1147"/>
      <c r="D11" s="1107" t="s">
        <v>2249</v>
      </c>
      <c r="E11" s="1107" t="s">
        <v>2249</v>
      </c>
      <c r="F11" s="1107" t="s">
        <v>2249</v>
      </c>
      <c r="G11" s="1107" t="s">
        <v>2249</v>
      </c>
      <c r="H11" s="1149" t="s">
        <v>2249</v>
      </c>
      <c r="I11" s="1149" t="s">
        <v>2249</v>
      </c>
      <c r="J11" s="1149" t="s">
        <v>2249</v>
      </c>
      <c r="K11" s="1149" t="s">
        <v>2249</v>
      </c>
      <c r="L11" s="1149" t="s">
        <v>2249</v>
      </c>
      <c r="M11" s="1149" t="s">
        <v>2249</v>
      </c>
      <c r="N11" s="1149" t="s">
        <v>2249</v>
      </c>
      <c r="W11" s="1098" t="s">
        <v>2253</v>
      </c>
      <c r="X11" s="1127">
        <f>(T9+T10)/2-(T6+T5)/2</f>
        <v>32.5</v>
      </c>
    </row>
    <row r="12" spans="1:30" ht="12.75" customHeight="1" x14ac:dyDescent="0.2">
      <c r="A12" s="1100" t="s">
        <v>2254</v>
      </c>
      <c r="B12" s="1101"/>
      <c r="C12" s="1147"/>
      <c r="D12" s="1107" t="s">
        <v>2255</v>
      </c>
      <c r="E12" s="1107" t="s">
        <v>2255</v>
      </c>
      <c r="F12" s="1107" t="s">
        <v>2255</v>
      </c>
      <c r="G12" s="1107" t="s">
        <v>2255</v>
      </c>
      <c r="H12" s="1149" t="s">
        <v>2255</v>
      </c>
      <c r="I12" s="1149" t="s">
        <v>2255</v>
      </c>
      <c r="J12" s="1149" t="s">
        <v>2255</v>
      </c>
      <c r="K12" s="1149" t="s">
        <v>2255</v>
      </c>
      <c r="L12" s="1149" t="s">
        <v>2255</v>
      </c>
      <c r="M12" s="1149" t="s">
        <v>2255</v>
      </c>
      <c r="N12" s="1149" t="s">
        <v>2255</v>
      </c>
      <c r="X12" s="1127">
        <f>(T9+T17)/2-(T6+T5)/2</f>
        <v>24.946939165282103</v>
      </c>
    </row>
    <row r="13" spans="1:30" ht="12.75" customHeight="1" x14ac:dyDescent="0.2">
      <c r="A13" s="1100" t="s">
        <v>2256</v>
      </c>
      <c r="B13" s="1100" t="s">
        <v>2257</v>
      </c>
      <c r="C13" s="1147"/>
      <c r="D13" s="1110"/>
      <c r="E13" s="1110"/>
      <c r="F13" s="1110"/>
      <c r="G13" s="1110"/>
      <c r="H13" s="1158"/>
      <c r="I13" s="1158"/>
      <c r="J13" s="1158"/>
      <c r="K13" s="1158"/>
      <c r="L13" s="1158"/>
      <c r="M13" s="1158"/>
      <c r="N13" s="1158"/>
      <c r="R13" s="1098" t="s">
        <v>2258</v>
      </c>
      <c r="T13" s="1113">
        <f>T4/1000*AVERAGE(V5:V6)*AVERAGE(X5:X6)*(T6-T5)/1000</f>
        <v>15.864298347042688</v>
      </c>
      <c r="U13" s="1099" t="s">
        <v>2259</v>
      </c>
      <c r="X13" s="1127">
        <f>(Y17+T10)/2-(T6+T5)/2</f>
        <v>24.946939165282103</v>
      </c>
    </row>
    <row r="14" spans="1:30" ht="12.75" customHeight="1" x14ac:dyDescent="0.2">
      <c r="A14" s="1101"/>
      <c r="B14" s="1101"/>
      <c r="C14" s="1101"/>
      <c r="D14" s="1115"/>
      <c r="E14" s="1115"/>
      <c r="F14" s="1115"/>
      <c r="G14" s="1115"/>
      <c r="H14" s="1159"/>
      <c r="I14" s="1159"/>
      <c r="J14" s="1159"/>
      <c r="K14" s="1159"/>
      <c r="L14" s="1159"/>
      <c r="M14" s="1159"/>
      <c r="N14" s="1159"/>
      <c r="R14" s="1098" t="s">
        <v>2260</v>
      </c>
      <c r="T14" s="1117">
        <f>(T13/$Y$45)^(1/$W$45)</f>
        <v>24.946939165282107</v>
      </c>
      <c r="U14" s="1099" t="s">
        <v>496</v>
      </c>
    </row>
    <row r="15" spans="1:30" ht="12.75" customHeight="1" x14ac:dyDescent="0.2">
      <c r="A15" s="1100" t="s">
        <v>2261</v>
      </c>
      <c r="B15" s="1100" t="s">
        <v>2262</v>
      </c>
      <c r="C15" s="1147"/>
      <c r="D15" s="1131">
        <v>650</v>
      </c>
      <c r="E15" s="1131">
        <v>650</v>
      </c>
      <c r="F15" s="1131">
        <v>650</v>
      </c>
      <c r="G15" s="1131">
        <v>650</v>
      </c>
      <c r="H15" s="1149">
        <v>650</v>
      </c>
      <c r="I15" s="1149">
        <v>650</v>
      </c>
      <c r="J15" s="1149">
        <v>650</v>
      </c>
      <c r="K15" s="1149">
        <v>650</v>
      </c>
      <c r="L15" s="1149">
        <v>650</v>
      </c>
      <c r="M15" s="1149">
        <v>650</v>
      </c>
      <c r="N15" s="1149">
        <v>650</v>
      </c>
    </row>
    <row r="16" spans="1:30" ht="12.75" customHeight="1" x14ac:dyDescent="0.2">
      <c r="A16" s="1100" t="s">
        <v>2263</v>
      </c>
      <c r="B16" s="1100" t="s">
        <v>2262</v>
      </c>
      <c r="C16" s="1147"/>
      <c r="D16" s="1131">
        <v>450</v>
      </c>
      <c r="E16" s="1131">
        <v>450</v>
      </c>
      <c r="F16" s="1131">
        <v>450</v>
      </c>
      <c r="G16" s="1131">
        <v>450</v>
      </c>
      <c r="H16" s="1149">
        <v>450</v>
      </c>
      <c r="I16" s="1149">
        <v>450</v>
      </c>
      <c r="J16" s="1149">
        <v>450</v>
      </c>
      <c r="K16" s="1149">
        <v>450</v>
      </c>
      <c r="L16" s="1149">
        <v>450</v>
      </c>
      <c r="M16" s="1149">
        <v>450</v>
      </c>
      <c r="N16" s="1149">
        <v>450</v>
      </c>
      <c r="R16" s="1098" t="s">
        <v>2264</v>
      </c>
      <c r="W16" s="1098" t="s">
        <v>2265</v>
      </c>
      <c r="X16" s="1099"/>
      <c r="Y16" s="1099"/>
      <c r="Z16" s="1099"/>
    </row>
    <row r="17" spans="1:29" ht="12.75" customHeight="1" x14ac:dyDescent="0.25">
      <c r="A17" s="1100" t="s">
        <v>2266</v>
      </c>
      <c r="B17" s="1100" t="s">
        <v>2262</v>
      </c>
      <c r="C17" s="1147"/>
      <c r="D17" s="1131">
        <v>710</v>
      </c>
      <c r="E17" s="1131">
        <v>710</v>
      </c>
      <c r="F17" s="1131">
        <v>710</v>
      </c>
      <c r="G17" s="1131">
        <v>710</v>
      </c>
      <c r="H17" s="1149">
        <v>710</v>
      </c>
      <c r="I17" s="1149">
        <v>710</v>
      </c>
      <c r="J17" s="1149">
        <v>710</v>
      </c>
      <c r="K17" s="1149">
        <v>710</v>
      </c>
      <c r="L17" s="1149">
        <v>710</v>
      </c>
      <c r="M17" s="1149">
        <v>710</v>
      </c>
      <c r="N17" s="1149">
        <v>710</v>
      </c>
      <c r="R17" s="1099" t="s">
        <v>2251</v>
      </c>
      <c r="T17" s="1118">
        <f>2*T14-T9+T6+T5</f>
        <v>14.893878330564213</v>
      </c>
      <c r="U17" s="1099" t="s">
        <v>230</v>
      </c>
      <c r="W17" s="1099" t="s">
        <v>2247</v>
      </c>
      <c r="X17" s="1099"/>
      <c r="Y17" s="1119">
        <f>2*T14-T10+T6+T5</f>
        <v>34.893878330564213</v>
      </c>
      <c r="Z17" s="1099" t="s">
        <v>230</v>
      </c>
    </row>
    <row r="18" spans="1:29" ht="12.75" customHeight="1" x14ac:dyDescent="0.2">
      <c r="A18" s="1100" t="s">
        <v>2267</v>
      </c>
      <c r="B18" s="1100" t="s">
        <v>2262</v>
      </c>
      <c r="C18" s="1147"/>
      <c r="D18" s="1131">
        <v>450</v>
      </c>
      <c r="E18" s="1131">
        <v>450</v>
      </c>
      <c r="F18" s="1131">
        <v>450</v>
      </c>
      <c r="G18" s="1131">
        <v>450</v>
      </c>
      <c r="H18" s="1149">
        <v>450</v>
      </c>
      <c r="I18" s="1149">
        <v>450</v>
      </c>
      <c r="J18" s="1149">
        <v>450</v>
      </c>
      <c r="K18" s="1149">
        <v>450</v>
      </c>
      <c r="L18" s="1149">
        <v>450</v>
      </c>
      <c r="M18" s="1149">
        <v>450</v>
      </c>
      <c r="N18" s="1149">
        <v>450</v>
      </c>
      <c r="R18" s="1099" t="s">
        <v>498</v>
      </c>
      <c r="T18" s="1120">
        <f>T13/(T9-T17)/4.186</f>
        <v>0.10795401298441727</v>
      </c>
      <c r="U18" s="1099" t="s">
        <v>13</v>
      </c>
      <c r="W18" s="1099" t="s">
        <v>498</v>
      </c>
      <c r="X18" s="1099"/>
      <c r="Y18" s="1121">
        <f>T13/(Y17-T10)/4.186</f>
        <v>0.77440558562024442</v>
      </c>
      <c r="Z18" s="1099" t="s">
        <v>13</v>
      </c>
    </row>
    <row r="19" spans="1:29" ht="12.75" customHeight="1" x14ac:dyDescent="0.2">
      <c r="A19" s="1100" t="s">
        <v>2268</v>
      </c>
      <c r="B19" s="1100" t="s">
        <v>2262</v>
      </c>
      <c r="C19" s="1147"/>
      <c r="D19" s="1131">
        <v>120</v>
      </c>
      <c r="E19" s="1131">
        <v>120</v>
      </c>
      <c r="F19" s="1131">
        <v>120</v>
      </c>
      <c r="G19" s="1131">
        <v>120</v>
      </c>
      <c r="H19" s="1149">
        <v>120</v>
      </c>
      <c r="I19" s="1149">
        <v>120</v>
      </c>
      <c r="J19" s="1149">
        <v>120</v>
      </c>
      <c r="K19" s="1149">
        <v>120</v>
      </c>
      <c r="L19" s="1149">
        <v>120</v>
      </c>
      <c r="M19" s="1149">
        <v>120</v>
      </c>
      <c r="N19" s="1149">
        <v>120</v>
      </c>
      <c r="R19" s="1099" t="s">
        <v>499</v>
      </c>
      <c r="T19" s="1122">
        <f>$U$81*T18^$S$81</f>
        <v>0.21088978996904817</v>
      </c>
      <c r="U19" s="1099" t="s">
        <v>500</v>
      </c>
      <c r="W19" s="1099" t="s">
        <v>499</v>
      </c>
      <c r="X19" s="1099"/>
      <c r="Y19" s="1123">
        <f>$U$81*Y18^$S$81</f>
        <v>8.6936835270015429</v>
      </c>
      <c r="Z19" s="1099" t="s">
        <v>500</v>
      </c>
    </row>
    <row r="20" spans="1:29" ht="12.75" customHeight="1" x14ac:dyDescent="0.2">
      <c r="A20" s="1101"/>
      <c r="B20" s="1101"/>
      <c r="C20" s="1101"/>
      <c r="D20" s="1160"/>
      <c r="E20" s="1160"/>
      <c r="F20" s="1160"/>
      <c r="G20" s="1160"/>
      <c r="H20" s="1159"/>
      <c r="I20" s="1159"/>
      <c r="J20" s="1159"/>
      <c r="K20" s="1159"/>
      <c r="L20" s="1159"/>
      <c r="M20" s="1159"/>
      <c r="N20" s="1159"/>
      <c r="R20" s="1098"/>
      <c r="S20" s="1098" t="s">
        <v>2253</v>
      </c>
      <c r="T20" s="1145">
        <f>AVERAGE(T17,T9)-AVERAGE(T5:T6)</f>
        <v>24.946939165282103</v>
      </c>
      <c r="X20" s="1098" t="s">
        <v>2253</v>
      </c>
      <c r="Y20" s="1145">
        <f>AVERAGE(Y17,T10)-AVERAGE(T5:T6)</f>
        <v>24.946939165282103</v>
      </c>
    </row>
    <row r="21" spans="1:29" ht="12.75" customHeight="1" x14ac:dyDescent="0.2">
      <c r="A21" s="1100" t="s">
        <v>2269</v>
      </c>
      <c r="B21" s="1100" t="s">
        <v>2270</v>
      </c>
      <c r="C21" s="1147"/>
      <c r="D21" s="1131">
        <v>6</v>
      </c>
      <c r="E21" s="1131">
        <v>9</v>
      </c>
      <c r="F21" s="1131">
        <v>12</v>
      </c>
      <c r="G21" s="1131">
        <v>15</v>
      </c>
      <c r="H21" s="1149">
        <v>18</v>
      </c>
      <c r="I21" s="1149">
        <v>9</v>
      </c>
      <c r="J21" s="1149">
        <v>12</v>
      </c>
      <c r="K21" s="1149">
        <v>15</v>
      </c>
      <c r="L21" s="1149">
        <v>5.4</v>
      </c>
      <c r="M21" s="1149">
        <v>7.2</v>
      </c>
      <c r="N21" s="1149">
        <v>9</v>
      </c>
    </row>
    <row r="22" spans="1:29" ht="12.75" customHeight="1" x14ac:dyDescent="0.2">
      <c r="A22" s="1100" t="s">
        <v>2273</v>
      </c>
      <c r="B22" s="1100" t="s">
        <v>2274</v>
      </c>
      <c r="C22" s="1147"/>
      <c r="D22" s="1107">
        <v>0.2</v>
      </c>
      <c r="E22" s="1107">
        <v>0.3</v>
      </c>
      <c r="F22" s="1107">
        <v>0.4</v>
      </c>
      <c r="G22" s="1107">
        <v>0.5</v>
      </c>
      <c r="H22" s="1149">
        <v>0.6</v>
      </c>
      <c r="I22" s="1149">
        <v>0.3</v>
      </c>
      <c r="J22" s="1149">
        <v>0.4</v>
      </c>
      <c r="K22" s="1149">
        <v>0.5</v>
      </c>
      <c r="L22" s="1149">
        <v>0.3</v>
      </c>
      <c r="M22" s="1149">
        <v>0.4</v>
      </c>
      <c r="N22" s="1149">
        <v>0.5</v>
      </c>
      <c r="R22" s="1098" t="s">
        <v>2271</v>
      </c>
      <c r="S22" s="1098"/>
      <c r="T22" s="1127">
        <v>13</v>
      </c>
      <c r="U22" s="1098" t="s">
        <v>2272</v>
      </c>
      <c r="V22" s="1098"/>
      <c r="W22" s="1098" t="s">
        <v>2271</v>
      </c>
      <c r="Y22" s="1127">
        <v>13</v>
      </c>
      <c r="Z22" s="1098" t="s">
        <v>2272</v>
      </c>
    </row>
    <row r="23" spans="1:29" ht="12.75" customHeight="1" x14ac:dyDescent="0.2">
      <c r="A23" s="1100" t="s">
        <v>2276</v>
      </c>
      <c r="B23" s="1100" t="s">
        <v>2277</v>
      </c>
      <c r="C23" s="1147"/>
      <c r="D23" s="1107">
        <v>0.24</v>
      </c>
      <c r="E23" s="1107">
        <v>0.36</v>
      </c>
      <c r="F23" s="1107">
        <v>0.48</v>
      </c>
      <c r="G23" s="1107">
        <v>0.6</v>
      </c>
      <c r="H23" s="1149">
        <v>0.72</v>
      </c>
      <c r="I23" s="1149">
        <v>0.36</v>
      </c>
      <c r="J23" s="1149">
        <v>0.48</v>
      </c>
      <c r="K23" s="1149">
        <v>0.6</v>
      </c>
      <c r="L23" s="1149">
        <v>0.36</v>
      </c>
      <c r="M23" s="1149">
        <v>0.48</v>
      </c>
      <c r="N23" s="1149">
        <v>0.6</v>
      </c>
      <c r="R23" s="1098" t="s">
        <v>2275</v>
      </c>
      <c r="S23" s="1098"/>
      <c r="T23" s="1127">
        <f>T18/T22</f>
        <v>8.3041548449551746E-3</v>
      </c>
      <c r="U23" s="1098" t="s">
        <v>502</v>
      </c>
      <c r="V23" s="1098"/>
      <c r="W23" s="1098" t="s">
        <v>2275</v>
      </c>
      <c r="Y23" s="1127">
        <f>Y18/Y22</f>
        <v>5.9569660432326491E-2</v>
      </c>
      <c r="Z23" s="1098" t="s">
        <v>502</v>
      </c>
    </row>
    <row r="24" spans="1:29" ht="12.75" customHeight="1" x14ac:dyDescent="0.2">
      <c r="A24" s="1100" t="s">
        <v>2280</v>
      </c>
      <c r="B24" s="1100" t="s">
        <v>2281</v>
      </c>
      <c r="C24" s="1147"/>
      <c r="D24" s="1131">
        <v>-5</v>
      </c>
      <c r="E24" s="1131">
        <v>-5</v>
      </c>
      <c r="F24" s="1131">
        <v>-5</v>
      </c>
      <c r="G24" s="1131">
        <v>-5</v>
      </c>
      <c r="H24" s="1149">
        <v>-5</v>
      </c>
      <c r="I24" s="1149">
        <v>-5</v>
      </c>
      <c r="J24" s="1149">
        <v>-5</v>
      </c>
      <c r="K24" s="1149">
        <v>-5</v>
      </c>
      <c r="L24" s="1149">
        <v>5</v>
      </c>
      <c r="M24" s="1149">
        <v>5</v>
      </c>
      <c r="N24" s="1149">
        <v>5</v>
      </c>
      <c r="R24" s="1098" t="s">
        <v>2278</v>
      </c>
      <c r="S24" s="1098"/>
      <c r="T24" s="1127">
        <f>9.52-2*0.36</f>
        <v>8.7999999999999989</v>
      </c>
      <c r="U24" s="1098" t="s">
        <v>2279</v>
      </c>
      <c r="V24" s="1098"/>
      <c r="W24" s="1098" t="s">
        <v>2278</v>
      </c>
      <c r="Y24" s="1127">
        <f>9.52-2*0.36</f>
        <v>8.7999999999999989</v>
      </c>
      <c r="Z24" s="1098" t="s">
        <v>2279</v>
      </c>
    </row>
    <row r="25" spans="1:29" ht="12.75" customHeight="1" x14ac:dyDescent="0.2">
      <c r="A25" s="1100" t="s">
        <v>2282</v>
      </c>
      <c r="B25" s="1100" t="s">
        <v>2281</v>
      </c>
      <c r="C25" s="1147"/>
      <c r="D25" s="1131">
        <v>20</v>
      </c>
      <c r="E25" s="1131">
        <v>20</v>
      </c>
      <c r="F25" s="1131">
        <v>20</v>
      </c>
      <c r="G25" s="1131">
        <v>20</v>
      </c>
      <c r="H25" s="1149">
        <v>20</v>
      </c>
      <c r="I25" s="1149">
        <v>20</v>
      </c>
      <c r="J25" s="1149">
        <v>20</v>
      </c>
      <c r="K25" s="1149">
        <v>20</v>
      </c>
      <c r="L25" s="1149">
        <v>20</v>
      </c>
      <c r="M25" s="1149">
        <v>20</v>
      </c>
      <c r="N25" s="1149">
        <v>20</v>
      </c>
      <c r="R25" s="1098" t="s">
        <v>501</v>
      </c>
      <c r="S25" s="1098"/>
      <c r="T25" s="1127">
        <f>T23/1000/(PI()*(T24/1000/2)^2)</f>
        <v>0.13653381113379423</v>
      </c>
      <c r="U25" s="1098" t="s">
        <v>502</v>
      </c>
      <c r="V25" s="1098"/>
      <c r="W25" s="1098" t="s">
        <v>501</v>
      </c>
      <c r="Y25" s="1127">
        <f>Y23/1000/(PI()*(Y24/1000/2)^2)</f>
        <v>0.97942209877174125</v>
      </c>
      <c r="Z25" s="1098" t="s">
        <v>502</v>
      </c>
    </row>
    <row r="26" spans="1:29" ht="12.75" customHeight="1" x14ac:dyDescent="0.2">
      <c r="A26" s="1100" t="s">
        <v>2284</v>
      </c>
      <c r="B26" s="1100" t="s">
        <v>2285</v>
      </c>
      <c r="C26" s="1147"/>
      <c r="D26" s="1107">
        <v>0.68</v>
      </c>
      <c r="E26" s="1107">
        <v>1.03</v>
      </c>
      <c r="F26" s="1107">
        <v>1.37</v>
      </c>
      <c r="G26" s="1107">
        <v>1.71</v>
      </c>
      <c r="H26" s="1149">
        <v>2.0499999999999998</v>
      </c>
      <c r="I26" s="1149">
        <v>1.03</v>
      </c>
      <c r="J26" s="1149">
        <v>1.37</v>
      </c>
      <c r="K26" s="1149">
        <v>1.71</v>
      </c>
      <c r="L26" s="1149">
        <v>1.03</v>
      </c>
      <c r="M26" s="1149">
        <v>1.37</v>
      </c>
      <c r="N26" s="1149">
        <v>1.71</v>
      </c>
      <c r="R26" s="1098" t="s">
        <v>2283</v>
      </c>
      <c r="S26" s="1098"/>
      <c r="T26" s="1131">
        <f>1000*T25*T24/1000/0.0007</f>
        <v>1716.4250542534128</v>
      </c>
      <c r="U26" s="1098"/>
      <c r="V26" s="1098"/>
      <c r="W26" s="1098" t="s">
        <v>2283</v>
      </c>
      <c r="Y26" s="1131">
        <f>1000*Y25*Y24/1000/0.0007</f>
        <v>12312.734955987604</v>
      </c>
    </row>
    <row r="27" spans="1:29" ht="12.75" customHeight="1" x14ac:dyDescent="0.2">
      <c r="A27" s="1100" t="s">
        <v>2286</v>
      </c>
      <c r="B27" s="1100" t="s">
        <v>2287</v>
      </c>
      <c r="C27" s="1147"/>
      <c r="D27" s="1107">
        <v>5.7</v>
      </c>
      <c r="E27" s="1107">
        <v>11.2</v>
      </c>
      <c r="F27" s="1107">
        <v>18.2</v>
      </c>
      <c r="G27" s="1107">
        <v>26.6</v>
      </c>
      <c r="H27" s="1149">
        <v>36.1</v>
      </c>
      <c r="I27" s="1149">
        <v>11.2</v>
      </c>
      <c r="J27" s="1149">
        <v>18.2</v>
      </c>
      <c r="K27" s="1149">
        <v>26.6</v>
      </c>
      <c r="L27" s="1149">
        <v>11.2</v>
      </c>
      <c r="M27" s="1149">
        <v>18.2</v>
      </c>
      <c r="N27" s="1149">
        <v>25.5</v>
      </c>
    </row>
    <row r="28" spans="1:29" ht="12.75" customHeight="1" x14ac:dyDescent="0.2">
      <c r="A28" s="1101"/>
      <c r="B28" s="1101"/>
      <c r="C28" s="1101"/>
      <c r="D28" s="1160"/>
      <c r="E28" s="1160"/>
      <c r="F28" s="1160"/>
      <c r="G28" s="1160"/>
      <c r="H28" s="1159"/>
      <c r="I28" s="1159"/>
      <c r="J28" s="1159"/>
      <c r="K28" s="1159"/>
      <c r="L28" s="1159"/>
      <c r="M28" s="1159"/>
      <c r="N28" s="1159"/>
      <c r="R28" s="1099" t="s">
        <v>289</v>
      </c>
      <c r="S28" s="1099" t="s">
        <v>2253</v>
      </c>
      <c r="T28" s="1099" t="s">
        <v>47</v>
      </c>
      <c r="U28" s="1099" t="s">
        <v>2288</v>
      </c>
      <c r="AA28" s="1134" t="s">
        <v>2253</v>
      </c>
      <c r="AB28" s="1135" t="s">
        <v>289</v>
      </c>
      <c r="AC28" s="1136" t="s">
        <v>47</v>
      </c>
    </row>
    <row r="29" spans="1:29" ht="12.75" customHeight="1" x14ac:dyDescent="0.2">
      <c r="A29" s="1100" t="s">
        <v>2289</v>
      </c>
      <c r="B29" s="1100" t="s">
        <v>2281</v>
      </c>
      <c r="C29" s="1147"/>
      <c r="D29" s="1131">
        <v>35</v>
      </c>
      <c r="E29" s="1131">
        <v>35</v>
      </c>
      <c r="F29" s="1131">
        <v>35</v>
      </c>
      <c r="G29" s="1131">
        <v>35</v>
      </c>
      <c r="H29" s="1149">
        <v>35</v>
      </c>
      <c r="I29" s="1149">
        <v>35</v>
      </c>
      <c r="J29" s="1149">
        <v>35</v>
      </c>
      <c r="K29" s="1149">
        <v>35</v>
      </c>
      <c r="L29" s="1149">
        <v>35</v>
      </c>
      <c r="M29" s="1149">
        <v>35</v>
      </c>
      <c r="N29" s="1149">
        <v>35</v>
      </c>
      <c r="R29" s="1161">
        <v>0.5</v>
      </c>
      <c r="S29" s="1144">
        <f>K63</f>
        <v>25</v>
      </c>
      <c r="T29" s="1140">
        <f>K21</f>
        <v>15</v>
      </c>
      <c r="U29" s="1162">
        <f>K31</f>
        <v>0.72</v>
      </c>
      <c r="W29" s="1098">
        <f t="array" ref="W29:X29">LINEST(LN(T29:T31),LN(S29:S31))</f>
        <v>1.6036571223511569</v>
      </c>
      <c r="X29" s="1098">
        <v>-2.3847984277909631</v>
      </c>
      <c r="Y29" s="1098">
        <f>EXP(X29)</f>
        <v>9.210754402929866E-2</v>
      </c>
      <c r="AA29" s="1139">
        <v>25</v>
      </c>
      <c r="AB29" s="1140">
        <f>R29</f>
        <v>0.5</v>
      </c>
      <c r="AC29" s="1117">
        <f>$Y$29*AA29^$W$29</f>
        <v>16.073544387839885</v>
      </c>
    </row>
    <row r="30" spans="1:29" ht="12.75" customHeight="1" x14ac:dyDescent="0.2">
      <c r="A30" s="1100" t="s">
        <v>2290</v>
      </c>
      <c r="B30" s="1100" t="s">
        <v>2281</v>
      </c>
      <c r="C30" s="1147"/>
      <c r="D30" s="1131">
        <v>25</v>
      </c>
      <c r="E30" s="1131">
        <v>25</v>
      </c>
      <c r="F30" s="1131">
        <v>25</v>
      </c>
      <c r="G30" s="1131">
        <v>25</v>
      </c>
      <c r="H30" s="1149">
        <v>26.5</v>
      </c>
      <c r="I30" s="1149">
        <v>27</v>
      </c>
      <c r="J30" s="1149">
        <v>30</v>
      </c>
      <c r="K30" s="1149">
        <v>30</v>
      </c>
      <c r="L30" s="1149">
        <v>25.5</v>
      </c>
      <c r="M30" s="1149">
        <v>25</v>
      </c>
      <c r="N30" s="1149">
        <v>25.5</v>
      </c>
      <c r="R30" s="1163">
        <v>0.5</v>
      </c>
      <c r="S30" s="1145">
        <f>G63</f>
        <v>22.5</v>
      </c>
      <c r="T30" s="1132">
        <f>G21</f>
        <v>15</v>
      </c>
      <c r="U30" s="1164">
        <f>G31</f>
        <v>0.36</v>
      </c>
      <c r="AA30" s="1141">
        <v>25</v>
      </c>
      <c r="AB30" s="1099">
        <f>R34</f>
        <v>0.4</v>
      </c>
      <c r="AC30" s="1117">
        <f>$Y$34*AA30^$W$34</f>
        <v>12.833266122834702</v>
      </c>
    </row>
    <row r="31" spans="1:29" ht="12.75" customHeight="1" x14ac:dyDescent="0.2">
      <c r="A31" s="1100" t="s">
        <v>2291</v>
      </c>
      <c r="B31" s="1100" t="s">
        <v>2292</v>
      </c>
      <c r="C31" s="1147"/>
      <c r="D31" s="1165">
        <v>0.14000000000000001</v>
      </c>
      <c r="E31" s="1165">
        <v>0.22</v>
      </c>
      <c r="F31" s="1165">
        <v>0.28999999999999998</v>
      </c>
      <c r="G31" s="1165">
        <v>0.36</v>
      </c>
      <c r="H31" s="1166">
        <v>0.51</v>
      </c>
      <c r="I31" s="1166">
        <v>0.27</v>
      </c>
      <c r="J31" s="1166">
        <v>0.57999999999999996</v>
      </c>
      <c r="K31" s="1166">
        <v>0.72</v>
      </c>
      <c r="L31" s="1166">
        <v>0.14000000000000001</v>
      </c>
      <c r="M31" s="1166">
        <v>0.17</v>
      </c>
      <c r="N31" s="1166">
        <v>0.23</v>
      </c>
      <c r="P31" s="1099">
        <f>N31*4.186*(N29-N30)</f>
        <v>9.1464100000000013</v>
      </c>
      <c r="R31" s="1167">
        <v>0.5</v>
      </c>
      <c r="S31" s="1146">
        <f>N63</f>
        <v>17.75</v>
      </c>
      <c r="T31" s="1143">
        <f>N21</f>
        <v>9</v>
      </c>
      <c r="U31" s="1168">
        <f>N31</f>
        <v>0.23</v>
      </c>
      <c r="AA31" s="1142">
        <v>25</v>
      </c>
      <c r="AB31" s="1143">
        <f>R39</f>
        <v>0.3</v>
      </c>
      <c r="AC31" s="1117">
        <f>$Y$39*AA31^$W$39</f>
        <v>10.541051188910068</v>
      </c>
    </row>
    <row r="32" spans="1:29" ht="12.75" customHeight="1" x14ac:dyDescent="0.2">
      <c r="A32" s="1100" t="s">
        <v>2293</v>
      </c>
      <c r="B32" s="1100" t="s">
        <v>2285</v>
      </c>
      <c r="C32" s="1147"/>
      <c r="D32" s="1107">
        <v>0.16</v>
      </c>
      <c r="E32" s="1107">
        <v>0.24</v>
      </c>
      <c r="F32" s="1107">
        <v>0.32</v>
      </c>
      <c r="G32" s="1107">
        <v>0.4</v>
      </c>
      <c r="H32" s="1149">
        <v>0.56000000000000005</v>
      </c>
      <c r="I32" s="1149">
        <v>0.3</v>
      </c>
      <c r="J32" s="1149">
        <v>0.64</v>
      </c>
      <c r="K32" s="1149">
        <v>0.8</v>
      </c>
      <c r="L32" s="1149">
        <v>0.15</v>
      </c>
      <c r="M32" s="1149">
        <v>0.19</v>
      </c>
      <c r="N32" s="1149">
        <v>0.25</v>
      </c>
    </row>
    <row r="33" spans="1:29" ht="12.75" customHeight="1" x14ac:dyDescent="0.2">
      <c r="A33" s="1100" t="s">
        <v>2294</v>
      </c>
      <c r="B33" s="1100" t="s">
        <v>2295</v>
      </c>
      <c r="C33" s="1147"/>
      <c r="D33" s="1107">
        <v>0.3</v>
      </c>
      <c r="E33" s="1107">
        <v>0.8</v>
      </c>
      <c r="F33" s="1107">
        <v>1.3</v>
      </c>
      <c r="G33" s="1169">
        <v>2</v>
      </c>
      <c r="H33" s="1149">
        <v>3.9</v>
      </c>
      <c r="I33" s="1149">
        <v>1.2</v>
      </c>
      <c r="J33" s="1149">
        <v>5</v>
      </c>
      <c r="K33" s="1149">
        <v>7.6</v>
      </c>
      <c r="L33" s="1149">
        <v>0.3</v>
      </c>
      <c r="M33" s="1149">
        <v>0.7</v>
      </c>
      <c r="N33" s="1149">
        <v>0.9</v>
      </c>
      <c r="R33" s="1099" t="s">
        <v>289</v>
      </c>
      <c r="S33" s="1099" t="s">
        <v>2253</v>
      </c>
      <c r="T33" s="1099" t="s">
        <v>47</v>
      </c>
      <c r="U33" s="1099" t="s">
        <v>2288</v>
      </c>
      <c r="AA33" s="1134" t="s">
        <v>2253</v>
      </c>
      <c r="AB33" s="1135" t="s">
        <v>289</v>
      </c>
      <c r="AC33" s="1136" t="s">
        <v>47</v>
      </c>
    </row>
    <row r="34" spans="1:29" ht="12.75" customHeight="1" x14ac:dyDescent="0.2">
      <c r="A34" s="1100" t="s">
        <v>2296</v>
      </c>
      <c r="B34" s="1100" t="s">
        <v>2297</v>
      </c>
      <c r="C34" s="1147"/>
      <c r="D34" s="1107" t="s">
        <v>2298</v>
      </c>
      <c r="E34" s="1107" t="s">
        <v>2298</v>
      </c>
      <c r="F34" s="1107" t="s">
        <v>2298</v>
      </c>
      <c r="G34" s="1107" t="s">
        <v>2298</v>
      </c>
      <c r="H34" s="1149" t="s">
        <v>2298</v>
      </c>
      <c r="I34" s="1149" t="s">
        <v>2298</v>
      </c>
      <c r="J34" s="1149" t="s">
        <v>2298</v>
      </c>
      <c r="K34" s="1149" t="s">
        <v>2298</v>
      </c>
      <c r="L34" s="1149" t="s">
        <v>2298</v>
      </c>
      <c r="M34" s="1149" t="s">
        <v>2298</v>
      </c>
      <c r="N34" s="1149" t="s">
        <v>2298</v>
      </c>
      <c r="R34" s="1161">
        <v>0.4</v>
      </c>
      <c r="S34" s="1144">
        <f>F63</f>
        <v>22.5</v>
      </c>
      <c r="T34" s="1140">
        <f>F21</f>
        <v>12</v>
      </c>
      <c r="U34" s="1162">
        <f>F31</f>
        <v>0.28999999999999998</v>
      </c>
      <c r="W34" s="1098">
        <f t="array" ref="W34:X34">LINEST(LN(T34:T36),LN(S34:S36))</f>
        <v>1.5415003456975063</v>
      </c>
      <c r="X34" s="1098">
        <v>-2.4098574813614735</v>
      </c>
      <c r="Y34" s="1098">
        <f>EXP(X34)</f>
        <v>8.9828095837936744E-2</v>
      </c>
      <c r="AA34" s="1139">
        <v>22.5</v>
      </c>
      <c r="AB34" s="1144">
        <f>R30</f>
        <v>0.5</v>
      </c>
      <c r="AC34" s="1117">
        <f>$Y$29*AA34^$W$29</f>
        <v>13.574765257070025</v>
      </c>
    </row>
    <row r="35" spans="1:29" ht="12.75" customHeight="1" x14ac:dyDescent="0.2">
      <c r="A35" s="1100" t="s">
        <v>2299</v>
      </c>
      <c r="B35" s="1100" t="s">
        <v>2257</v>
      </c>
      <c r="C35" s="1147"/>
      <c r="D35" s="1110"/>
      <c r="E35" s="1110"/>
      <c r="F35" s="1110"/>
      <c r="G35" s="1110"/>
      <c r="H35" s="1158"/>
      <c r="I35" s="1158"/>
      <c r="J35" s="1158"/>
      <c r="K35" s="1158"/>
      <c r="L35" s="1158"/>
      <c r="M35" s="1158"/>
      <c r="N35" s="1158"/>
      <c r="R35" s="1163">
        <v>0.4</v>
      </c>
      <c r="S35" s="1145">
        <f>J63</f>
        <v>25</v>
      </c>
      <c r="T35" s="1099">
        <f>J21</f>
        <v>12</v>
      </c>
      <c r="U35" s="1164">
        <f>J31</f>
        <v>0.57999999999999996</v>
      </c>
      <c r="AA35" s="1141">
        <v>22.5</v>
      </c>
      <c r="AB35" s="1145">
        <f>R35</f>
        <v>0.4</v>
      </c>
      <c r="AC35" s="1117">
        <f>$Y$34*AA35^$W$34</f>
        <v>10.909428814001723</v>
      </c>
    </row>
    <row r="36" spans="1:29" ht="12.75" customHeight="1" x14ac:dyDescent="0.2">
      <c r="A36" s="1101"/>
      <c r="B36" s="1101"/>
      <c r="C36" s="1101"/>
      <c r="D36" s="1115"/>
      <c r="E36" s="1115"/>
      <c r="F36" s="1115"/>
      <c r="G36" s="1115"/>
      <c r="H36" s="1159"/>
      <c r="I36" s="1159"/>
      <c r="J36" s="1159"/>
      <c r="K36" s="1159"/>
      <c r="L36" s="1159"/>
      <c r="M36" s="1159"/>
      <c r="N36" s="1159"/>
      <c r="R36" s="1167">
        <v>0.4</v>
      </c>
      <c r="S36" s="1146">
        <f>M63</f>
        <v>17.5</v>
      </c>
      <c r="T36" s="1143">
        <f>M21</f>
        <v>7.2</v>
      </c>
      <c r="U36" s="1168">
        <f>M31</f>
        <v>0.17</v>
      </c>
      <c r="AA36" s="1142">
        <v>22.5</v>
      </c>
      <c r="AB36" s="1146">
        <f>R40</f>
        <v>0.3</v>
      </c>
      <c r="AC36" s="1117">
        <f>$Y$39*AA36^$W$39</f>
        <v>8.5993011464321931</v>
      </c>
    </row>
    <row r="37" spans="1:29" ht="12.75" customHeight="1" x14ac:dyDescent="0.2">
      <c r="A37" s="1100" t="s">
        <v>2300</v>
      </c>
      <c r="B37" s="1101"/>
      <c r="C37" s="1147"/>
      <c r="D37" s="1131">
        <v>3</v>
      </c>
      <c r="E37" s="1131">
        <v>3</v>
      </c>
      <c r="F37" s="1131">
        <v>3</v>
      </c>
      <c r="G37" s="1131">
        <v>3</v>
      </c>
      <c r="H37" s="1149">
        <v>3</v>
      </c>
      <c r="I37" s="1149">
        <v>3</v>
      </c>
      <c r="J37" s="1149">
        <v>3</v>
      </c>
      <c r="K37" s="1149">
        <v>3</v>
      </c>
      <c r="L37" s="1149">
        <v>3</v>
      </c>
      <c r="M37" s="1149">
        <v>3</v>
      </c>
      <c r="N37" s="1149">
        <v>3</v>
      </c>
    </row>
    <row r="38" spans="1:29" ht="12.75" customHeight="1" x14ac:dyDescent="0.2">
      <c r="A38" s="1100" t="s">
        <v>2301</v>
      </c>
      <c r="B38" s="1100" t="s">
        <v>2262</v>
      </c>
      <c r="C38" s="1147"/>
      <c r="D38" s="1107">
        <v>1.6</v>
      </c>
      <c r="E38" s="1107">
        <v>1.6</v>
      </c>
      <c r="F38" s="1107">
        <v>1.6</v>
      </c>
      <c r="G38" s="1107">
        <v>1.6</v>
      </c>
      <c r="H38" s="1149">
        <v>1.6</v>
      </c>
      <c r="I38" s="1149">
        <v>1.6</v>
      </c>
      <c r="J38" s="1149">
        <v>1.6</v>
      </c>
      <c r="K38" s="1149">
        <v>1.6</v>
      </c>
      <c r="L38" s="1149">
        <v>1.6</v>
      </c>
      <c r="M38" s="1149">
        <v>1.6</v>
      </c>
      <c r="N38" s="1149">
        <v>2</v>
      </c>
      <c r="R38" s="1099" t="s">
        <v>289</v>
      </c>
      <c r="S38" s="1099" t="s">
        <v>2253</v>
      </c>
      <c r="T38" s="1099" t="s">
        <v>47</v>
      </c>
      <c r="U38" s="1099" t="s">
        <v>2288</v>
      </c>
      <c r="AA38" s="1134" t="s">
        <v>2253</v>
      </c>
      <c r="AB38" s="1135" t="s">
        <v>289</v>
      </c>
      <c r="AC38" s="1136" t="s">
        <v>47</v>
      </c>
    </row>
    <row r="39" spans="1:29" ht="12.75" customHeight="1" x14ac:dyDescent="0.2">
      <c r="A39" s="1100" t="s">
        <v>2302</v>
      </c>
      <c r="B39" s="1100" t="s">
        <v>2303</v>
      </c>
      <c r="C39" s="1147"/>
      <c r="D39" s="1107">
        <v>3.1</v>
      </c>
      <c r="E39" s="1107">
        <v>3.1</v>
      </c>
      <c r="F39" s="1107">
        <v>3.1</v>
      </c>
      <c r="G39" s="1107">
        <v>3.1</v>
      </c>
      <c r="H39" s="1149">
        <v>3.1</v>
      </c>
      <c r="I39" s="1149">
        <v>3.1</v>
      </c>
      <c r="J39" s="1149">
        <v>3.1</v>
      </c>
      <c r="K39" s="1149">
        <v>3.1</v>
      </c>
      <c r="L39" s="1149">
        <v>3.1</v>
      </c>
      <c r="M39" s="1149">
        <v>3.1</v>
      </c>
      <c r="N39" s="1149">
        <v>3.1</v>
      </c>
      <c r="R39" s="1161">
        <v>0.3</v>
      </c>
      <c r="S39" s="1144">
        <f>E63</f>
        <v>22.5</v>
      </c>
      <c r="T39" s="1140">
        <f>E21</f>
        <v>9</v>
      </c>
      <c r="U39" s="1162">
        <f>E31</f>
        <v>0.22</v>
      </c>
      <c r="W39" s="1098">
        <f t="array" ref="W39:X39">LINEST(LN(T39:T41),LN(S39:S41))</f>
        <v>1.9323779145103168</v>
      </c>
      <c r="X39" s="1098">
        <v>-3.8648072820931323</v>
      </c>
      <c r="Y39" s="1098">
        <f>EXP(X39)</f>
        <v>2.0966962756894088E-2</v>
      </c>
      <c r="AA39" s="1139">
        <v>17.5</v>
      </c>
      <c r="AB39" s="1144">
        <f>R31</f>
        <v>0.5</v>
      </c>
      <c r="AC39" s="1117">
        <f>$Y$29*AA39^$W$29</f>
        <v>9.0719787128122888</v>
      </c>
    </row>
    <row r="40" spans="1:29" ht="12.75" customHeight="1" x14ac:dyDescent="0.2">
      <c r="A40" s="1100" t="s">
        <v>2305</v>
      </c>
      <c r="B40" s="1100" t="s">
        <v>2306</v>
      </c>
      <c r="C40" s="1147"/>
      <c r="D40" s="1131">
        <v>13</v>
      </c>
      <c r="E40" s="1131">
        <v>13</v>
      </c>
      <c r="F40" s="1131">
        <v>13</v>
      </c>
      <c r="G40" s="1131">
        <v>13</v>
      </c>
      <c r="H40" s="1149">
        <v>13</v>
      </c>
      <c r="I40" s="1149">
        <v>13</v>
      </c>
      <c r="J40" s="1149">
        <v>13</v>
      </c>
      <c r="K40" s="1149">
        <v>13</v>
      </c>
      <c r="L40" s="1149">
        <v>13</v>
      </c>
      <c r="M40" s="1149">
        <v>13</v>
      </c>
      <c r="N40" s="1149">
        <v>13</v>
      </c>
      <c r="R40" s="1163">
        <v>0.3</v>
      </c>
      <c r="S40" s="1145">
        <f>I63</f>
        <v>23.5</v>
      </c>
      <c r="T40" s="1099">
        <f>I21</f>
        <v>9</v>
      </c>
      <c r="U40" s="1164">
        <f>I31</f>
        <v>0.27</v>
      </c>
      <c r="AA40" s="1141">
        <v>17.5</v>
      </c>
      <c r="AB40" s="1145">
        <f>R36</f>
        <v>0.4</v>
      </c>
      <c r="AC40" s="1117">
        <f>$Y$34*AA40^$W$34</f>
        <v>7.405523687730204</v>
      </c>
    </row>
    <row r="41" spans="1:29" ht="12.75" customHeight="1" x14ac:dyDescent="0.2">
      <c r="A41" s="1101"/>
      <c r="B41" s="1101"/>
      <c r="C41" s="1101"/>
      <c r="D41" s="1115"/>
      <c r="E41" s="1115"/>
      <c r="F41" s="1115"/>
      <c r="G41" s="1115"/>
      <c r="H41" s="1159"/>
      <c r="I41" s="1159"/>
      <c r="J41" s="1159"/>
      <c r="K41" s="1159"/>
      <c r="L41" s="1159"/>
      <c r="M41" s="1159"/>
      <c r="N41" s="1159"/>
      <c r="R41" s="1167">
        <v>0.3</v>
      </c>
      <c r="S41" s="1146">
        <f>L63</f>
        <v>17.75</v>
      </c>
      <c r="T41" s="1143">
        <f>L21</f>
        <v>5.4</v>
      </c>
      <c r="U41" s="1168">
        <f>L31</f>
        <v>0.14000000000000001</v>
      </c>
      <c r="AA41" s="1142">
        <v>17.5</v>
      </c>
      <c r="AB41" s="1146">
        <f>R41</f>
        <v>0.3</v>
      </c>
      <c r="AC41" s="1117">
        <f>$Y$39*AA41^$W$39</f>
        <v>5.2912075339416216</v>
      </c>
    </row>
    <row r="42" spans="1:29" ht="12.75" customHeight="1" x14ac:dyDescent="0.2">
      <c r="A42" s="1100" t="s">
        <v>2307</v>
      </c>
      <c r="B42" s="1170" t="s">
        <v>2308</v>
      </c>
      <c r="C42" s="1147"/>
      <c r="D42" s="1110">
        <v>8.8000000000000007</v>
      </c>
      <c r="E42" s="1110">
        <v>8.8000000000000007</v>
      </c>
      <c r="F42" s="1110">
        <v>8.8000000000000007</v>
      </c>
      <c r="G42" s="1110">
        <v>8.8000000000000007</v>
      </c>
      <c r="H42" s="1110">
        <v>8.8000000000000007</v>
      </c>
      <c r="I42" s="1110">
        <v>8.8000000000000007</v>
      </c>
      <c r="J42" s="1110">
        <v>8.8000000000000007</v>
      </c>
      <c r="K42" s="1110">
        <v>8.8000000000000007</v>
      </c>
      <c r="L42" s="1110">
        <v>8.8000000000000007</v>
      </c>
      <c r="M42" s="1110">
        <v>8.8000000000000007</v>
      </c>
      <c r="N42" s="1110">
        <v>8.8000000000000007</v>
      </c>
    </row>
    <row r="43" spans="1:29" ht="12.75" customHeight="1" x14ac:dyDescent="0.2">
      <c r="A43" s="1100" t="s">
        <v>2310</v>
      </c>
      <c r="B43" s="1170" t="s">
        <v>2311</v>
      </c>
      <c r="C43" s="1147"/>
      <c r="D43" s="1110">
        <v>13</v>
      </c>
      <c r="E43" s="1110">
        <v>13</v>
      </c>
      <c r="F43" s="1110">
        <v>13</v>
      </c>
      <c r="G43" s="1110">
        <v>13</v>
      </c>
      <c r="H43" s="1110">
        <v>13</v>
      </c>
      <c r="I43" s="1110">
        <v>13</v>
      </c>
      <c r="J43" s="1110">
        <v>13</v>
      </c>
      <c r="K43" s="1110">
        <v>13</v>
      </c>
      <c r="L43" s="1110">
        <v>13</v>
      </c>
      <c r="M43" s="1110">
        <v>13</v>
      </c>
      <c r="N43" s="1110">
        <v>13</v>
      </c>
      <c r="R43" s="1105" t="s">
        <v>2309</v>
      </c>
    </row>
    <row r="44" spans="1:29" ht="12.75" customHeight="1" x14ac:dyDescent="0.2">
      <c r="A44" s="1100" t="s">
        <v>2312</v>
      </c>
      <c r="B44" s="1170" t="s">
        <v>2313</v>
      </c>
      <c r="C44" s="1147"/>
      <c r="D44" s="1110">
        <f>D31/D43</f>
        <v>1.0769230769230771E-2</v>
      </c>
      <c r="E44" s="1110">
        <f t="shared" ref="E44:N44" si="0">E31/E43</f>
        <v>1.6923076923076923E-2</v>
      </c>
      <c r="F44" s="1110">
        <f t="shared" si="0"/>
        <v>2.2307692307692306E-2</v>
      </c>
      <c r="G44" s="1110">
        <f t="shared" si="0"/>
        <v>2.769230769230769E-2</v>
      </c>
      <c r="H44" s="1110">
        <f t="shared" si="0"/>
        <v>3.9230769230769229E-2</v>
      </c>
      <c r="I44" s="1110">
        <f t="shared" si="0"/>
        <v>2.0769230769230769E-2</v>
      </c>
      <c r="J44" s="1110">
        <f t="shared" si="0"/>
        <v>4.4615384615384612E-2</v>
      </c>
      <c r="K44" s="1110">
        <f t="shared" si="0"/>
        <v>5.5384615384615379E-2</v>
      </c>
      <c r="L44" s="1110">
        <f t="shared" si="0"/>
        <v>1.0769230769230771E-2</v>
      </c>
      <c r="M44" s="1110">
        <f t="shared" si="0"/>
        <v>1.3076923076923078E-2</v>
      </c>
      <c r="N44" s="1110">
        <f t="shared" si="0"/>
        <v>1.7692307692307695E-2</v>
      </c>
      <c r="R44" s="1099" t="s">
        <v>289</v>
      </c>
      <c r="S44" s="1099" t="s">
        <v>2253</v>
      </c>
      <c r="T44" s="1099" t="s">
        <v>47</v>
      </c>
    </row>
    <row r="45" spans="1:29" ht="12.75" customHeight="1" x14ac:dyDescent="0.2">
      <c r="A45" s="1100" t="s">
        <v>2314</v>
      </c>
      <c r="B45" s="1170" t="s">
        <v>2315</v>
      </c>
      <c r="C45" s="1147"/>
      <c r="D45" s="1110">
        <f>PI()*(D42/2/1000)^2</f>
        <v>6.0821233773498395E-5</v>
      </c>
      <c r="E45" s="1110">
        <f t="shared" ref="E45:N45" si="1">PI()*(E42/2/1000)^2</f>
        <v>6.0821233773498395E-5</v>
      </c>
      <c r="F45" s="1110">
        <f t="shared" si="1"/>
        <v>6.0821233773498395E-5</v>
      </c>
      <c r="G45" s="1110">
        <f t="shared" si="1"/>
        <v>6.0821233773498395E-5</v>
      </c>
      <c r="H45" s="1110">
        <f t="shared" si="1"/>
        <v>6.0821233773498395E-5</v>
      </c>
      <c r="I45" s="1110">
        <f t="shared" si="1"/>
        <v>6.0821233773498395E-5</v>
      </c>
      <c r="J45" s="1110">
        <f t="shared" si="1"/>
        <v>6.0821233773498395E-5</v>
      </c>
      <c r="K45" s="1110">
        <f t="shared" si="1"/>
        <v>6.0821233773498395E-5</v>
      </c>
      <c r="L45" s="1110">
        <f t="shared" si="1"/>
        <v>6.0821233773498395E-5</v>
      </c>
      <c r="M45" s="1110">
        <f t="shared" si="1"/>
        <v>6.0821233773498395E-5</v>
      </c>
      <c r="N45" s="1110">
        <f t="shared" si="1"/>
        <v>6.0821233773498395E-5</v>
      </c>
      <c r="R45" s="1099">
        <f>T4/1000</f>
        <v>0.5</v>
      </c>
      <c r="S45" s="1145">
        <f>AVERAGE(AA29:AA31)</f>
        <v>25</v>
      </c>
      <c r="T45" s="1145">
        <f>_xlfn.FORECAST.LINEAR(R45,AC29:AC31,AB29:AB31)</f>
        <v>15.915533832659793</v>
      </c>
      <c r="W45" s="1105">
        <f t="array" ref="W45:X45">LINEST(LN(T45:T47),LN(S45:S47))</f>
        <v>1.553108184305583</v>
      </c>
      <c r="X45" s="1098">
        <v>-2.231891318493973</v>
      </c>
      <c r="Y45" s="1105">
        <f>EXP(X45)</f>
        <v>0.10732525182526489</v>
      </c>
    </row>
    <row r="46" spans="1:29" ht="12.75" customHeight="1" x14ac:dyDescent="0.2">
      <c r="A46" s="1100" t="s">
        <v>2316</v>
      </c>
      <c r="B46" s="1170" t="s">
        <v>502</v>
      </c>
      <c r="C46" s="1147"/>
      <c r="D46" s="1110">
        <f>(D44/1000)/D45</f>
        <v>0.17706366841119955</v>
      </c>
      <c r="E46" s="1110">
        <f t="shared" ref="E46:N46" si="2">(E44/1000)/E45</f>
        <v>0.27824290750331354</v>
      </c>
      <c r="F46" s="1110">
        <f t="shared" si="2"/>
        <v>0.36677474170891328</v>
      </c>
      <c r="G46" s="1110">
        <f t="shared" si="2"/>
        <v>0.45530657591451301</v>
      </c>
      <c r="H46" s="1110">
        <f t="shared" si="2"/>
        <v>0.64501764921222671</v>
      </c>
      <c r="I46" s="1110">
        <f t="shared" si="2"/>
        <v>0.34147993193588477</v>
      </c>
      <c r="J46" s="1110">
        <f t="shared" si="2"/>
        <v>0.73354948341782655</v>
      </c>
      <c r="K46" s="1110">
        <f t="shared" si="2"/>
        <v>0.91061315182902602</v>
      </c>
      <c r="L46" s="1110">
        <f t="shared" si="2"/>
        <v>0.17706366841119955</v>
      </c>
      <c r="M46" s="1110">
        <f t="shared" si="2"/>
        <v>0.21500588307074231</v>
      </c>
      <c r="N46" s="1110">
        <f t="shared" si="2"/>
        <v>0.29089031238982782</v>
      </c>
      <c r="R46" s="1099">
        <f>R45</f>
        <v>0.5</v>
      </c>
      <c r="S46" s="1145">
        <f>AVERAGE(AA34:AA36)</f>
        <v>22.5</v>
      </c>
      <c r="T46" s="1145">
        <f>_xlfn.FORECAST.LINEAR(R46,AC34:AC36,AB34:AB36)</f>
        <v>13.515563794486896</v>
      </c>
    </row>
    <row r="47" spans="1:29" ht="12.75" customHeight="1" x14ac:dyDescent="0.2">
      <c r="A47" s="1100" t="s">
        <v>2317</v>
      </c>
      <c r="B47" s="1151" t="s">
        <v>487</v>
      </c>
      <c r="C47" s="1147"/>
      <c r="D47" s="1131">
        <f>1000*D46*(D42/1000)/0.0007</f>
        <v>2225.9432600265091</v>
      </c>
      <c r="E47" s="1131">
        <f t="shared" ref="E47:N47" si="3">1000*E46*(E42/1000)/0.0007</f>
        <v>3497.9108371845127</v>
      </c>
      <c r="F47" s="1131">
        <f t="shared" si="3"/>
        <v>4610.8824671977673</v>
      </c>
      <c r="G47" s="1131">
        <f t="shared" si="3"/>
        <v>5723.8540972110204</v>
      </c>
      <c r="H47" s="1131">
        <f t="shared" si="3"/>
        <v>8108.7933043822795</v>
      </c>
      <c r="I47" s="1131">
        <f t="shared" si="3"/>
        <v>4292.8905729082662</v>
      </c>
      <c r="J47" s="1131">
        <f t="shared" si="3"/>
        <v>9221.7649343955345</v>
      </c>
      <c r="K47" s="1131">
        <f t="shared" si="3"/>
        <v>11447.708194422041</v>
      </c>
      <c r="L47" s="1131">
        <f t="shared" si="3"/>
        <v>2225.9432600265091</v>
      </c>
      <c r="M47" s="1131">
        <f t="shared" si="3"/>
        <v>2702.9311014607606</v>
      </c>
      <c r="N47" s="1131">
        <f t="shared" si="3"/>
        <v>3656.9067843292646</v>
      </c>
      <c r="R47" s="1099">
        <f>R46</f>
        <v>0.5</v>
      </c>
      <c r="S47" s="1145">
        <f>AVERAGE(AA39:AA41)</f>
        <v>17.5</v>
      </c>
      <c r="T47" s="1145">
        <f>_xlfn.FORECAST.LINEAR(R47,AC39:AC41,AB39:AB41)</f>
        <v>9.1466222342633721</v>
      </c>
    </row>
    <row r="48" spans="1:29" ht="12.75" customHeight="1" x14ac:dyDescent="0.2">
      <c r="A48" s="1100" t="s">
        <v>2318</v>
      </c>
      <c r="B48" s="1100" t="s">
        <v>2319</v>
      </c>
      <c r="C48" s="1147"/>
      <c r="D48" s="1107"/>
      <c r="E48" s="1107"/>
      <c r="F48" s="1107"/>
      <c r="G48" s="1107"/>
      <c r="H48" s="1149"/>
      <c r="I48" s="1149"/>
      <c r="J48" s="1149"/>
      <c r="K48" s="1149"/>
      <c r="L48" s="1149"/>
      <c r="M48" s="1149"/>
      <c r="N48" s="1149"/>
    </row>
    <row r="49" spans="1:19" ht="6.5" customHeight="1" x14ac:dyDescent="0.2">
      <c r="A49" s="1101"/>
      <c r="B49" s="1101"/>
      <c r="C49" s="1101"/>
      <c r="D49" s="1150"/>
      <c r="E49" s="1150"/>
      <c r="F49" s="1150"/>
      <c r="G49" s="1150"/>
    </row>
    <row r="50" spans="1:19" ht="16.5" customHeight="1" x14ac:dyDescent="0.2">
      <c r="A50" s="1530" t="s">
        <v>2320</v>
      </c>
      <c r="B50" s="1530"/>
      <c r="C50" s="1530"/>
      <c r="D50" s="1530"/>
      <c r="E50" s="1150"/>
      <c r="F50" s="1150"/>
      <c r="G50" s="1150"/>
    </row>
    <row r="51" spans="1:19" ht="11.75" customHeight="1" x14ac:dyDescent="0.2">
      <c r="A51" s="1530" t="s">
        <v>2331</v>
      </c>
      <c r="B51" s="1530"/>
      <c r="C51" s="1530"/>
      <c r="D51" s="1150"/>
      <c r="E51" s="1150"/>
      <c r="F51" s="1150"/>
      <c r="G51" s="1150"/>
    </row>
    <row r="52" spans="1:19" ht="10.25" customHeight="1" x14ac:dyDescent="0.2">
      <c r="A52" s="1152" t="s">
        <v>2322</v>
      </c>
      <c r="B52" s="1101"/>
      <c r="C52" s="1101"/>
      <c r="D52" s="1150"/>
      <c r="E52" s="1150"/>
      <c r="F52" s="1150"/>
      <c r="G52" s="1150"/>
    </row>
    <row r="53" spans="1:19" ht="12.25" customHeight="1" x14ac:dyDescent="0.2">
      <c r="A53" s="1530" t="s">
        <v>2332</v>
      </c>
      <c r="B53" s="1530"/>
      <c r="C53" s="1530"/>
      <c r="D53" s="1150"/>
      <c r="E53" s="1150"/>
      <c r="F53" s="1150"/>
      <c r="G53" s="1150"/>
    </row>
    <row r="54" spans="1:19" ht="10.25" customHeight="1" x14ac:dyDescent="0.2">
      <c r="A54" s="1152" t="s">
        <v>2322</v>
      </c>
      <c r="B54" s="1101"/>
      <c r="C54" s="1101"/>
      <c r="D54" s="1150"/>
      <c r="E54" s="1150"/>
      <c r="F54" s="1150"/>
      <c r="G54" s="1150"/>
    </row>
    <row r="55" spans="1:19" ht="12.25" customHeight="1" x14ac:dyDescent="0.2">
      <c r="A55" s="1530" t="s">
        <v>2333</v>
      </c>
      <c r="B55" s="1530"/>
      <c r="C55" s="1530"/>
      <c r="D55" s="1150"/>
      <c r="E55" s="1150"/>
      <c r="F55" s="1150"/>
      <c r="G55" s="1150"/>
    </row>
    <row r="56" spans="1:19" ht="10.25" customHeight="1" x14ac:dyDescent="0.2">
      <c r="A56" s="1152" t="s">
        <v>2322</v>
      </c>
      <c r="B56" s="1101"/>
      <c r="C56" s="1101"/>
      <c r="D56" s="1150"/>
      <c r="E56" s="1150"/>
      <c r="F56" s="1150"/>
      <c r="G56" s="1150"/>
    </row>
    <row r="57" spans="1:19" ht="12.25" customHeight="1" x14ac:dyDescent="0.2">
      <c r="A57" s="1530" t="s">
        <v>2334</v>
      </c>
      <c r="B57" s="1530"/>
      <c r="C57" s="1530"/>
      <c r="D57" s="1150"/>
      <c r="E57" s="1150"/>
      <c r="F57" s="1150"/>
      <c r="G57" s="1150"/>
    </row>
    <row r="58" spans="1:19" ht="14" customHeight="1" x14ac:dyDescent="0.2">
      <c r="A58" s="1152" t="s">
        <v>2322</v>
      </c>
      <c r="B58" s="1101"/>
      <c r="C58" s="1101"/>
      <c r="D58" s="1150"/>
      <c r="E58" s="1150"/>
      <c r="F58" s="1150"/>
      <c r="G58" s="1150"/>
    </row>
    <row r="59" spans="1:19" x14ac:dyDescent="0.2">
      <c r="A59" s="1153"/>
      <c r="B59" s="1153"/>
      <c r="C59" s="1153"/>
      <c r="D59" s="1153"/>
      <c r="E59" s="1153"/>
      <c r="F59" s="1153"/>
      <c r="G59" s="1153"/>
      <c r="H59" s="1153"/>
      <c r="I59" s="1153"/>
      <c r="J59" s="1153"/>
      <c r="K59" s="1153"/>
    </row>
    <row r="60" spans="1:19" ht="16" x14ac:dyDescent="0.2">
      <c r="A60" s="1153" t="s">
        <v>2326</v>
      </c>
      <c r="B60" s="1153" t="s">
        <v>2238</v>
      </c>
      <c r="C60" s="1153"/>
      <c r="D60" s="1171">
        <f>1.293*273.15/(D24+273.15)</f>
        <v>1.3171096401267945</v>
      </c>
      <c r="E60" s="1172">
        <f t="shared" ref="E60:N61" si="4">1.293*273.15/(E24+273.15)</f>
        <v>1.3171096401267945</v>
      </c>
      <c r="F60" s="1172">
        <f t="shared" si="4"/>
        <v>1.3171096401267945</v>
      </c>
      <c r="G60" s="1172">
        <f t="shared" si="4"/>
        <v>1.3171096401267945</v>
      </c>
      <c r="H60" s="1173">
        <f t="shared" si="4"/>
        <v>1.3171096401267945</v>
      </c>
      <c r="I60" s="1171">
        <f t="shared" si="4"/>
        <v>1.3171096401267945</v>
      </c>
      <c r="J60" s="1172">
        <f t="shared" si="4"/>
        <v>1.3171096401267945</v>
      </c>
      <c r="K60" s="1173">
        <f t="shared" si="4"/>
        <v>1.3171096401267945</v>
      </c>
      <c r="L60" s="1171">
        <f t="shared" si="4"/>
        <v>1.2697571454251302</v>
      </c>
      <c r="M60" s="1172">
        <f t="shared" si="4"/>
        <v>1.2697571454251302</v>
      </c>
      <c r="N60" s="1173">
        <f t="shared" si="4"/>
        <v>1.2697571454251302</v>
      </c>
    </row>
    <row r="61" spans="1:19" ht="16" x14ac:dyDescent="0.2">
      <c r="A61" s="1153" t="s">
        <v>2327</v>
      </c>
      <c r="B61" s="1153" t="s">
        <v>2238</v>
      </c>
      <c r="C61" s="1153"/>
      <c r="D61" s="1174">
        <f>1.293*273.15/(D25+273.15)</f>
        <v>1.2047857752004092</v>
      </c>
      <c r="E61" s="1153">
        <f t="shared" si="4"/>
        <v>1.2047857752004092</v>
      </c>
      <c r="F61" s="1153">
        <f t="shared" si="4"/>
        <v>1.2047857752004092</v>
      </c>
      <c r="G61" s="1153">
        <f t="shared" si="4"/>
        <v>1.2047857752004092</v>
      </c>
      <c r="H61" s="1175">
        <f t="shared" si="4"/>
        <v>1.2047857752004092</v>
      </c>
      <c r="I61" s="1174">
        <f t="shared" si="4"/>
        <v>1.2047857752004092</v>
      </c>
      <c r="J61" s="1153">
        <f t="shared" si="4"/>
        <v>1.2047857752004092</v>
      </c>
      <c r="K61" s="1175">
        <f t="shared" si="4"/>
        <v>1.2047857752004092</v>
      </c>
      <c r="L61" s="1174">
        <f t="shared" si="4"/>
        <v>1.2047857752004092</v>
      </c>
      <c r="M61" s="1153">
        <f t="shared" si="4"/>
        <v>1.2047857752004092</v>
      </c>
      <c r="N61" s="1175">
        <f t="shared" si="4"/>
        <v>1.2047857752004092</v>
      </c>
    </row>
    <row r="62" spans="1:19" ht="16" x14ac:dyDescent="0.2">
      <c r="A62" s="1153" t="s">
        <v>2328</v>
      </c>
      <c r="B62" s="1153" t="s">
        <v>496</v>
      </c>
      <c r="C62" s="1153"/>
      <c r="D62" s="1176">
        <f>((D29-D25)-(D30-D24))/LN((D29-D25)/(D30-D24))</f>
        <v>21.64042561333445</v>
      </c>
      <c r="E62" s="1154">
        <f t="shared" ref="E62:N62" si="5">((E29-E25)-(E30-E24))/LN((E29-E25)/(E30-E24))</f>
        <v>21.64042561333445</v>
      </c>
      <c r="F62" s="1154">
        <f t="shared" si="5"/>
        <v>21.64042561333445</v>
      </c>
      <c r="G62" s="1154">
        <f t="shared" si="5"/>
        <v>21.64042561333445</v>
      </c>
      <c r="H62" s="1177">
        <f t="shared" si="5"/>
        <v>22.239074656659042</v>
      </c>
      <c r="I62" s="1176">
        <f t="shared" si="5"/>
        <v>22.436743839712506</v>
      </c>
      <c r="J62" s="1154">
        <f t="shared" si="5"/>
        <v>23.604450022876573</v>
      </c>
      <c r="K62" s="1177">
        <f t="shared" si="5"/>
        <v>23.604450022876573</v>
      </c>
      <c r="L62" s="1176">
        <f t="shared" si="5"/>
        <v>17.607060569769985</v>
      </c>
      <c r="M62" s="1154">
        <f t="shared" si="5"/>
        <v>17.380297483911036</v>
      </c>
      <c r="N62" s="1177">
        <f t="shared" si="5"/>
        <v>17.607060569769985</v>
      </c>
    </row>
    <row r="63" spans="1:19" ht="16" x14ac:dyDescent="0.2">
      <c r="A63" s="1153" t="s">
        <v>2329</v>
      </c>
      <c r="B63" s="1153" t="s">
        <v>496</v>
      </c>
      <c r="C63" s="1153"/>
      <c r="D63" s="1178">
        <f>AVERAGE(D29:D30)-AVERAGE(D24:D25)</f>
        <v>22.5</v>
      </c>
      <c r="E63" s="1179">
        <f t="shared" ref="E63:N63" si="6">AVERAGE(E29:E30)-AVERAGE(E24:E25)</f>
        <v>22.5</v>
      </c>
      <c r="F63" s="1179">
        <f t="shared" si="6"/>
        <v>22.5</v>
      </c>
      <c r="G63" s="1179">
        <f t="shared" si="6"/>
        <v>22.5</v>
      </c>
      <c r="H63" s="1180">
        <f t="shared" si="6"/>
        <v>23.25</v>
      </c>
      <c r="I63" s="1178">
        <f t="shared" si="6"/>
        <v>23.5</v>
      </c>
      <c r="J63" s="1179">
        <f t="shared" si="6"/>
        <v>25</v>
      </c>
      <c r="K63" s="1180">
        <f t="shared" si="6"/>
        <v>25</v>
      </c>
      <c r="L63" s="1178">
        <f t="shared" si="6"/>
        <v>17.75</v>
      </c>
      <c r="M63" s="1179">
        <f t="shared" si="6"/>
        <v>17.5</v>
      </c>
      <c r="N63" s="1180">
        <f t="shared" si="6"/>
        <v>17.75</v>
      </c>
    </row>
    <row r="64" spans="1:19" x14ac:dyDescent="0.2">
      <c r="A64" s="1153"/>
      <c r="B64" s="1153"/>
      <c r="C64" s="1153"/>
      <c r="D64" s="1153"/>
      <c r="E64" s="1153"/>
      <c r="F64" s="1153"/>
      <c r="G64" s="1153"/>
      <c r="H64" s="1153"/>
      <c r="I64" s="1153"/>
      <c r="J64" s="1153"/>
      <c r="K64" s="1153"/>
      <c r="Q64" s="1155">
        <f t="array" ref="Q64:R64">LINEST(LN(D27:N27),LN(D22:N22))</f>
        <v>1.6735322658708449</v>
      </c>
      <c r="R64" s="1099">
        <v>4.4320542105440834</v>
      </c>
      <c r="S64" s="1155">
        <f>EXP(R64)</f>
        <v>84.104006919282924</v>
      </c>
    </row>
    <row r="65" spans="1:11" x14ac:dyDescent="0.2">
      <c r="A65" s="1153"/>
      <c r="B65" s="1153"/>
      <c r="C65" s="1153"/>
      <c r="D65" s="1153"/>
      <c r="E65" s="1153"/>
      <c r="F65" s="1153"/>
      <c r="G65" s="1153"/>
      <c r="H65" s="1153"/>
      <c r="I65" s="1153"/>
      <c r="J65" s="1153"/>
      <c r="K65" s="1153"/>
    </row>
    <row r="66" spans="1:11" x14ac:dyDescent="0.2">
      <c r="A66" s="1153"/>
      <c r="B66" s="1153"/>
      <c r="C66" s="1153"/>
      <c r="D66" s="1153"/>
      <c r="E66" s="1153"/>
      <c r="F66" s="1153"/>
      <c r="G66" s="1153"/>
      <c r="H66" s="1153"/>
      <c r="I66" s="1153"/>
      <c r="J66" s="1153"/>
      <c r="K66" s="1153"/>
    </row>
    <row r="67" spans="1:11" x14ac:dyDescent="0.2">
      <c r="A67" s="1153"/>
      <c r="B67" s="1153"/>
      <c r="C67" s="1153"/>
      <c r="D67" s="1153"/>
      <c r="E67" s="1153"/>
      <c r="F67" s="1153"/>
      <c r="G67" s="1153"/>
      <c r="H67" s="1153"/>
      <c r="I67" s="1153"/>
      <c r="J67" s="1153"/>
      <c r="K67" s="1153"/>
    </row>
    <row r="68" spans="1:11" x14ac:dyDescent="0.2">
      <c r="A68" s="1153"/>
      <c r="B68" s="1153"/>
      <c r="C68" s="1153"/>
      <c r="D68" s="1153"/>
      <c r="E68" s="1153"/>
      <c r="F68" s="1153"/>
      <c r="G68" s="1153"/>
      <c r="H68" s="1153"/>
      <c r="I68" s="1153"/>
      <c r="J68" s="1153"/>
      <c r="K68" s="1153"/>
    </row>
    <row r="69" spans="1:11" x14ac:dyDescent="0.2">
      <c r="A69" s="1153"/>
      <c r="B69" s="1153"/>
      <c r="C69" s="1153"/>
      <c r="D69" s="1153"/>
      <c r="E69" s="1153"/>
      <c r="F69" s="1153"/>
      <c r="G69" s="1153"/>
      <c r="H69" s="1153"/>
      <c r="I69" s="1153"/>
      <c r="J69" s="1153"/>
      <c r="K69" s="1153"/>
    </row>
    <row r="70" spans="1:11" x14ac:dyDescent="0.2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</row>
    <row r="71" spans="1:11" x14ac:dyDescent="0.2">
      <c r="A71" s="1153"/>
      <c r="B71" s="1153"/>
      <c r="C71" s="1153"/>
      <c r="D71" s="1153"/>
      <c r="E71" s="1153"/>
      <c r="F71" s="1153"/>
      <c r="G71" s="1153"/>
      <c r="H71" s="1153"/>
      <c r="I71" s="1153"/>
      <c r="J71" s="1153"/>
      <c r="K71" s="1153"/>
    </row>
    <row r="72" spans="1:11" x14ac:dyDescent="0.2">
      <c r="A72" s="1153"/>
      <c r="B72" s="1153"/>
      <c r="C72" s="1153"/>
      <c r="D72" s="1153"/>
      <c r="E72" s="1153"/>
      <c r="F72" s="1153"/>
      <c r="G72" s="1153"/>
      <c r="H72" s="1153"/>
      <c r="I72" s="1153"/>
      <c r="J72" s="1153"/>
      <c r="K72" s="1153"/>
    </row>
    <row r="73" spans="1:11" x14ac:dyDescent="0.2">
      <c r="A73" s="1153"/>
      <c r="B73" s="1153"/>
      <c r="C73" s="1153"/>
      <c r="D73" s="1153"/>
      <c r="E73" s="1153"/>
      <c r="F73" s="1153"/>
      <c r="G73" s="1153"/>
      <c r="H73" s="1153"/>
      <c r="I73" s="1153"/>
      <c r="J73" s="1153"/>
      <c r="K73" s="1153"/>
    </row>
    <row r="74" spans="1:11" x14ac:dyDescent="0.2">
      <c r="A74" s="1153"/>
      <c r="B74" s="1153"/>
      <c r="C74" s="1153"/>
      <c r="D74" s="1153"/>
      <c r="E74" s="1153"/>
      <c r="F74" s="1153"/>
      <c r="G74" s="1153"/>
      <c r="H74" s="1153"/>
      <c r="I74" s="1153"/>
      <c r="J74" s="1153"/>
      <c r="K74" s="1153"/>
    </row>
    <row r="81" spans="19:21" x14ac:dyDescent="0.2">
      <c r="S81" s="1155">
        <f t="array" ref="S81:T81">LINEST(LN(D33:N33),LN(D31:N31))</f>
        <v>1.8874514923284211</v>
      </c>
      <c r="T81" s="1099">
        <v>2.6451416924153093</v>
      </c>
      <c r="U81" s="1155">
        <f>EXP(T81)</f>
        <v>14.08544074185563</v>
      </c>
    </row>
  </sheetData>
  <mergeCells count="5">
    <mergeCell ref="A50:D50"/>
    <mergeCell ref="A51:C51"/>
    <mergeCell ref="A53:C53"/>
    <mergeCell ref="A55:C55"/>
    <mergeCell ref="A57:C57"/>
  </mergeCells>
  <conditionalFormatting sqref="D47:N47">
    <cfRule type="cellIs" dxfId="32" priority="7" operator="between">
      <formula>2500</formula>
      <formula>4000</formula>
    </cfRule>
    <cfRule type="cellIs" dxfId="31" priority="8" operator="lessThan">
      <formula>2500</formula>
    </cfRule>
    <cfRule type="cellIs" dxfId="30" priority="9" operator="greaterThan">
      <formula>4000</formula>
    </cfRule>
  </conditionalFormatting>
  <conditionalFormatting sqref="T26">
    <cfRule type="cellIs" dxfId="29" priority="4" operator="between">
      <formula>2500</formula>
      <formula>4000</formula>
    </cfRule>
    <cfRule type="cellIs" dxfId="28" priority="5" operator="lessThan">
      <formula>2500</formula>
    </cfRule>
    <cfRule type="cellIs" dxfId="27" priority="6" operator="greaterThan">
      <formula>4000</formula>
    </cfRule>
  </conditionalFormatting>
  <conditionalFormatting sqref="Y26">
    <cfRule type="cellIs" dxfId="26" priority="1" operator="between">
      <formula>2500</formula>
      <formula>4000</formula>
    </cfRule>
    <cfRule type="cellIs" dxfId="25" priority="2" operator="lessThan">
      <formula>2500</formula>
    </cfRule>
    <cfRule type="cellIs" dxfId="24" priority="3" operator="greaterThan">
      <formula>4000</formula>
    </cfRule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0132-9CF0-4F90-A834-F05A6ADD47B0}">
  <dimension ref="A1:BG119"/>
  <sheetViews>
    <sheetView topLeftCell="I72" zoomScale="70" zoomScaleNormal="70" workbookViewId="0">
      <selection activeCell="B126" sqref="B126"/>
    </sheetView>
  </sheetViews>
  <sheetFormatPr baseColWidth="10" defaultColWidth="9.1640625" defaultRowHeight="15" x14ac:dyDescent="0.2"/>
  <cols>
    <col min="1" max="1" width="33" style="1098" customWidth="1"/>
    <col min="2" max="2" width="7.5" style="1098" customWidth="1"/>
    <col min="3" max="3" width="1.6640625" style="1098" customWidth="1"/>
    <col min="4" max="21" width="8.83203125" style="1098" customWidth="1"/>
    <col min="22" max="22" width="13.33203125" style="1098" customWidth="1"/>
    <col min="23" max="25" width="8.83203125" style="1098" customWidth="1"/>
    <col min="26" max="28" width="9.1640625" style="1098"/>
    <col min="29" max="29" width="8.5" style="1098" customWidth="1"/>
    <col min="30" max="16384" width="9.1640625" style="1098"/>
  </cols>
  <sheetData>
    <row r="1" spans="1:56" ht="19" x14ac:dyDescent="0.2">
      <c r="A1" s="1097" t="s">
        <v>2335</v>
      </c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AQ1" s="1181"/>
      <c r="AR1" s="1181"/>
      <c r="AS1" s="1181"/>
      <c r="AT1" s="1181"/>
      <c r="AU1" s="1181"/>
      <c r="AV1" s="1181"/>
      <c r="AW1" s="1181"/>
      <c r="AX1" s="1181"/>
      <c r="AY1" s="1181"/>
      <c r="AZ1" s="1181"/>
      <c r="BA1" s="1181"/>
      <c r="BB1" s="1181"/>
      <c r="BC1" s="1181"/>
      <c r="BD1" s="1181"/>
    </row>
    <row r="2" spans="1:56" ht="11.25" customHeight="1" x14ac:dyDescent="0.2">
      <c r="A2" s="1100" t="s">
        <v>2230</v>
      </c>
      <c r="B2" s="1101"/>
      <c r="C2" s="1101"/>
      <c r="D2" s="1182">
        <v>1</v>
      </c>
      <c r="E2" s="1183">
        <v>2</v>
      </c>
      <c r="F2" s="1183">
        <v>3</v>
      </c>
      <c r="G2" s="1183">
        <v>4</v>
      </c>
      <c r="H2" s="1184">
        <v>5</v>
      </c>
      <c r="I2" s="1185">
        <v>6</v>
      </c>
      <c r="J2" s="1186">
        <v>7</v>
      </c>
      <c r="K2" s="1184">
        <v>8</v>
      </c>
      <c r="L2" s="1185">
        <v>9</v>
      </c>
      <c r="M2" s="1186">
        <v>10</v>
      </c>
      <c r="N2" s="1184">
        <v>11</v>
      </c>
      <c r="O2" s="1185">
        <v>12</v>
      </c>
      <c r="P2" s="1186">
        <v>13</v>
      </c>
      <c r="Q2" s="1184">
        <v>14</v>
      </c>
      <c r="R2" s="1185">
        <v>15</v>
      </c>
      <c r="S2" s="1186">
        <v>16</v>
      </c>
      <c r="T2" s="1186">
        <v>17</v>
      </c>
      <c r="U2" s="1186">
        <v>18</v>
      </c>
      <c r="V2" s="1184">
        <v>19</v>
      </c>
      <c r="AC2" s="1538" t="s">
        <v>2336</v>
      </c>
      <c r="AD2" s="1539"/>
      <c r="AE2" s="1539"/>
      <c r="AF2" s="1539"/>
      <c r="AG2" s="1539"/>
      <c r="AH2" s="1539"/>
      <c r="AI2" s="1539"/>
      <c r="AJ2" s="1539"/>
      <c r="AK2" s="1539"/>
      <c r="AL2" s="1539"/>
      <c r="AM2" s="1539"/>
      <c r="AN2" s="1539"/>
      <c r="AO2" s="1539"/>
      <c r="AP2" s="1540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</row>
    <row r="3" spans="1:56" ht="11.25" customHeight="1" x14ac:dyDescent="0.2">
      <c r="A3" s="1100" t="s">
        <v>2232</v>
      </c>
      <c r="B3" s="1101"/>
      <c r="C3" s="1101"/>
      <c r="D3" s="1187">
        <v>1</v>
      </c>
      <c r="E3" s="1107">
        <v>1</v>
      </c>
      <c r="F3" s="1107">
        <v>1</v>
      </c>
      <c r="G3" s="1107">
        <v>1</v>
      </c>
      <c r="H3" s="1188">
        <v>1</v>
      </c>
      <c r="I3" s="1189">
        <v>1</v>
      </c>
      <c r="J3" s="1149">
        <v>1</v>
      </c>
      <c r="K3" s="1188">
        <v>1</v>
      </c>
      <c r="L3" s="1189">
        <v>1</v>
      </c>
      <c r="M3" s="1149">
        <v>1</v>
      </c>
      <c r="N3" s="1188">
        <v>1</v>
      </c>
      <c r="O3" s="1189">
        <v>1</v>
      </c>
      <c r="P3" s="1149">
        <v>1</v>
      </c>
      <c r="Q3" s="1188">
        <v>1</v>
      </c>
      <c r="R3" s="1189">
        <v>1</v>
      </c>
      <c r="S3" s="1149">
        <v>1</v>
      </c>
      <c r="T3" s="1149">
        <v>1</v>
      </c>
      <c r="U3" s="1149">
        <v>1</v>
      </c>
      <c r="V3" s="1188">
        <v>1</v>
      </c>
      <c r="AB3" s="1190" t="s">
        <v>485</v>
      </c>
      <c r="AC3" s="1191">
        <f>D22</f>
        <v>0.2</v>
      </c>
      <c r="AD3" s="1191">
        <f t="shared" ref="AD3:AJ6" si="0">E22</f>
        <v>0.3</v>
      </c>
      <c r="AE3" s="1191">
        <f t="shared" si="0"/>
        <v>0.4</v>
      </c>
      <c r="AF3" s="1191">
        <f t="shared" si="0"/>
        <v>0.5</v>
      </c>
      <c r="AG3" s="1191">
        <f t="shared" si="0"/>
        <v>0.6</v>
      </c>
      <c r="AH3" s="1191">
        <f t="shared" si="0"/>
        <v>0.3</v>
      </c>
      <c r="AI3" s="1191">
        <f t="shared" si="0"/>
        <v>0.4</v>
      </c>
      <c r="AJ3" s="1191">
        <f t="shared" si="0"/>
        <v>0.5</v>
      </c>
      <c r="AK3" s="1191">
        <f>O22</f>
        <v>0.3</v>
      </c>
      <c r="AL3" s="1191">
        <f t="shared" ref="AL3:AM6" si="1">P22</f>
        <v>0.4</v>
      </c>
      <c r="AM3" s="1191">
        <f t="shared" si="1"/>
        <v>0.5</v>
      </c>
      <c r="AN3" s="1191">
        <f>L22</f>
        <v>0.3</v>
      </c>
      <c r="AO3" s="1191">
        <f t="shared" ref="AO3:AP6" si="2">M22</f>
        <v>0.4</v>
      </c>
      <c r="AP3" s="1191">
        <f t="shared" si="2"/>
        <v>0.5</v>
      </c>
      <c r="AQ3" s="1181"/>
      <c r="AR3" s="1181"/>
      <c r="AS3" s="1181"/>
      <c r="AT3" s="1181"/>
      <c r="AU3" s="1181"/>
      <c r="AV3" s="1181"/>
      <c r="AW3" s="1181"/>
      <c r="AX3" s="1181"/>
      <c r="AY3" s="1181"/>
      <c r="AZ3" s="1181"/>
      <c r="BA3" s="1181"/>
      <c r="BB3" s="1181"/>
      <c r="BC3" s="1181"/>
      <c r="BD3" s="1181"/>
    </row>
    <row r="4" spans="1:56" ht="11.25" customHeight="1" x14ac:dyDescent="0.2">
      <c r="A4" s="1100" t="s">
        <v>2233</v>
      </c>
      <c r="B4" s="1101"/>
      <c r="C4" s="1101"/>
      <c r="D4" s="1192"/>
      <c r="E4" s="1110"/>
      <c r="F4" s="1110"/>
      <c r="G4" s="1110"/>
      <c r="H4" s="1193"/>
      <c r="I4" s="1194"/>
      <c r="J4" s="1158"/>
      <c r="K4" s="1193"/>
      <c r="L4" s="1194"/>
      <c r="M4" s="1158"/>
      <c r="N4" s="1193"/>
      <c r="O4" s="1194"/>
      <c r="P4" s="1158"/>
      <c r="Q4" s="1193"/>
      <c r="R4" s="1194"/>
      <c r="S4" s="1158"/>
      <c r="T4" s="1158"/>
      <c r="U4" s="1158"/>
      <c r="V4" s="1193"/>
      <c r="AB4" s="1195" t="s">
        <v>2337</v>
      </c>
      <c r="AC4" s="1191">
        <f>D23</f>
        <v>0.24</v>
      </c>
      <c r="AD4" s="1191">
        <f t="shared" si="0"/>
        <v>0.36</v>
      </c>
      <c r="AE4" s="1191">
        <f t="shared" si="0"/>
        <v>0.48</v>
      </c>
      <c r="AF4" s="1191">
        <f t="shared" si="0"/>
        <v>0.6</v>
      </c>
      <c r="AG4" s="1191">
        <f t="shared" si="0"/>
        <v>0.72</v>
      </c>
      <c r="AH4" s="1191">
        <f t="shared" si="0"/>
        <v>0.36</v>
      </c>
      <c r="AI4" s="1191">
        <f t="shared" si="0"/>
        <v>0.48</v>
      </c>
      <c r="AJ4" s="1191">
        <f t="shared" si="0"/>
        <v>0.6</v>
      </c>
      <c r="AK4" s="1191">
        <f>O23</f>
        <v>0.36</v>
      </c>
      <c r="AL4" s="1191">
        <f t="shared" si="1"/>
        <v>0.48</v>
      </c>
      <c r="AM4" s="1191">
        <f t="shared" si="1"/>
        <v>0.6</v>
      </c>
      <c r="AN4" s="1191">
        <f>L23</f>
        <v>0.36</v>
      </c>
      <c r="AO4" s="1191">
        <f t="shared" si="2"/>
        <v>0.48</v>
      </c>
      <c r="AP4" s="1191">
        <f t="shared" si="2"/>
        <v>0.6</v>
      </c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</row>
    <row r="5" spans="1:56" ht="11.25" customHeight="1" x14ac:dyDescent="0.2">
      <c r="A5" s="1100" t="s">
        <v>2236</v>
      </c>
      <c r="B5" s="1101"/>
      <c r="C5" s="1101"/>
      <c r="D5" s="1192"/>
      <c r="E5" s="1110"/>
      <c r="F5" s="1110"/>
      <c r="G5" s="1110"/>
      <c r="H5" s="1193"/>
      <c r="I5" s="1194"/>
      <c r="J5" s="1158"/>
      <c r="K5" s="1193"/>
      <c r="L5" s="1194"/>
      <c r="M5" s="1158"/>
      <c r="N5" s="1193"/>
      <c r="O5" s="1194"/>
      <c r="P5" s="1158"/>
      <c r="Q5" s="1193"/>
      <c r="R5" s="1194"/>
      <c r="S5" s="1158"/>
      <c r="T5" s="1158"/>
      <c r="U5" s="1158"/>
      <c r="V5" s="1193"/>
      <c r="AB5" s="1190" t="s">
        <v>2338</v>
      </c>
      <c r="AC5" s="1191">
        <f t="shared" ref="AC5:AJ9" si="3">D24</f>
        <v>25</v>
      </c>
      <c r="AD5" s="1191">
        <f t="shared" si="0"/>
        <v>25</v>
      </c>
      <c r="AE5" s="1191">
        <f t="shared" si="0"/>
        <v>25</v>
      </c>
      <c r="AF5" s="1191">
        <f t="shared" si="0"/>
        <v>25</v>
      </c>
      <c r="AG5" s="1191">
        <f t="shared" si="0"/>
        <v>25</v>
      </c>
      <c r="AH5" s="1191">
        <f t="shared" si="0"/>
        <v>30</v>
      </c>
      <c r="AI5" s="1191">
        <f t="shared" si="0"/>
        <v>30</v>
      </c>
      <c r="AJ5" s="1191">
        <f t="shared" si="0"/>
        <v>30</v>
      </c>
      <c r="AK5" s="1191">
        <f>O24</f>
        <v>25</v>
      </c>
      <c r="AL5" s="1191">
        <f t="shared" si="1"/>
        <v>25</v>
      </c>
      <c r="AM5" s="1191">
        <f t="shared" si="1"/>
        <v>25</v>
      </c>
      <c r="AN5" s="1191">
        <f>L24</f>
        <v>25</v>
      </c>
      <c r="AO5" s="1191">
        <f t="shared" si="2"/>
        <v>25</v>
      </c>
      <c r="AP5" s="1191">
        <f t="shared" si="2"/>
        <v>25</v>
      </c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</row>
    <row r="6" spans="1:56" ht="11.25" customHeight="1" x14ac:dyDescent="0.2">
      <c r="A6" s="1100" t="s">
        <v>2240</v>
      </c>
      <c r="B6" s="1101"/>
      <c r="C6" s="1101"/>
      <c r="D6" s="1192"/>
      <c r="E6" s="1110"/>
      <c r="F6" s="1110"/>
      <c r="G6" s="1110"/>
      <c r="H6" s="1193"/>
      <c r="I6" s="1194"/>
      <c r="J6" s="1158"/>
      <c r="K6" s="1193"/>
      <c r="L6" s="1194"/>
      <c r="M6" s="1158"/>
      <c r="N6" s="1193"/>
      <c r="O6" s="1194"/>
      <c r="P6" s="1158"/>
      <c r="Q6" s="1193"/>
      <c r="R6" s="1194"/>
      <c r="S6" s="1158"/>
      <c r="T6" s="1158"/>
      <c r="U6" s="1158"/>
      <c r="V6" s="1193"/>
      <c r="AB6" s="1190" t="s">
        <v>2339</v>
      </c>
      <c r="AC6" s="1191">
        <f t="shared" si="3"/>
        <v>65</v>
      </c>
      <c r="AD6" s="1191">
        <f t="shared" si="0"/>
        <v>65</v>
      </c>
      <c r="AE6" s="1191">
        <f t="shared" si="0"/>
        <v>65</v>
      </c>
      <c r="AF6" s="1191">
        <f t="shared" si="0"/>
        <v>65</v>
      </c>
      <c r="AG6" s="1191">
        <f t="shared" si="0"/>
        <v>65</v>
      </c>
      <c r="AH6" s="1191">
        <f t="shared" si="0"/>
        <v>45</v>
      </c>
      <c r="AI6" s="1191">
        <f t="shared" si="0"/>
        <v>45</v>
      </c>
      <c r="AJ6" s="1191">
        <f t="shared" si="0"/>
        <v>45</v>
      </c>
      <c r="AK6" s="1191">
        <f>O25</f>
        <v>65</v>
      </c>
      <c r="AL6" s="1191">
        <f t="shared" si="1"/>
        <v>65</v>
      </c>
      <c r="AM6" s="1191">
        <f t="shared" si="1"/>
        <v>65</v>
      </c>
      <c r="AN6" s="1191">
        <f>L25</f>
        <v>50</v>
      </c>
      <c r="AO6" s="1191">
        <f t="shared" si="2"/>
        <v>50</v>
      </c>
      <c r="AP6" s="1191">
        <f t="shared" si="2"/>
        <v>50</v>
      </c>
      <c r="AQ6" s="1181"/>
      <c r="AR6" s="1181"/>
      <c r="AS6" s="1181"/>
      <c r="AT6" s="1181"/>
      <c r="AU6" s="1181"/>
      <c r="AV6" s="1181"/>
      <c r="AW6" s="1181"/>
      <c r="AX6" s="1181"/>
      <c r="AY6" s="1181"/>
      <c r="AZ6" s="1181"/>
      <c r="BA6" s="1181"/>
      <c r="BB6" s="1181"/>
      <c r="BC6" s="1181"/>
      <c r="BD6" s="1181"/>
    </row>
    <row r="7" spans="1:56" ht="15.75" customHeight="1" x14ac:dyDescent="0.2">
      <c r="A7" s="1100" t="s">
        <v>2242</v>
      </c>
      <c r="B7" s="1101"/>
      <c r="C7" s="1101"/>
      <c r="D7" s="1187" t="s">
        <v>2340</v>
      </c>
      <c r="E7" s="1107" t="s">
        <v>2340</v>
      </c>
      <c r="F7" s="1107" t="s">
        <v>2340</v>
      </c>
      <c r="G7" s="1107" t="s">
        <v>2340</v>
      </c>
      <c r="H7" s="1188" t="s">
        <v>2340</v>
      </c>
      <c r="I7" s="1189" t="s">
        <v>2340</v>
      </c>
      <c r="J7" s="1149" t="s">
        <v>2340</v>
      </c>
      <c r="K7" s="1188" t="s">
        <v>2340</v>
      </c>
      <c r="L7" s="1189" t="s">
        <v>2340</v>
      </c>
      <c r="M7" s="1149" t="s">
        <v>2340</v>
      </c>
      <c r="N7" s="1188" t="s">
        <v>2340</v>
      </c>
      <c r="O7" s="1189" t="s">
        <v>2340</v>
      </c>
      <c r="P7" s="1149" t="s">
        <v>2340</v>
      </c>
      <c r="Q7" s="1188" t="s">
        <v>2340</v>
      </c>
      <c r="R7" s="1189" t="s">
        <v>2341</v>
      </c>
      <c r="S7" s="1149" t="s">
        <v>2341</v>
      </c>
      <c r="T7" s="1149" t="s">
        <v>2341</v>
      </c>
      <c r="U7" s="1149" t="s">
        <v>2341</v>
      </c>
      <c r="V7" s="1188" t="s">
        <v>2341</v>
      </c>
      <c r="Y7" s="1098" t="s">
        <v>2342</v>
      </c>
      <c r="AB7" s="1190" t="s">
        <v>2343</v>
      </c>
      <c r="AC7" s="1196">
        <f>0.622*(AC6/100*6.112*EXP((17.67*AC5)/(AC5+243.5)))/(1013.25-(AC6/100*6.112*EXP((17.67*AC5)/(AC5+243.5))))</f>
        <v>1.2900585465042545E-2</v>
      </c>
      <c r="AD7" s="1196">
        <f t="shared" ref="AD7:AP7" si="4">0.622*(AD6/100*6.112*EXP((17.67*AD5)/(AD5+243.5)))/(1013.25-(AD6/100*6.112*EXP((17.67*AD5)/(AD5+243.5))))</f>
        <v>1.2900585465042545E-2</v>
      </c>
      <c r="AE7" s="1196">
        <f t="shared" si="4"/>
        <v>1.2900585465042545E-2</v>
      </c>
      <c r="AF7" s="1196">
        <f t="shared" si="4"/>
        <v>1.2900585465042545E-2</v>
      </c>
      <c r="AG7" s="1196">
        <f t="shared" si="4"/>
        <v>1.2900585465042545E-2</v>
      </c>
      <c r="AH7" s="1196">
        <f t="shared" si="4"/>
        <v>1.1953353619756312E-2</v>
      </c>
      <c r="AI7" s="1196">
        <f t="shared" si="4"/>
        <v>1.1953353619756312E-2</v>
      </c>
      <c r="AJ7" s="1196">
        <f t="shared" si="4"/>
        <v>1.1953353619756312E-2</v>
      </c>
      <c r="AK7" s="1196">
        <f t="shared" si="4"/>
        <v>1.2900585465042545E-2</v>
      </c>
      <c r="AL7" s="1196">
        <f t="shared" si="4"/>
        <v>1.2900585465042545E-2</v>
      </c>
      <c r="AM7" s="1196">
        <f t="shared" si="4"/>
        <v>1.2900585465042545E-2</v>
      </c>
      <c r="AN7" s="1196">
        <f t="shared" si="4"/>
        <v>9.8762568766791597E-3</v>
      </c>
      <c r="AO7" s="1196">
        <f t="shared" si="4"/>
        <v>9.8762568766791597E-3</v>
      </c>
      <c r="AP7" s="1196">
        <f t="shared" si="4"/>
        <v>9.8762568766791597E-3</v>
      </c>
      <c r="AQ7" s="1181"/>
      <c r="AR7" s="1181"/>
      <c r="AS7" s="1181"/>
      <c r="AT7" s="1181"/>
      <c r="AU7" s="1181"/>
      <c r="AV7" s="1181"/>
      <c r="AW7" s="1181"/>
      <c r="AX7" s="1181"/>
      <c r="AY7" s="1181"/>
      <c r="AZ7" s="1181"/>
      <c r="BA7" s="1181"/>
      <c r="BB7" s="1181"/>
      <c r="BC7" s="1181"/>
      <c r="BD7" s="1181"/>
    </row>
    <row r="8" spans="1:56" ht="13.5" customHeight="1" x14ac:dyDescent="0.2">
      <c r="A8" s="1100" t="s">
        <v>2244</v>
      </c>
      <c r="B8" s="1101"/>
      <c r="C8" s="1101"/>
      <c r="D8" s="1192"/>
      <c r="E8" s="1110"/>
      <c r="F8" s="1110"/>
      <c r="G8" s="1110"/>
      <c r="H8" s="1193"/>
      <c r="I8" s="1194"/>
      <c r="J8" s="1158"/>
      <c r="K8" s="1193"/>
      <c r="L8" s="1194"/>
      <c r="M8" s="1158"/>
      <c r="N8" s="1193"/>
      <c r="O8" s="1194"/>
      <c r="P8" s="1158"/>
      <c r="Q8" s="1193"/>
      <c r="R8" s="1194"/>
      <c r="S8" s="1158"/>
      <c r="T8" s="1158"/>
      <c r="U8" s="1158"/>
      <c r="V8" s="1193"/>
      <c r="AB8" s="1190" t="s">
        <v>2344</v>
      </c>
      <c r="AC8" s="1191">
        <f t="shared" si="3"/>
        <v>15</v>
      </c>
      <c r="AD8" s="1191">
        <f t="shared" si="3"/>
        <v>15.6</v>
      </c>
      <c r="AE8" s="1191">
        <f t="shared" si="3"/>
        <v>16.2</v>
      </c>
      <c r="AF8" s="1191">
        <f t="shared" si="3"/>
        <v>16.600000000000001</v>
      </c>
      <c r="AG8" s="1191">
        <f t="shared" si="3"/>
        <v>16.899999999999999</v>
      </c>
      <c r="AH8" s="1191">
        <f t="shared" si="3"/>
        <v>15.5</v>
      </c>
      <c r="AI8" s="1191">
        <f t="shared" si="3"/>
        <v>16.100000000000001</v>
      </c>
      <c r="AJ8" s="1191">
        <f t="shared" si="3"/>
        <v>16.7</v>
      </c>
      <c r="AK8" s="1191">
        <f>O27</f>
        <v>17</v>
      </c>
      <c r="AL8" s="1191">
        <f t="shared" ref="AL8:AM9" si="5">P27</f>
        <v>17.5</v>
      </c>
      <c r="AM8" s="1191">
        <f t="shared" si="5"/>
        <v>17.7</v>
      </c>
      <c r="AN8" s="1191">
        <f>L27</f>
        <v>16.2</v>
      </c>
      <c r="AO8" s="1191">
        <f t="shared" ref="AO8:AP9" si="6">M27</f>
        <v>16.7</v>
      </c>
      <c r="AP8" s="1191">
        <f t="shared" si="6"/>
        <v>17.100000000000001</v>
      </c>
      <c r="AQ8" s="1181"/>
      <c r="AR8" s="1181"/>
      <c r="AS8" s="1181"/>
      <c r="AT8" s="1181"/>
      <c r="AU8" s="1181"/>
      <c r="AV8" s="1181"/>
      <c r="AW8" s="1181"/>
      <c r="AX8" s="1181"/>
      <c r="AY8" s="1181"/>
      <c r="AZ8" s="1181"/>
      <c r="BA8" s="1181"/>
      <c r="BB8" s="1181"/>
      <c r="BC8" s="1181"/>
      <c r="BD8" s="1181"/>
    </row>
    <row r="9" spans="1:56" ht="11.25" customHeight="1" x14ac:dyDescent="0.2">
      <c r="A9" s="1100" t="s">
        <v>2246</v>
      </c>
      <c r="B9" s="1101"/>
      <c r="C9" s="1101"/>
      <c r="D9" s="1187" t="s">
        <v>2345</v>
      </c>
      <c r="E9" s="1107" t="s">
        <v>2345</v>
      </c>
      <c r="F9" s="1107" t="s">
        <v>2345</v>
      </c>
      <c r="G9" s="1107" t="s">
        <v>2345</v>
      </c>
      <c r="H9" s="1188" t="s">
        <v>2345</v>
      </c>
      <c r="I9" s="1189" t="s">
        <v>2345</v>
      </c>
      <c r="J9" s="1149" t="s">
        <v>2345</v>
      </c>
      <c r="K9" s="1188" t="s">
        <v>2345</v>
      </c>
      <c r="L9" s="1189" t="s">
        <v>2345</v>
      </c>
      <c r="M9" s="1149" t="s">
        <v>2345</v>
      </c>
      <c r="N9" s="1188" t="s">
        <v>2345</v>
      </c>
      <c r="O9" s="1189" t="s">
        <v>2345</v>
      </c>
      <c r="P9" s="1149" t="s">
        <v>2345</v>
      </c>
      <c r="Q9" s="1188" t="s">
        <v>2345</v>
      </c>
      <c r="R9" s="1189" t="s">
        <v>2345</v>
      </c>
      <c r="S9" s="1149" t="s">
        <v>2345</v>
      </c>
      <c r="T9" s="1149" t="s">
        <v>2345</v>
      </c>
      <c r="U9" s="1149" t="s">
        <v>2345</v>
      </c>
      <c r="V9" s="1188" t="s">
        <v>2345</v>
      </c>
      <c r="AB9" s="1190" t="s">
        <v>2346</v>
      </c>
      <c r="AC9" s="1191">
        <f t="shared" si="3"/>
        <v>100</v>
      </c>
      <c r="AD9" s="1191">
        <f t="shared" si="3"/>
        <v>100</v>
      </c>
      <c r="AE9" s="1191">
        <f t="shared" si="3"/>
        <v>99</v>
      </c>
      <c r="AF9" s="1191">
        <f t="shared" si="3"/>
        <v>99</v>
      </c>
      <c r="AG9" s="1191">
        <f t="shared" si="3"/>
        <v>98</v>
      </c>
      <c r="AH9" s="1191">
        <f t="shared" si="3"/>
        <v>99</v>
      </c>
      <c r="AI9" s="1191">
        <f t="shared" si="3"/>
        <v>98</v>
      </c>
      <c r="AJ9" s="1191">
        <f t="shared" si="3"/>
        <v>97</v>
      </c>
      <c r="AK9" s="1191">
        <f>O28</f>
        <v>99</v>
      </c>
      <c r="AL9" s="1191">
        <f t="shared" si="5"/>
        <v>98</v>
      </c>
      <c r="AM9" s="1191">
        <f t="shared" si="5"/>
        <v>98</v>
      </c>
      <c r="AN9" s="1191">
        <f>L28</f>
        <v>86</v>
      </c>
      <c r="AO9" s="1191">
        <f t="shared" si="6"/>
        <v>83</v>
      </c>
      <c r="AP9" s="1191">
        <f t="shared" si="6"/>
        <v>81</v>
      </c>
      <c r="AQ9" s="1181"/>
      <c r="AR9" s="1181"/>
      <c r="AS9" s="1181"/>
      <c r="AT9" s="1181"/>
      <c r="AU9" s="1181"/>
      <c r="AV9" s="1181"/>
      <c r="AW9" s="1181"/>
      <c r="AX9" s="1181"/>
      <c r="AY9" s="1181"/>
      <c r="AZ9" s="1181"/>
      <c r="BA9" s="1181"/>
      <c r="BB9" s="1181"/>
      <c r="BC9" s="1181"/>
      <c r="BD9" s="1181"/>
    </row>
    <row r="10" spans="1:56" ht="11.25" customHeight="1" x14ac:dyDescent="0.2">
      <c r="A10" s="1100" t="s">
        <v>2248</v>
      </c>
      <c r="B10" s="1101"/>
      <c r="C10" s="1101"/>
      <c r="D10" s="1187" t="s">
        <v>2249</v>
      </c>
      <c r="E10" s="1107" t="s">
        <v>2249</v>
      </c>
      <c r="F10" s="1107" t="s">
        <v>2249</v>
      </c>
      <c r="G10" s="1107" t="s">
        <v>2249</v>
      </c>
      <c r="H10" s="1188" t="s">
        <v>2249</v>
      </c>
      <c r="I10" s="1189" t="s">
        <v>2249</v>
      </c>
      <c r="J10" s="1149" t="s">
        <v>2249</v>
      </c>
      <c r="K10" s="1188" t="s">
        <v>2249</v>
      </c>
      <c r="L10" s="1189" t="s">
        <v>2249</v>
      </c>
      <c r="M10" s="1149" t="s">
        <v>2249</v>
      </c>
      <c r="N10" s="1188" t="s">
        <v>2249</v>
      </c>
      <c r="O10" s="1189" t="s">
        <v>2249</v>
      </c>
      <c r="P10" s="1149" t="s">
        <v>2249</v>
      </c>
      <c r="Q10" s="1188" t="s">
        <v>2249</v>
      </c>
      <c r="R10" s="1189" t="s">
        <v>2249</v>
      </c>
      <c r="S10" s="1149" t="s">
        <v>2249</v>
      </c>
      <c r="T10" s="1149" t="s">
        <v>2249</v>
      </c>
      <c r="U10" s="1149" t="s">
        <v>2249</v>
      </c>
      <c r="V10" s="1188" t="s">
        <v>2249</v>
      </c>
      <c r="AB10" s="1190" t="s">
        <v>2347</v>
      </c>
      <c r="AC10" s="1196">
        <f>0.622*(AC9/100*6.112*EXP((17.67*AC8)/(AC8+243.5)))/(1013.25-(AC9/100*6.112*EXP((17.67*AC8)/(AC8+243.5))))</f>
        <v>1.0639516632285564E-2</v>
      </c>
      <c r="AD10" s="1196">
        <f t="shared" ref="AD10:AM10" si="7">0.622*(AD9/100*6.112*EXP((17.67*AD8)/(AD8+243.5)))/(1013.25-(AD9/100*6.112*EXP((17.67*AD8)/(AD8+243.5))))</f>
        <v>1.1065051648412899E-2</v>
      </c>
      <c r="AE10" s="1196">
        <f t="shared" si="7"/>
        <v>1.1388663550416778E-2</v>
      </c>
      <c r="AF10" s="1196">
        <f t="shared" si="7"/>
        <v>1.1688086840286467E-2</v>
      </c>
      <c r="AG10" s="1196">
        <f t="shared" si="7"/>
        <v>1.1794623085849562E-2</v>
      </c>
      <c r="AH10" s="1196">
        <f t="shared" si="7"/>
        <v>1.0881229786013307E-2</v>
      </c>
      <c r="AI10" s="1196">
        <f t="shared" si="7"/>
        <v>1.1198544635997532E-2</v>
      </c>
      <c r="AJ10" s="1196">
        <f t="shared" si="7"/>
        <v>1.1521980911248519E-2</v>
      </c>
      <c r="AK10" s="1196">
        <f t="shared" si="7"/>
        <v>1.199457478891734E-2</v>
      </c>
      <c r="AL10" s="1196">
        <f t="shared" si="7"/>
        <v>1.226025289209506E-2</v>
      </c>
      <c r="AM10" s="1196">
        <f t="shared" si="7"/>
        <v>1.2419100613494343E-2</v>
      </c>
      <c r="AN10" s="1196">
        <f>0.622*(AN9/100*6.112*EXP((17.67*AN8)/(AN8+243.5)))/(1013.25-(AN9/100*6.112*EXP((17.67*AN8)/(AN8+243.5))))</f>
        <v>9.8694532489957826E-3</v>
      </c>
      <c r="AO10" s="1196">
        <f t="shared" ref="AO10:AP10" si="8">0.622*(AO9/100*6.112*EXP((17.67*AO8)/(AO8+243.5)))/(1013.25-(AO9/100*6.112*EXP((17.67*AO8)/(AO8+243.5))))</f>
        <v>9.8327260215261402E-3</v>
      </c>
      <c r="AP10" s="1196">
        <f t="shared" si="8"/>
        <v>9.8426177894219702E-3</v>
      </c>
      <c r="AQ10" s="1181"/>
      <c r="AR10" s="1181"/>
      <c r="AS10" s="1181"/>
      <c r="AT10" s="1181"/>
      <c r="AU10" s="1181"/>
      <c r="AV10" s="1181"/>
      <c r="AW10" s="1181"/>
      <c r="AX10" s="1181"/>
      <c r="AY10" s="1181"/>
      <c r="AZ10" s="1181"/>
      <c r="BA10" s="1181"/>
      <c r="BB10" s="1181"/>
      <c r="BC10" s="1181"/>
      <c r="BD10" s="1181"/>
    </row>
    <row r="11" spans="1:56" ht="11.25" customHeight="1" x14ac:dyDescent="0.2">
      <c r="A11" s="1100" t="s">
        <v>2252</v>
      </c>
      <c r="B11" s="1101"/>
      <c r="C11" s="1101"/>
      <c r="D11" s="1187" t="s">
        <v>2249</v>
      </c>
      <c r="E11" s="1107" t="s">
        <v>2249</v>
      </c>
      <c r="F11" s="1107" t="s">
        <v>2249</v>
      </c>
      <c r="G11" s="1107" t="s">
        <v>2249</v>
      </c>
      <c r="H11" s="1188" t="s">
        <v>2249</v>
      </c>
      <c r="I11" s="1189" t="s">
        <v>2249</v>
      </c>
      <c r="J11" s="1149" t="s">
        <v>2249</v>
      </c>
      <c r="K11" s="1188" t="s">
        <v>2249</v>
      </c>
      <c r="L11" s="1189" t="s">
        <v>2249</v>
      </c>
      <c r="M11" s="1149" t="s">
        <v>2249</v>
      </c>
      <c r="N11" s="1188" t="s">
        <v>2249</v>
      </c>
      <c r="O11" s="1189" t="s">
        <v>2249</v>
      </c>
      <c r="P11" s="1149" t="s">
        <v>2249</v>
      </c>
      <c r="Q11" s="1188" t="s">
        <v>2249</v>
      </c>
      <c r="R11" s="1189" t="s">
        <v>2249</v>
      </c>
      <c r="S11" s="1149" t="s">
        <v>2249</v>
      </c>
      <c r="T11" s="1149" t="s">
        <v>2249</v>
      </c>
      <c r="U11" s="1149" t="s">
        <v>2249</v>
      </c>
      <c r="V11" s="1188" t="s">
        <v>2249</v>
      </c>
      <c r="Y11" s="1098" t="s">
        <v>2342</v>
      </c>
      <c r="AB11" s="1190" t="s">
        <v>2348</v>
      </c>
      <c r="AC11" s="1197">
        <f>AC4*(AC7-AC10)*2500</f>
        <v>1.3566412996541888</v>
      </c>
      <c r="AD11" s="1197">
        <f t="shared" ref="AD11:AP11" si="9">AD4*(AD7-AD10)*2500</f>
        <v>1.6519804349666816</v>
      </c>
      <c r="AE11" s="1197">
        <f t="shared" si="9"/>
        <v>1.8143062975509201</v>
      </c>
      <c r="AF11" s="1197">
        <f t="shared" si="9"/>
        <v>1.8187479371341166</v>
      </c>
      <c r="AG11" s="1197">
        <f t="shared" si="9"/>
        <v>1.9907322825473692</v>
      </c>
      <c r="AH11" s="1197">
        <f t="shared" si="9"/>
        <v>0.96491145036870418</v>
      </c>
      <c r="AI11" s="1197">
        <f t="shared" si="9"/>
        <v>0.90577078051053628</v>
      </c>
      <c r="AJ11" s="1197">
        <f t="shared" si="9"/>
        <v>0.64705906276169001</v>
      </c>
      <c r="AK11" s="1197">
        <f t="shared" si="9"/>
        <v>0.8154096085126844</v>
      </c>
      <c r="AL11" s="1197">
        <f t="shared" si="9"/>
        <v>0.76839908753698205</v>
      </c>
      <c r="AM11" s="1197">
        <f t="shared" si="9"/>
        <v>0.72222727732230385</v>
      </c>
      <c r="AN11" s="1198">
        <f t="shared" si="9"/>
        <v>6.1232649150394503E-3</v>
      </c>
      <c r="AO11" s="1198">
        <f t="shared" si="9"/>
        <v>5.2237026183623442E-2</v>
      </c>
      <c r="AP11" s="1198">
        <f t="shared" si="9"/>
        <v>5.0458630885784339E-2</v>
      </c>
      <c r="AQ11" s="1181"/>
      <c r="AR11" s="1181"/>
      <c r="AS11" s="1181"/>
      <c r="AT11" s="1181"/>
      <c r="AU11" s="1181"/>
      <c r="AV11" s="1181"/>
      <c r="AW11" s="1181"/>
      <c r="AX11" s="1181"/>
      <c r="AY11" s="1181"/>
      <c r="AZ11" s="1181"/>
      <c r="BA11" s="1181"/>
      <c r="BB11" s="1181"/>
      <c r="BC11" s="1181"/>
      <c r="BD11" s="1181"/>
    </row>
    <row r="12" spans="1:56" ht="11.25" customHeight="1" thickBot="1" x14ac:dyDescent="0.25">
      <c r="A12" s="1100" t="s">
        <v>2254</v>
      </c>
      <c r="B12" s="1101"/>
      <c r="C12" s="1101"/>
      <c r="D12" s="1187" t="s">
        <v>2255</v>
      </c>
      <c r="E12" s="1107" t="s">
        <v>2255</v>
      </c>
      <c r="F12" s="1107" t="s">
        <v>2255</v>
      </c>
      <c r="G12" s="1107" t="s">
        <v>2255</v>
      </c>
      <c r="H12" s="1188" t="s">
        <v>2255</v>
      </c>
      <c r="I12" s="1189" t="s">
        <v>2255</v>
      </c>
      <c r="J12" s="1149" t="s">
        <v>2255</v>
      </c>
      <c r="K12" s="1188" t="s">
        <v>2255</v>
      </c>
      <c r="L12" s="1189" t="s">
        <v>2255</v>
      </c>
      <c r="M12" s="1149" t="s">
        <v>2255</v>
      </c>
      <c r="N12" s="1188" t="s">
        <v>2255</v>
      </c>
      <c r="O12" s="1189" t="s">
        <v>2255</v>
      </c>
      <c r="P12" s="1149" t="s">
        <v>2255</v>
      </c>
      <c r="Q12" s="1188" t="s">
        <v>2255</v>
      </c>
      <c r="R12" s="1199" t="s">
        <v>2349</v>
      </c>
      <c r="S12" s="1166" t="s">
        <v>2349</v>
      </c>
      <c r="T12" s="1166" t="s">
        <v>2349</v>
      </c>
      <c r="U12" s="1166" t="s">
        <v>2349</v>
      </c>
      <c r="V12" s="1200" t="s">
        <v>2349</v>
      </c>
      <c r="AC12" s="1201">
        <f t="shared" ref="AC12:AM12" si="10">1-AC10/AC7</f>
        <v>0.17526869915198262</v>
      </c>
      <c r="AD12" s="1201">
        <f t="shared" si="10"/>
        <v>0.14228298565235642</v>
      </c>
      <c r="AE12" s="1201">
        <f t="shared" si="10"/>
        <v>0.1171979301809758</v>
      </c>
      <c r="AF12" s="1201">
        <f t="shared" si="10"/>
        <v>9.3987875824834033E-2</v>
      </c>
      <c r="AG12" s="1201">
        <f t="shared" si="10"/>
        <v>8.5729626937465109E-2</v>
      </c>
      <c r="AH12" s="1201">
        <f t="shared" si="10"/>
        <v>8.9692304590656136E-2</v>
      </c>
      <c r="AI12" s="1201">
        <f t="shared" si="10"/>
        <v>6.3146210492028287E-2</v>
      </c>
      <c r="AJ12" s="1201">
        <f t="shared" si="10"/>
        <v>3.6088006950185769E-2</v>
      </c>
      <c r="AK12" s="1201">
        <f t="shared" si="10"/>
        <v>7.0230198356522222E-2</v>
      </c>
      <c r="AL12" s="1201">
        <f t="shared" si="10"/>
        <v>4.9635931228286578E-2</v>
      </c>
      <c r="AM12" s="1201">
        <f t="shared" si="10"/>
        <v>3.7322713209637648E-2</v>
      </c>
      <c r="AN12" s="1201">
        <f>1-AN10/AN7</f>
        <v>6.8888727463567445E-4</v>
      </c>
      <c r="AO12" s="1201">
        <f t="shared" ref="AO12:AP12" si="11">1-AO10/AO7</f>
        <v>4.407626866794967E-3</v>
      </c>
      <c r="AP12" s="1201">
        <f t="shared" si="11"/>
        <v>3.4060563305741143E-3</v>
      </c>
      <c r="AQ12" s="1181"/>
      <c r="AR12" s="1181"/>
      <c r="AS12" s="1181"/>
      <c r="AT12" s="1181"/>
      <c r="AU12" s="1181"/>
      <c r="AV12" s="1181"/>
      <c r="AW12" s="1181"/>
      <c r="AX12" s="1181"/>
      <c r="AY12" s="1181"/>
      <c r="AZ12" s="1181"/>
      <c r="BA12" s="1181"/>
      <c r="BB12" s="1181"/>
      <c r="BC12" s="1181"/>
      <c r="BD12" s="1181"/>
    </row>
    <row r="13" spans="1:56" ht="11.25" customHeight="1" x14ac:dyDescent="0.2">
      <c r="A13" s="1100" t="s">
        <v>2256</v>
      </c>
      <c r="B13" s="1100" t="s">
        <v>2257</v>
      </c>
      <c r="C13" s="1101"/>
      <c r="D13" s="1192"/>
      <c r="E13" s="1110"/>
      <c r="F13" s="1110"/>
      <c r="G13" s="1110"/>
      <c r="H13" s="1193"/>
      <c r="I13" s="1194"/>
      <c r="J13" s="1158"/>
      <c r="K13" s="1193"/>
      <c r="L13" s="1194"/>
      <c r="M13" s="1158"/>
      <c r="N13" s="1193"/>
      <c r="O13" s="1194"/>
      <c r="P13" s="1158"/>
      <c r="Q13" s="1193"/>
      <c r="R13" s="1189">
        <v>35</v>
      </c>
      <c r="S13" s="1149">
        <v>35</v>
      </c>
      <c r="T13" s="1149">
        <v>35</v>
      </c>
      <c r="U13" s="1149">
        <v>35</v>
      </c>
      <c r="V13" s="1188">
        <v>35</v>
      </c>
      <c r="AB13" s="1190" t="s">
        <v>2350</v>
      </c>
      <c r="AC13" s="1202">
        <v>7</v>
      </c>
      <c r="AD13" s="1203">
        <v>7</v>
      </c>
      <c r="AE13" s="1203">
        <v>7</v>
      </c>
      <c r="AF13" s="1203">
        <v>7</v>
      </c>
      <c r="AG13" s="1203">
        <v>7</v>
      </c>
      <c r="AH13" s="1203">
        <v>7</v>
      </c>
      <c r="AI13" s="1203">
        <v>7</v>
      </c>
      <c r="AJ13" s="1204">
        <v>7</v>
      </c>
      <c r="AK13" s="1205">
        <v>10</v>
      </c>
      <c r="AL13" s="1205">
        <v>10</v>
      </c>
      <c r="AM13" s="1206">
        <v>10</v>
      </c>
      <c r="AN13" s="1202">
        <v>10</v>
      </c>
      <c r="AO13" s="1205">
        <v>10</v>
      </c>
      <c r="AP13" s="1206">
        <v>10</v>
      </c>
      <c r="AQ13" s="1181"/>
      <c r="AR13" s="1181"/>
      <c r="AS13" s="1181"/>
      <c r="AT13" s="1181"/>
      <c r="AU13" s="1181"/>
      <c r="AV13" s="1181"/>
      <c r="AW13" s="1181"/>
      <c r="AX13" s="1181"/>
      <c r="AY13" s="1181"/>
      <c r="AZ13" s="1181"/>
      <c r="BA13" s="1181"/>
      <c r="BB13" s="1181"/>
      <c r="BC13" s="1181"/>
      <c r="BD13" s="1181"/>
    </row>
    <row r="14" spans="1:56" ht="11.25" customHeight="1" x14ac:dyDescent="0.2">
      <c r="A14" s="1101"/>
      <c r="B14" s="1101"/>
      <c r="C14" s="1101"/>
      <c r="D14" s="1207"/>
      <c r="E14" s="1207"/>
      <c r="F14" s="1207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1207"/>
      <c r="U14" s="1207"/>
      <c r="V14" s="1207"/>
      <c r="AB14" s="1190" t="s">
        <v>2351</v>
      </c>
      <c r="AC14" s="1208">
        <v>12</v>
      </c>
      <c r="AD14" s="1191">
        <v>12</v>
      </c>
      <c r="AE14" s="1191">
        <v>12</v>
      </c>
      <c r="AF14" s="1191">
        <v>12</v>
      </c>
      <c r="AG14" s="1191">
        <v>12</v>
      </c>
      <c r="AH14" s="1191">
        <v>12</v>
      </c>
      <c r="AI14" s="1191">
        <v>12</v>
      </c>
      <c r="AJ14" s="1209">
        <v>12</v>
      </c>
      <c r="AK14" s="1210">
        <v>15</v>
      </c>
      <c r="AL14" s="1210">
        <v>15</v>
      </c>
      <c r="AM14" s="1211">
        <v>15</v>
      </c>
      <c r="AN14" s="1208">
        <v>15</v>
      </c>
      <c r="AO14" s="1210">
        <v>15</v>
      </c>
      <c r="AP14" s="1211">
        <v>15</v>
      </c>
      <c r="AQ14" s="1181"/>
      <c r="AR14" s="1181"/>
      <c r="AS14" s="1181"/>
      <c r="AT14" s="1181"/>
      <c r="AU14" s="1181"/>
      <c r="AV14" s="1181"/>
      <c r="AW14" s="1181"/>
      <c r="AX14" s="1181"/>
      <c r="AY14" s="1181"/>
      <c r="AZ14" s="1181"/>
      <c r="BA14" s="1181"/>
      <c r="BB14" s="1181"/>
      <c r="BC14" s="1181"/>
      <c r="BD14" s="1181"/>
    </row>
    <row r="15" spans="1:56" ht="11.25" customHeight="1" x14ac:dyDescent="0.2">
      <c r="A15" s="1100" t="s">
        <v>2261</v>
      </c>
      <c r="B15" s="1100" t="s">
        <v>2262</v>
      </c>
      <c r="C15" s="1101"/>
      <c r="D15" s="1187">
        <v>650</v>
      </c>
      <c r="E15" s="1107">
        <v>650</v>
      </c>
      <c r="F15" s="1107">
        <v>650</v>
      </c>
      <c r="G15" s="1107">
        <v>650</v>
      </c>
      <c r="H15" s="1188">
        <v>650</v>
      </c>
      <c r="I15" s="1189">
        <v>650</v>
      </c>
      <c r="J15" s="1149">
        <v>650</v>
      </c>
      <c r="K15" s="1188">
        <v>650</v>
      </c>
      <c r="L15" s="1189">
        <v>650</v>
      </c>
      <c r="M15" s="1149">
        <v>650</v>
      </c>
      <c r="N15" s="1188">
        <v>650</v>
      </c>
      <c r="O15" s="1189">
        <v>650</v>
      </c>
      <c r="P15" s="1149">
        <v>650</v>
      </c>
      <c r="Q15" s="1188">
        <v>650</v>
      </c>
      <c r="R15" s="1189">
        <v>650</v>
      </c>
      <c r="S15" s="1149">
        <v>650</v>
      </c>
      <c r="T15" s="1149">
        <v>650</v>
      </c>
      <c r="U15" s="1149">
        <v>650</v>
      </c>
      <c r="V15" s="1188">
        <v>650</v>
      </c>
      <c r="AB15" s="1190" t="s">
        <v>334</v>
      </c>
      <c r="AC15" s="1208">
        <f>AVERAGE(AC13:AC14)</f>
        <v>9.5</v>
      </c>
      <c r="AD15" s="1191">
        <f t="shared" ref="AD15:AM15" si="12">AVERAGE(AD13:AD14)</f>
        <v>9.5</v>
      </c>
      <c r="AE15" s="1191">
        <f t="shared" si="12"/>
        <v>9.5</v>
      </c>
      <c r="AF15" s="1191">
        <f t="shared" si="12"/>
        <v>9.5</v>
      </c>
      <c r="AG15" s="1191">
        <f t="shared" si="12"/>
        <v>9.5</v>
      </c>
      <c r="AH15" s="1191">
        <f t="shared" si="12"/>
        <v>9.5</v>
      </c>
      <c r="AI15" s="1191">
        <f t="shared" si="12"/>
        <v>9.5</v>
      </c>
      <c r="AJ15" s="1209">
        <f t="shared" si="12"/>
        <v>9.5</v>
      </c>
      <c r="AK15" s="1210">
        <f t="shared" si="12"/>
        <v>12.5</v>
      </c>
      <c r="AL15" s="1210">
        <f t="shared" si="12"/>
        <v>12.5</v>
      </c>
      <c r="AM15" s="1211">
        <f t="shared" si="12"/>
        <v>12.5</v>
      </c>
      <c r="AN15" s="1208">
        <f>AVERAGE(AN13:AN14)</f>
        <v>12.5</v>
      </c>
      <c r="AO15" s="1210">
        <f t="shared" ref="AO15:AP15" si="13">AVERAGE(AO13:AO14)</f>
        <v>12.5</v>
      </c>
      <c r="AP15" s="1211">
        <f t="shared" si="13"/>
        <v>12.5</v>
      </c>
      <c r="AQ15" s="1181"/>
      <c r="AR15" s="1181"/>
      <c r="AS15" s="1181"/>
      <c r="AT15" s="1181"/>
      <c r="AU15" s="1181"/>
      <c r="AV15" s="1181"/>
      <c r="AW15" s="1181"/>
      <c r="AX15" s="1181"/>
      <c r="AY15" s="1181"/>
      <c r="AZ15" s="1181"/>
      <c r="BA15" s="1181"/>
      <c r="BB15" s="1181"/>
      <c r="BC15" s="1181"/>
      <c r="BD15" s="1181"/>
    </row>
    <row r="16" spans="1:56" ht="11.25" customHeight="1" x14ac:dyDescent="0.2">
      <c r="A16" s="1100" t="s">
        <v>2263</v>
      </c>
      <c r="B16" s="1100" t="s">
        <v>2262</v>
      </c>
      <c r="C16" s="1101"/>
      <c r="D16" s="1187">
        <v>450</v>
      </c>
      <c r="E16" s="1107">
        <v>450</v>
      </c>
      <c r="F16" s="1107">
        <v>450</v>
      </c>
      <c r="G16" s="1107">
        <v>450</v>
      </c>
      <c r="H16" s="1188">
        <v>450</v>
      </c>
      <c r="I16" s="1189">
        <v>450</v>
      </c>
      <c r="J16" s="1149">
        <v>450</v>
      </c>
      <c r="K16" s="1188">
        <v>450</v>
      </c>
      <c r="L16" s="1189">
        <v>450</v>
      </c>
      <c r="M16" s="1149">
        <v>450</v>
      </c>
      <c r="N16" s="1188">
        <v>450</v>
      </c>
      <c r="O16" s="1189">
        <v>450</v>
      </c>
      <c r="P16" s="1149">
        <v>450</v>
      </c>
      <c r="Q16" s="1188">
        <v>450</v>
      </c>
      <c r="R16" s="1189">
        <v>450</v>
      </c>
      <c r="S16" s="1149">
        <v>450</v>
      </c>
      <c r="T16" s="1149">
        <v>450</v>
      </c>
      <c r="U16" s="1149">
        <v>450</v>
      </c>
      <c r="V16" s="1188">
        <v>450</v>
      </c>
      <c r="AB16" s="1190"/>
      <c r="AC16" s="1212"/>
      <c r="AJ16" s="1213"/>
      <c r="AK16" s="1214"/>
      <c r="AL16" s="1214"/>
      <c r="AM16" s="1215"/>
      <c r="AN16" s="1212"/>
      <c r="AO16" s="1214"/>
      <c r="AP16" s="1215"/>
      <c r="AQ16" s="1181"/>
      <c r="AR16" s="1181"/>
      <c r="AS16" s="1181"/>
      <c r="AT16" s="1181"/>
      <c r="AU16" s="1181"/>
      <c r="AV16" s="1181"/>
      <c r="AW16" s="1181"/>
      <c r="AX16" s="1181"/>
      <c r="AY16" s="1181"/>
      <c r="AZ16" s="1181"/>
      <c r="BA16" s="1181"/>
      <c r="BB16" s="1181"/>
      <c r="BC16" s="1181"/>
      <c r="BD16" s="1181"/>
    </row>
    <row r="17" spans="1:56" ht="11.25" customHeight="1" x14ac:dyDescent="0.2">
      <c r="A17" s="1100" t="s">
        <v>2266</v>
      </c>
      <c r="B17" s="1100" t="s">
        <v>2262</v>
      </c>
      <c r="C17" s="1101"/>
      <c r="D17" s="1187">
        <v>710</v>
      </c>
      <c r="E17" s="1107">
        <v>710</v>
      </c>
      <c r="F17" s="1107">
        <v>710</v>
      </c>
      <c r="G17" s="1107">
        <v>710</v>
      </c>
      <c r="H17" s="1188">
        <v>710</v>
      </c>
      <c r="I17" s="1189">
        <v>710</v>
      </c>
      <c r="J17" s="1149">
        <v>710</v>
      </c>
      <c r="K17" s="1188">
        <v>710</v>
      </c>
      <c r="L17" s="1189">
        <v>710</v>
      </c>
      <c r="M17" s="1149">
        <v>710</v>
      </c>
      <c r="N17" s="1188">
        <v>710</v>
      </c>
      <c r="O17" s="1189">
        <v>710</v>
      </c>
      <c r="P17" s="1149">
        <v>710</v>
      </c>
      <c r="Q17" s="1188">
        <v>710</v>
      </c>
      <c r="R17" s="1189">
        <v>710</v>
      </c>
      <c r="S17" s="1149">
        <v>710</v>
      </c>
      <c r="T17" s="1149">
        <v>710</v>
      </c>
      <c r="U17" s="1149">
        <v>710</v>
      </c>
      <c r="V17" s="1188">
        <v>710</v>
      </c>
      <c r="AB17" s="1190" t="s">
        <v>2352</v>
      </c>
      <c r="AC17" s="1216">
        <f t="shared" ref="AC17:AJ19" si="14">D55</f>
        <v>3.7919999999999994</v>
      </c>
      <c r="AD17" s="1198">
        <f t="shared" si="14"/>
        <v>5.1839999999999993</v>
      </c>
      <c r="AE17" s="1198">
        <f t="shared" si="14"/>
        <v>6</v>
      </c>
      <c r="AF17" s="1198">
        <f t="shared" si="14"/>
        <v>7.0200000000000014</v>
      </c>
      <c r="AG17" s="1198">
        <f t="shared" si="14"/>
        <v>7.847999999999999</v>
      </c>
      <c r="AH17" s="1198">
        <f t="shared" si="14"/>
        <v>6.3360000000000003</v>
      </c>
      <c r="AI17" s="1198">
        <f t="shared" si="14"/>
        <v>7.68</v>
      </c>
      <c r="AJ17" s="1217">
        <f t="shared" si="14"/>
        <v>8.76</v>
      </c>
      <c r="AK17" s="1218">
        <f>O55</f>
        <v>3.672000000000001</v>
      </c>
      <c r="AL17" s="1218">
        <f t="shared" ref="AL17:AM19" si="15">P55</f>
        <v>4.4160000000000013</v>
      </c>
      <c r="AM17" s="1219">
        <f t="shared" si="15"/>
        <v>5.160000000000001</v>
      </c>
      <c r="AN17" s="1216">
        <f>L55</f>
        <v>3.2399999999999998</v>
      </c>
      <c r="AO17" s="1218">
        <f t="shared" ref="AO17:AP19" si="16">M55</f>
        <v>4.08</v>
      </c>
      <c r="AP17" s="1219">
        <f t="shared" si="16"/>
        <v>4.8599999999999968</v>
      </c>
      <c r="AQ17" s="1181"/>
      <c r="AR17" s="1181"/>
      <c r="AS17" s="1181"/>
      <c r="AT17" s="1181"/>
      <c r="AU17" s="1181"/>
      <c r="AV17" s="1181"/>
      <c r="AW17" s="1181"/>
      <c r="AX17" s="1181"/>
      <c r="AY17" s="1181"/>
      <c r="AZ17" s="1181"/>
      <c r="BA17" s="1181"/>
      <c r="BB17" s="1181"/>
      <c r="BC17" s="1181"/>
      <c r="BD17" s="1181"/>
    </row>
    <row r="18" spans="1:56" ht="11.25" customHeight="1" x14ac:dyDescent="0.2">
      <c r="A18" s="1100" t="s">
        <v>2267</v>
      </c>
      <c r="B18" s="1100" t="s">
        <v>2262</v>
      </c>
      <c r="C18" s="1101"/>
      <c r="D18" s="1187">
        <v>450</v>
      </c>
      <c r="E18" s="1107">
        <v>450</v>
      </c>
      <c r="F18" s="1107">
        <v>450</v>
      </c>
      <c r="G18" s="1107">
        <v>450</v>
      </c>
      <c r="H18" s="1188">
        <v>450</v>
      </c>
      <c r="I18" s="1189">
        <v>450</v>
      </c>
      <c r="J18" s="1149">
        <v>450</v>
      </c>
      <c r="K18" s="1188">
        <v>450</v>
      </c>
      <c r="L18" s="1189">
        <v>450</v>
      </c>
      <c r="M18" s="1149">
        <v>450</v>
      </c>
      <c r="N18" s="1188">
        <v>450</v>
      </c>
      <c r="O18" s="1189">
        <v>450</v>
      </c>
      <c r="P18" s="1149">
        <v>450</v>
      </c>
      <c r="Q18" s="1188">
        <v>450</v>
      </c>
      <c r="R18" s="1189">
        <v>450</v>
      </c>
      <c r="S18" s="1149">
        <v>450</v>
      </c>
      <c r="T18" s="1149">
        <v>450</v>
      </c>
      <c r="U18" s="1149">
        <v>450</v>
      </c>
      <c r="V18" s="1188">
        <v>450</v>
      </c>
      <c r="AB18" s="1190" t="s">
        <v>2353</v>
      </c>
      <c r="AC18" s="1216">
        <f t="shared" si="14"/>
        <v>2.4119999999999999</v>
      </c>
      <c r="AD18" s="1218">
        <f t="shared" si="14"/>
        <v>3.4009199999999997</v>
      </c>
      <c r="AE18" s="1218">
        <f t="shared" si="14"/>
        <v>4.24512</v>
      </c>
      <c r="AF18" s="1218">
        <f t="shared" si="14"/>
        <v>5.0651999999999981</v>
      </c>
      <c r="AG18" s="1218">
        <f t="shared" si="14"/>
        <v>5.8611599999999999</v>
      </c>
      <c r="AH18" s="1218">
        <f t="shared" si="14"/>
        <v>5.2460999999999993</v>
      </c>
      <c r="AI18" s="1218">
        <f t="shared" si="14"/>
        <v>6.7053599999999989</v>
      </c>
      <c r="AJ18" s="1218">
        <f t="shared" si="14"/>
        <v>8.019899999999998</v>
      </c>
      <c r="AK18" s="1218">
        <f>O56</f>
        <v>2.8943999999999996</v>
      </c>
      <c r="AL18" s="1218">
        <f t="shared" si="15"/>
        <v>3.6179999999999994</v>
      </c>
      <c r="AM18" s="1219">
        <f t="shared" si="15"/>
        <v>4.4018999999999995</v>
      </c>
      <c r="AN18" s="1216">
        <f>L56</f>
        <v>3.18384</v>
      </c>
      <c r="AO18" s="1218">
        <f t="shared" si="16"/>
        <v>4.0039199999999999</v>
      </c>
      <c r="AP18" s="1219">
        <f t="shared" si="16"/>
        <v>4.7636999999999983</v>
      </c>
      <c r="AQ18" s="1181"/>
      <c r="AR18" s="1181"/>
      <c r="AS18" s="1181"/>
      <c r="AT18" s="1181"/>
      <c r="AU18" s="1181"/>
      <c r="AV18" s="1181"/>
      <c r="AW18" s="1181"/>
      <c r="AX18" s="1181"/>
      <c r="AY18" s="1181"/>
      <c r="AZ18" s="1181"/>
      <c r="BA18" s="1181"/>
      <c r="BB18" s="1181"/>
      <c r="BC18" s="1181"/>
      <c r="BD18" s="1181"/>
    </row>
    <row r="19" spans="1:56" ht="11.25" customHeight="1" x14ac:dyDescent="0.2">
      <c r="A19" s="1100" t="s">
        <v>2268</v>
      </c>
      <c r="B19" s="1100" t="s">
        <v>2262</v>
      </c>
      <c r="C19" s="1101"/>
      <c r="D19" s="1187">
        <v>120</v>
      </c>
      <c r="E19" s="1107">
        <v>120</v>
      </c>
      <c r="F19" s="1107">
        <v>120</v>
      </c>
      <c r="G19" s="1107">
        <v>120</v>
      </c>
      <c r="H19" s="1188">
        <v>120</v>
      </c>
      <c r="I19" s="1189">
        <v>120</v>
      </c>
      <c r="J19" s="1149">
        <v>120</v>
      </c>
      <c r="K19" s="1188">
        <v>120</v>
      </c>
      <c r="L19" s="1189">
        <v>120</v>
      </c>
      <c r="M19" s="1149">
        <v>120</v>
      </c>
      <c r="N19" s="1188">
        <v>120</v>
      </c>
      <c r="O19" s="1189">
        <v>120</v>
      </c>
      <c r="P19" s="1149">
        <v>120</v>
      </c>
      <c r="Q19" s="1188">
        <v>120</v>
      </c>
      <c r="R19" s="1189">
        <v>120</v>
      </c>
      <c r="S19" s="1149">
        <v>120</v>
      </c>
      <c r="T19" s="1149">
        <v>120</v>
      </c>
      <c r="U19" s="1149">
        <v>120</v>
      </c>
      <c r="V19" s="1188">
        <v>120</v>
      </c>
      <c r="AA19" s="1220"/>
      <c r="AB19" s="1190" t="s">
        <v>2354</v>
      </c>
      <c r="AC19" s="1216">
        <f t="shared" si="14"/>
        <v>1.3799999999999994</v>
      </c>
      <c r="AD19" s="1198">
        <f t="shared" si="14"/>
        <v>1.7830799999999996</v>
      </c>
      <c r="AE19" s="1198">
        <f t="shared" si="14"/>
        <v>1.75488</v>
      </c>
      <c r="AF19" s="1198">
        <f t="shared" si="14"/>
        <v>1.9548000000000032</v>
      </c>
      <c r="AG19" s="1198">
        <f t="shared" si="14"/>
        <v>1.9868399999999991</v>
      </c>
      <c r="AH19" s="1198">
        <f t="shared" si="14"/>
        <v>1.089900000000001</v>
      </c>
      <c r="AI19" s="1198">
        <f t="shared" si="14"/>
        <v>0.97464000000000084</v>
      </c>
      <c r="AJ19" s="1217">
        <f t="shared" si="14"/>
        <v>0.74010000000000176</v>
      </c>
      <c r="AK19" s="1218">
        <f>O57</f>
        <v>0.7776000000000014</v>
      </c>
      <c r="AL19" s="1218">
        <f t="shared" si="15"/>
        <v>0.79800000000000182</v>
      </c>
      <c r="AM19" s="1219">
        <f t="shared" si="15"/>
        <v>0.75810000000000155</v>
      </c>
      <c r="AN19" s="1216">
        <f>L57</f>
        <v>5.6159999999999766E-2</v>
      </c>
      <c r="AO19" s="1218">
        <f t="shared" si="16"/>
        <v>7.6080000000000148E-2</v>
      </c>
      <c r="AP19" s="1219">
        <f t="shared" si="16"/>
        <v>9.6299999999998498E-2</v>
      </c>
      <c r="AQ19" s="1181"/>
      <c r="AR19" s="1181"/>
      <c r="AS19" s="1181"/>
      <c r="AT19" s="1181"/>
      <c r="AU19" s="1181"/>
      <c r="AV19" s="1181"/>
      <c r="AW19" s="1181"/>
      <c r="AX19" s="1181"/>
      <c r="AY19" s="1181"/>
      <c r="AZ19" s="1181"/>
      <c r="BA19" s="1181"/>
      <c r="BB19" s="1181"/>
      <c r="BC19" s="1181"/>
      <c r="BD19" s="1181"/>
    </row>
    <row r="20" spans="1:56" ht="11.25" customHeight="1" x14ac:dyDescent="0.2">
      <c r="A20" s="1101"/>
      <c r="B20" s="1101"/>
      <c r="C20" s="1101"/>
      <c r="D20" s="1221"/>
      <c r="E20" s="1115"/>
      <c r="F20" s="1115"/>
      <c r="G20" s="1115"/>
      <c r="H20" s="1222"/>
      <c r="I20" s="1223"/>
      <c r="J20" s="1159"/>
      <c r="K20" s="1222"/>
      <c r="L20" s="1223"/>
      <c r="M20" s="1159"/>
      <c r="N20" s="1222"/>
      <c r="O20" s="1223"/>
      <c r="P20" s="1159"/>
      <c r="Q20" s="1222"/>
      <c r="R20" s="1223"/>
      <c r="S20" s="1159"/>
      <c r="T20" s="1159"/>
      <c r="U20" s="1159"/>
      <c r="V20" s="1222"/>
      <c r="AA20" s="1220"/>
      <c r="AB20" s="1190" t="s">
        <v>2355</v>
      </c>
      <c r="AC20" s="1224">
        <f>AC18/AC17</f>
        <v>0.63607594936708867</v>
      </c>
      <c r="AD20" s="1225">
        <f t="shared" ref="AD20:AP20" si="17">AD18/AD17</f>
        <v>0.65604166666666675</v>
      </c>
      <c r="AE20" s="1225">
        <f t="shared" si="17"/>
        <v>0.70752000000000004</v>
      </c>
      <c r="AF20" s="1225">
        <f t="shared" si="17"/>
        <v>0.72153846153846113</v>
      </c>
      <c r="AG20" s="1225">
        <f t="shared" si="17"/>
        <v>0.74683486238532115</v>
      </c>
      <c r="AH20" s="1225">
        <f t="shared" si="17"/>
        <v>0.82798295454545445</v>
      </c>
      <c r="AI20" s="1225">
        <f t="shared" si="17"/>
        <v>0.87309374999999989</v>
      </c>
      <c r="AJ20" s="1225">
        <f t="shared" si="17"/>
        <v>0.91551369863013676</v>
      </c>
      <c r="AK20" s="1225">
        <f>AK18/AK17</f>
        <v>0.7882352941176467</v>
      </c>
      <c r="AL20" s="1225">
        <f t="shared" ref="AL20:AM20" si="18">AL18/AL17</f>
        <v>0.81929347826086918</v>
      </c>
      <c r="AM20" s="1226">
        <f t="shared" si="18"/>
        <v>0.85308139534883698</v>
      </c>
      <c r="AN20" s="1224">
        <f t="shared" si="17"/>
        <v>0.98266666666666669</v>
      </c>
      <c r="AO20" s="1225">
        <f t="shared" si="17"/>
        <v>0.98135294117647054</v>
      </c>
      <c r="AP20" s="1226">
        <f t="shared" si="17"/>
        <v>0.98018518518518549</v>
      </c>
      <c r="AQ20" s="1181"/>
      <c r="AR20" s="1181"/>
      <c r="AS20" s="1181"/>
      <c r="AT20" s="1181"/>
      <c r="AU20" s="1181"/>
      <c r="AV20" s="1181"/>
      <c r="AW20" s="1181"/>
      <c r="AX20" s="1181"/>
      <c r="AY20" s="1181"/>
      <c r="AZ20" s="1181"/>
      <c r="BA20" s="1181"/>
      <c r="BB20" s="1181"/>
      <c r="BC20" s="1181"/>
      <c r="BD20" s="1181"/>
    </row>
    <row r="21" spans="1:56" ht="11.25" customHeight="1" x14ac:dyDescent="0.2">
      <c r="A21" s="1100" t="s">
        <v>2269</v>
      </c>
      <c r="B21" s="1100" t="s">
        <v>2270</v>
      </c>
      <c r="C21" s="1101"/>
      <c r="D21" s="1187">
        <v>3.8</v>
      </c>
      <c r="E21" s="1107">
        <v>5.2</v>
      </c>
      <c r="F21" s="1107">
        <v>6</v>
      </c>
      <c r="G21" s="1107">
        <v>7</v>
      </c>
      <c r="H21" s="1188">
        <v>7.8</v>
      </c>
      <c r="I21" s="1189">
        <v>6.3</v>
      </c>
      <c r="J21" s="1149">
        <v>7.7</v>
      </c>
      <c r="K21" s="1188">
        <v>8.8000000000000007</v>
      </c>
      <c r="L21" s="1189">
        <v>3.2</v>
      </c>
      <c r="M21" s="1149">
        <v>4.0999999999999996</v>
      </c>
      <c r="N21" s="1188">
        <v>4.9000000000000004</v>
      </c>
      <c r="O21" s="1189">
        <v>3.7</v>
      </c>
      <c r="P21" s="1149">
        <v>4.4000000000000004</v>
      </c>
      <c r="Q21" s="1188">
        <v>5.2</v>
      </c>
      <c r="R21" s="1189">
        <v>2.2999999999999998</v>
      </c>
      <c r="S21" s="1149">
        <v>2.7</v>
      </c>
      <c r="T21" s="1149">
        <v>3</v>
      </c>
      <c r="U21" s="1149">
        <v>3.2</v>
      </c>
      <c r="V21" s="1188">
        <v>3.4</v>
      </c>
      <c r="AB21" s="1190"/>
      <c r="AC21" s="1212"/>
      <c r="AJ21" s="1213"/>
      <c r="AK21" s="1214"/>
      <c r="AL21" s="1214"/>
      <c r="AM21" s="1215"/>
      <c r="AN21" s="1212"/>
      <c r="AO21" s="1214"/>
      <c r="AP21" s="1215"/>
      <c r="AQ21" s="1181"/>
      <c r="AR21" s="1181"/>
      <c r="AS21" s="1181"/>
      <c r="AT21" s="1181"/>
      <c r="AU21" s="1181"/>
      <c r="AV21" s="1181"/>
      <c r="AW21" s="1181"/>
      <c r="AX21" s="1181"/>
      <c r="AY21" s="1181"/>
      <c r="AZ21" s="1181"/>
      <c r="BA21" s="1181"/>
      <c r="BB21" s="1181"/>
      <c r="BC21" s="1181"/>
      <c r="BD21" s="1181"/>
    </row>
    <row r="22" spans="1:56" ht="11.25" customHeight="1" x14ac:dyDescent="0.2">
      <c r="A22" s="1100" t="s">
        <v>2273</v>
      </c>
      <c r="B22" s="1100" t="s">
        <v>2274</v>
      </c>
      <c r="C22" s="1101"/>
      <c r="D22" s="1227">
        <v>0.2</v>
      </c>
      <c r="E22" s="1156">
        <v>0.3</v>
      </c>
      <c r="F22" s="1156">
        <v>0.4</v>
      </c>
      <c r="G22" s="1156">
        <v>0.5</v>
      </c>
      <c r="H22" s="1228">
        <v>0.6</v>
      </c>
      <c r="I22" s="1229">
        <v>0.3</v>
      </c>
      <c r="J22" s="1157">
        <v>0.4</v>
      </c>
      <c r="K22" s="1228">
        <v>0.5</v>
      </c>
      <c r="L22" s="1229">
        <v>0.3</v>
      </c>
      <c r="M22" s="1157">
        <v>0.4</v>
      </c>
      <c r="N22" s="1228">
        <v>0.5</v>
      </c>
      <c r="O22" s="1229">
        <v>0.3</v>
      </c>
      <c r="P22" s="1157">
        <v>0.4</v>
      </c>
      <c r="Q22" s="1228">
        <v>0.5</v>
      </c>
      <c r="R22" s="1229">
        <v>0.2</v>
      </c>
      <c r="S22" s="1157">
        <v>0.3</v>
      </c>
      <c r="T22" s="1157">
        <v>0.4</v>
      </c>
      <c r="U22" s="1157">
        <v>0.5</v>
      </c>
      <c r="V22" s="1228">
        <v>0.6</v>
      </c>
      <c r="AB22" s="1190" t="s">
        <v>2356</v>
      </c>
      <c r="AC22" s="1216">
        <f t="shared" ref="AC22:AJ22" si="19">D72</f>
        <v>17.952310732769277</v>
      </c>
      <c r="AD22" s="1198">
        <f t="shared" si="19"/>
        <v>17.952310732769277</v>
      </c>
      <c r="AE22" s="1198">
        <f t="shared" si="19"/>
        <v>17.952310732769277</v>
      </c>
      <c r="AF22" s="1198">
        <f t="shared" si="19"/>
        <v>17.952310732769277</v>
      </c>
      <c r="AG22" s="1198">
        <f t="shared" si="19"/>
        <v>17.952310732769277</v>
      </c>
      <c r="AH22" s="1198">
        <f t="shared" si="19"/>
        <v>16.750216472477977</v>
      </c>
      <c r="AI22" s="1198">
        <f t="shared" si="19"/>
        <v>16.750216472477977</v>
      </c>
      <c r="AJ22" s="1217">
        <f t="shared" si="19"/>
        <v>16.750216472477977</v>
      </c>
      <c r="AK22" s="1218">
        <f>O72</f>
        <v>17.952310732769277</v>
      </c>
      <c r="AL22" s="1218">
        <f t="shared" ref="AL22:AM22" si="20">P72</f>
        <v>17.952310732769277</v>
      </c>
      <c r="AM22" s="1219">
        <f t="shared" si="20"/>
        <v>17.952310732769277</v>
      </c>
      <c r="AN22" s="1216">
        <f>L72</f>
        <v>13.842291097036892</v>
      </c>
      <c r="AO22" s="1218">
        <f t="shared" ref="AO22:AP22" si="21">M72</f>
        <v>13.842291097036892</v>
      </c>
      <c r="AP22" s="1219">
        <f t="shared" si="21"/>
        <v>13.842291097036892</v>
      </c>
      <c r="AQ22" s="1181"/>
      <c r="AR22" s="1181"/>
      <c r="AS22" s="1181"/>
      <c r="AT22" s="1181"/>
      <c r="AU22" s="1181"/>
      <c r="AV22" s="1181"/>
      <c r="AW22" s="1181"/>
      <c r="AX22" s="1181"/>
      <c r="AY22" s="1181"/>
      <c r="AZ22" s="1181"/>
      <c r="BA22" s="1181"/>
      <c r="BB22" s="1181"/>
      <c r="BC22" s="1181"/>
      <c r="BD22" s="1181"/>
    </row>
    <row r="23" spans="1:56" ht="11.25" customHeight="1" x14ac:dyDescent="0.2">
      <c r="A23" s="1100" t="s">
        <v>2276</v>
      </c>
      <c r="B23" s="1100" t="s">
        <v>2277</v>
      </c>
      <c r="C23" s="1101"/>
      <c r="D23" s="1187">
        <v>0.24</v>
      </c>
      <c r="E23" s="1107">
        <v>0.36</v>
      </c>
      <c r="F23" s="1107">
        <v>0.48</v>
      </c>
      <c r="G23" s="1107">
        <v>0.6</v>
      </c>
      <c r="H23" s="1188">
        <v>0.72</v>
      </c>
      <c r="I23" s="1189">
        <v>0.36</v>
      </c>
      <c r="J23" s="1149">
        <v>0.48</v>
      </c>
      <c r="K23" s="1188">
        <v>0.6</v>
      </c>
      <c r="L23" s="1189">
        <v>0.36</v>
      </c>
      <c r="M23" s="1149">
        <v>0.48</v>
      </c>
      <c r="N23" s="1188">
        <v>0.6</v>
      </c>
      <c r="O23" s="1189">
        <v>0.36</v>
      </c>
      <c r="P23" s="1149">
        <v>0.48</v>
      </c>
      <c r="Q23" s="1188">
        <v>0.6</v>
      </c>
      <c r="R23" s="1189">
        <v>0.24</v>
      </c>
      <c r="S23" s="1149">
        <v>0.36</v>
      </c>
      <c r="T23" s="1149">
        <v>0.48</v>
      </c>
      <c r="U23" s="1149">
        <v>0.6</v>
      </c>
      <c r="V23" s="1188">
        <v>0.72</v>
      </c>
      <c r="AB23" s="1190" t="s">
        <v>2357</v>
      </c>
      <c r="AC23" s="1224">
        <f t="shared" ref="AC23:AM23" si="22">(AC22-AC13)/(AC14-AC13)</f>
        <v>2.1904621465538554</v>
      </c>
      <c r="AD23" s="1230">
        <f t="shared" si="22"/>
        <v>2.1904621465538554</v>
      </c>
      <c r="AE23" s="1230">
        <f t="shared" si="22"/>
        <v>2.1904621465538554</v>
      </c>
      <c r="AF23" s="1230">
        <f t="shared" si="22"/>
        <v>2.1904621465538554</v>
      </c>
      <c r="AG23" s="1230">
        <f t="shared" si="22"/>
        <v>2.1904621465538554</v>
      </c>
      <c r="AH23" s="1230">
        <f t="shared" si="22"/>
        <v>1.9500432944955954</v>
      </c>
      <c r="AI23" s="1230">
        <f t="shared" si="22"/>
        <v>1.9500432944955954</v>
      </c>
      <c r="AJ23" s="1231">
        <f t="shared" si="22"/>
        <v>1.9500432944955954</v>
      </c>
      <c r="AK23" s="1225">
        <f t="shared" si="22"/>
        <v>1.5904621465538553</v>
      </c>
      <c r="AL23" s="1225">
        <f t="shared" si="22"/>
        <v>1.5904621465538553</v>
      </c>
      <c r="AM23" s="1226">
        <f t="shared" si="22"/>
        <v>1.5904621465538553</v>
      </c>
      <c r="AN23" s="1224">
        <f>(AN22-AN13)/(AN14-AN13)</f>
        <v>0.76845821940737835</v>
      </c>
      <c r="AO23" s="1225">
        <f t="shared" ref="AO23:AP23" si="23">(AO22-AO13)/(AO14-AO13)</f>
        <v>0.76845821940737835</v>
      </c>
      <c r="AP23" s="1226">
        <f t="shared" si="23"/>
        <v>0.76845821940737835</v>
      </c>
      <c r="AQ23" s="1181"/>
      <c r="AR23" s="1181"/>
      <c r="AS23" s="1181"/>
      <c r="AT23" s="1181"/>
      <c r="AU23" s="1181"/>
      <c r="AV23" s="1181"/>
      <c r="AW23" s="1181"/>
      <c r="AX23" s="1181"/>
      <c r="AY23" s="1181"/>
      <c r="AZ23" s="1181"/>
      <c r="BA23" s="1181"/>
      <c r="BB23" s="1181"/>
      <c r="BC23" s="1181"/>
      <c r="BD23" s="1181"/>
    </row>
    <row r="24" spans="1:56" ht="11.25" customHeight="1" x14ac:dyDescent="0.2">
      <c r="A24" s="1100" t="s">
        <v>2280</v>
      </c>
      <c r="B24" s="1100" t="s">
        <v>2281</v>
      </c>
      <c r="C24" s="1101"/>
      <c r="D24" s="1187">
        <v>25</v>
      </c>
      <c r="E24" s="1107">
        <v>25</v>
      </c>
      <c r="F24" s="1107">
        <v>25</v>
      </c>
      <c r="G24" s="1107">
        <v>25</v>
      </c>
      <c r="H24" s="1188">
        <v>25</v>
      </c>
      <c r="I24" s="1189">
        <v>30</v>
      </c>
      <c r="J24" s="1149">
        <v>30</v>
      </c>
      <c r="K24" s="1188">
        <v>30</v>
      </c>
      <c r="L24" s="1189">
        <v>25</v>
      </c>
      <c r="M24" s="1149">
        <v>25</v>
      </c>
      <c r="N24" s="1188">
        <v>25</v>
      </c>
      <c r="O24" s="1189">
        <v>25</v>
      </c>
      <c r="P24" s="1149">
        <v>25</v>
      </c>
      <c r="Q24" s="1188">
        <v>25</v>
      </c>
      <c r="R24" s="1189">
        <v>25</v>
      </c>
      <c r="S24" s="1149">
        <v>25</v>
      </c>
      <c r="T24" s="1149">
        <v>25</v>
      </c>
      <c r="U24" s="1149">
        <v>25</v>
      </c>
      <c r="V24" s="1188">
        <v>25</v>
      </c>
      <c r="AC24" s="1212"/>
      <c r="AJ24" s="1213"/>
      <c r="AK24" s="1214"/>
      <c r="AL24" s="1214"/>
      <c r="AM24" s="1215"/>
      <c r="AN24" s="1212"/>
      <c r="AO24" s="1214"/>
      <c r="AP24" s="1215"/>
      <c r="AQ24" s="1181"/>
      <c r="AR24" s="1181"/>
      <c r="AS24" s="1181"/>
      <c r="AT24" s="1181"/>
      <c r="AU24" s="1181"/>
      <c r="AV24" s="1181"/>
      <c r="AW24" s="1181"/>
      <c r="AX24" s="1181"/>
      <c r="AY24" s="1181"/>
      <c r="AZ24" s="1181"/>
      <c r="BA24" s="1181"/>
      <c r="BB24" s="1181"/>
      <c r="BC24" s="1181"/>
      <c r="BD24" s="1181"/>
    </row>
    <row r="25" spans="1:56" ht="11.25" customHeight="1" x14ac:dyDescent="0.2">
      <c r="A25" s="1100" t="s">
        <v>2358</v>
      </c>
      <c r="B25" s="1100" t="s">
        <v>2257</v>
      </c>
      <c r="C25" s="1101"/>
      <c r="D25" s="1187">
        <v>65</v>
      </c>
      <c r="E25" s="1107">
        <v>65</v>
      </c>
      <c r="F25" s="1107">
        <v>65</v>
      </c>
      <c r="G25" s="1107">
        <v>65</v>
      </c>
      <c r="H25" s="1188">
        <v>65</v>
      </c>
      <c r="I25" s="1189">
        <v>45</v>
      </c>
      <c r="J25" s="1149">
        <v>45</v>
      </c>
      <c r="K25" s="1188">
        <v>45</v>
      </c>
      <c r="L25" s="1189">
        <v>50</v>
      </c>
      <c r="M25" s="1149">
        <v>50</v>
      </c>
      <c r="N25" s="1188">
        <v>50</v>
      </c>
      <c r="O25" s="1189">
        <v>65</v>
      </c>
      <c r="P25" s="1149">
        <v>65</v>
      </c>
      <c r="Q25" s="1188">
        <v>65</v>
      </c>
      <c r="R25" s="1189">
        <v>65</v>
      </c>
      <c r="S25" s="1149">
        <v>65</v>
      </c>
      <c r="T25" s="1149">
        <v>65</v>
      </c>
      <c r="U25" s="1149">
        <v>65</v>
      </c>
      <c r="V25" s="1188">
        <v>65</v>
      </c>
      <c r="AC25" s="1232">
        <f t="shared" ref="AC25:AJ25" si="24">D58</f>
        <v>0.63607594936708867</v>
      </c>
      <c r="AD25" s="1233">
        <f t="shared" si="24"/>
        <v>0.65604166666666675</v>
      </c>
      <c r="AE25" s="1233">
        <f t="shared" si="24"/>
        <v>0.70752000000000004</v>
      </c>
      <c r="AF25" s="1233">
        <f t="shared" si="24"/>
        <v>0.72153846153846113</v>
      </c>
      <c r="AG25" s="1233">
        <f t="shared" si="24"/>
        <v>0.74683486238532115</v>
      </c>
      <c r="AH25" s="1233">
        <f t="shared" si="24"/>
        <v>0.82798295454545445</v>
      </c>
      <c r="AI25" s="1233">
        <f t="shared" si="24"/>
        <v>0.87309374999999989</v>
      </c>
      <c r="AJ25" s="1234">
        <f t="shared" si="24"/>
        <v>0.91551369863013676</v>
      </c>
      <c r="AK25" s="1235">
        <f>O58</f>
        <v>0.7882352941176467</v>
      </c>
      <c r="AL25" s="1235">
        <f t="shared" ref="AL25:AM25" si="25">P58</f>
        <v>0.81929347826086918</v>
      </c>
      <c r="AM25" s="1236">
        <f t="shared" si="25"/>
        <v>0.85308139534883698</v>
      </c>
      <c r="AN25" s="1232">
        <f>L58</f>
        <v>0.98266666666666669</v>
      </c>
      <c r="AO25" s="1235">
        <f t="shared" ref="AO25:AP25" si="26">M58</f>
        <v>0.98135294117647054</v>
      </c>
      <c r="AP25" s="1236">
        <f t="shared" si="26"/>
        <v>0.98018518518518549</v>
      </c>
      <c r="AQ25" s="1181"/>
      <c r="AR25" s="1181"/>
      <c r="AS25" s="1181"/>
      <c r="AT25" s="1181"/>
      <c r="AU25" s="1181"/>
      <c r="AV25" s="1181"/>
      <c r="AW25" s="1181"/>
      <c r="AX25" s="1181"/>
      <c r="AY25" s="1181"/>
      <c r="AZ25" s="1181"/>
      <c r="BA25" s="1181"/>
      <c r="BB25" s="1181"/>
      <c r="BC25" s="1181"/>
      <c r="BD25" s="1181"/>
    </row>
    <row r="26" spans="1:56" ht="11.25" customHeight="1" x14ac:dyDescent="0.2">
      <c r="A26" s="1100" t="s">
        <v>2359</v>
      </c>
      <c r="B26" s="1100" t="s">
        <v>2360</v>
      </c>
      <c r="C26" s="1101"/>
      <c r="D26" s="1187">
        <v>58</v>
      </c>
      <c r="E26" s="1107">
        <v>58</v>
      </c>
      <c r="F26" s="1107">
        <v>58</v>
      </c>
      <c r="G26" s="1107">
        <v>58</v>
      </c>
      <c r="H26" s="1188">
        <v>58</v>
      </c>
      <c r="I26" s="1189">
        <v>60.7</v>
      </c>
      <c r="J26" s="1149">
        <v>60.7</v>
      </c>
      <c r="K26" s="1188">
        <v>60.7</v>
      </c>
      <c r="L26" s="1189">
        <v>50.3</v>
      </c>
      <c r="M26" s="1149">
        <v>50.3</v>
      </c>
      <c r="N26" s="1188">
        <v>50.3</v>
      </c>
      <c r="O26" s="1189">
        <v>58</v>
      </c>
      <c r="P26" s="1149">
        <v>58</v>
      </c>
      <c r="Q26" s="1188">
        <v>58</v>
      </c>
      <c r="R26" s="1189">
        <v>58</v>
      </c>
      <c r="S26" s="1149">
        <v>58</v>
      </c>
      <c r="T26" s="1149">
        <v>58</v>
      </c>
      <c r="U26" s="1149">
        <v>58</v>
      </c>
      <c r="V26" s="1188">
        <v>58</v>
      </c>
      <c r="AC26" s="1208">
        <f t="shared" ref="AC26:AJ26" si="27">D60</f>
        <v>0.18</v>
      </c>
      <c r="AD26" s="1191">
        <f t="shared" si="27"/>
        <v>0.25</v>
      </c>
      <c r="AE26" s="1191">
        <f t="shared" si="27"/>
        <v>0.28999999999999998</v>
      </c>
      <c r="AF26" s="1191">
        <f t="shared" si="27"/>
        <v>0.34</v>
      </c>
      <c r="AG26" s="1191">
        <f t="shared" si="27"/>
        <v>0.37</v>
      </c>
      <c r="AH26" s="1191">
        <f t="shared" si="27"/>
        <v>0.3</v>
      </c>
      <c r="AI26" s="1191">
        <f t="shared" si="27"/>
        <v>0.37</v>
      </c>
      <c r="AJ26" s="1209">
        <f t="shared" si="27"/>
        <v>0.42</v>
      </c>
      <c r="AK26" s="1210">
        <f>O60</f>
        <v>0.18</v>
      </c>
      <c r="AL26" s="1210">
        <f t="shared" ref="AL26:AM26" si="28">P60</f>
        <v>0.21</v>
      </c>
      <c r="AM26" s="1211">
        <f t="shared" si="28"/>
        <v>0.25</v>
      </c>
      <c r="AN26" s="1208">
        <f>L60</f>
        <v>0.15</v>
      </c>
      <c r="AO26" s="1210">
        <f t="shared" ref="AO26:AP26" si="29">M60</f>
        <v>0.19</v>
      </c>
      <c r="AP26" s="1211">
        <f t="shared" si="29"/>
        <v>0.23</v>
      </c>
      <c r="AQ26" s="1181"/>
      <c r="AR26" s="1181"/>
      <c r="AS26" s="1181"/>
      <c r="AT26" s="1181"/>
      <c r="AU26" s="1181"/>
      <c r="AV26" s="1181"/>
      <c r="AW26" s="1181"/>
      <c r="AX26" s="1181"/>
      <c r="AY26" s="1181"/>
      <c r="AZ26" s="1181"/>
      <c r="BA26" s="1181"/>
      <c r="BB26" s="1181"/>
      <c r="BC26" s="1181"/>
      <c r="BD26" s="1181"/>
    </row>
    <row r="27" spans="1:56" ht="11.25" customHeight="1" x14ac:dyDescent="0.2">
      <c r="A27" s="1100" t="s">
        <v>2282</v>
      </c>
      <c r="B27" s="1100" t="s">
        <v>2281</v>
      </c>
      <c r="C27" s="1101"/>
      <c r="D27" s="1187">
        <v>15</v>
      </c>
      <c r="E27" s="1107">
        <v>15.6</v>
      </c>
      <c r="F27" s="1107">
        <v>16.2</v>
      </c>
      <c r="G27" s="1107">
        <v>16.600000000000001</v>
      </c>
      <c r="H27" s="1188">
        <v>16.899999999999999</v>
      </c>
      <c r="I27" s="1189">
        <v>15.5</v>
      </c>
      <c r="J27" s="1149">
        <v>16.100000000000001</v>
      </c>
      <c r="K27" s="1188">
        <v>16.7</v>
      </c>
      <c r="L27" s="1189">
        <v>16.2</v>
      </c>
      <c r="M27" s="1149">
        <v>16.7</v>
      </c>
      <c r="N27" s="1188">
        <v>17.100000000000001</v>
      </c>
      <c r="O27" s="1189">
        <v>17</v>
      </c>
      <c r="P27" s="1149">
        <v>17.5</v>
      </c>
      <c r="Q27" s="1188">
        <v>17.7</v>
      </c>
      <c r="R27" s="1189">
        <v>17.399999999999999</v>
      </c>
      <c r="S27" s="1149">
        <v>18.399999999999999</v>
      </c>
      <c r="T27" s="1149">
        <v>19.100000000000001</v>
      </c>
      <c r="U27" s="1149">
        <v>19.8</v>
      </c>
      <c r="V27" s="1188">
        <v>20.399999999999999</v>
      </c>
      <c r="AQ27" s="1181"/>
      <c r="AR27" s="1181"/>
      <c r="AS27" s="1181"/>
      <c r="AT27" s="1181"/>
      <c r="AU27" s="1181"/>
      <c r="AV27" s="1181"/>
      <c r="AW27" s="1181"/>
      <c r="AX27" s="1181"/>
      <c r="AY27" s="1181"/>
      <c r="AZ27" s="1181"/>
      <c r="BA27" s="1181"/>
      <c r="BB27" s="1181"/>
      <c r="BC27" s="1181"/>
      <c r="BD27" s="1181"/>
    </row>
    <row r="28" spans="1:56" ht="11.25" customHeight="1" x14ac:dyDescent="0.2">
      <c r="A28" s="1100" t="s">
        <v>2361</v>
      </c>
      <c r="B28" s="1100" t="s">
        <v>2257</v>
      </c>
      <c r="C28" s="1101"/>
      <c r="D28" s="1187">
        <v>100</v>
      </c>
      <c r="E28" s="1107">
        <v>100</v>
      </c>
      <c r="F28" s="1107">
        <v>99</v>
      </c>
      <c r="G28" s="1107">
        <v>99</v>
      </c>
      <c r="H28" s="1188">
        <v>98</v>
      </c>
      <c r="I28" s="1189">
        <v>99</v>
      </c>
      <c r="J28" s="1149">
        <v>98</v>
      </c>
      <c r="K28" s="1188">
        <v>97</v>
      </c>
      <c r="L28" s="1189">
        <v>86</v>
      </c>
      <c r="M28" s="1149">
        <v>83</v>
      </c>
      <c r="N28" s="1188">
        <v>81</v>
      </c>
      <c r="O28" s="1189">
        <v>99</v>
      </c>
      <c r="P28" s="1149">
        <v>98</v>
      </c>
      <c r="Q28" s="1188">
        <v>98</v>
      </c>
      <c r="R28" s="1189">
        <v>98</v>
      </c>
      <c r="S28" s="1149">
        <v>95</v>
      </c>
      <c r="T28" s="1149">
        <v>93</v>
      </c>
      <c r="U28" s="1149">
        <v>89</v>
      </c>
      <c r="V28" s="1188">
        <v>86</v>
      </c>
      <c r="AC28" s="1212"/>
      <c r="AJ28" s="1213"/>
      <c r="AK28" s="1214"/>
      <c r="AL28" s="1214"/>
      <c r="AM28" s="1215"/>
      <c r="AN28" s="1212"/>
      <c r="AO28" s="1214"/>
      <c r="AP28" s="1215"/>
      <c r="AQ28" s="1181"/>
      <c r="AR28" s="1181"/>
      <c r="AS28" s="1181"/>
      <c r="AT28" s="1181"/>
      <c r="AU28" s="1181"/>
      <c r="AV28" s="1181"/>
      <c r="AW28" s="1181"/>
      <c r="AX28" s="1181"/>
      <c r="AY28" s="1181"/>
      <c r="AZ28" s="1181"/>
      <c r="BA28" s="1181"/>
      <c r="BB28" s="1181"/>
      <c r="BC28" s="1181"/>
      <c r="BD28" s="1181"/>
    </row>
    <row r="29" spans="1:56" ht="11.25" customHeight="1" thickBot="1" x14ac:dyDescent="0.25">
      <c r="A29" s="1100" t="s">
        <v>2362</v>
      </c>
      <c r="B29" s="1100" t="s">
        <v>2360</v>
      </c>
      <c r="C29" s="1101"/>
      <c r="D29" s="1187">
        <v>42.2</v>
      </c>
      <c r="E29" s="1107">
        <v>43.6</v>
      </c>
      <c r="F29" s="1107">
        <v>45.5</v>
      </c>
      <c r="G29" s="1107">
        <v>46.3</v>
      </c>
      <c r="H29" s="1188">
        <v>47.1</v>
      </c>
      <c r="I29" s="1189">
        <v>43.1</v>
      </c>
      <c r="J29" s="1149">
        <v>44.7</v>
      </c>
      <c r="K29" s="1188">
        <v>46.1</v>
      </c>
      <c r="L29" s="1189">
        <v>41.3</v>
      </c>
      <c r="M29" s="1149">
        <v>41.8</v>
      </c>
      <c r="N29" s="1188">
        <v>42.2</v>
      </c>
      <c r="O29" s="1189">
        <v>47.8</v>
      </c>
      <c r="P29" s="1149">
        <v>48.8</v>
      </c>
      <c r="Q29" s="1188">
        <v>49.4</v>
      </c>
      <c r="R29" s="1189">
        <v>48.2</v>
      </c>
      <c r="S29" s="1149">
        <v>50.5</v>
      </c>
      <c r="T29" s="1149">
        <v>51.7</v>
      </c>
      <c r="U29" s="1149">
        <v>52.6</v>
      </c>
      <c r="V29" s="1188">
        <v>53.3</v>
      </c>
      <c r="AC29" s="1237">
        <f>AC20*(AC23)</f>
        <v>1.3933002894219144</v>
      </c>
      <c r="AD29" s="1238">
        <f t="shared" ref="AD29:AP29" si="30">AD20*(AD23)</f>
        <v>1.4370344373954358</v>
      </c>
      <c r="AE29" s="1238">
        <f t="shared" si="30"/>
        <v>1.549795777929784</v>
      </c>
      <c r="AF29" s="1238">
        <f t="shared" si="30"/>
        <v>1.5805026872827039</v>
      </c>
      <c r="AG29" s="1238">
        <f t="shared" si="30"/>
        <v>1.6359134957818038</v>
      </c>
      <c r="AH29" s="1238">
        <f t="shared" si="30"/>
        <v>1.614602608468015</v>
      </c>
      <c r="AI29" s="1238">
        <f t="shared" si="30"/>
        <v>1.7025706126535136</v>
      </c>
      <c r="AJ29" s="1238">
        <f t="shared" si="30"/>
        <v>1.7852913490325595</v>
      </c>
      <c r="AK29" s="1238">
        <f t="shared" si="30"/>
        <v>1.2536583978718618</v>
      </c>
      <c r="AL29" s="1238">
        <f t="shared" si="30"/>
        <v>1.3030552640923563</v>
      </c>
      <c r="AM29" s="1239">
        <f t="shared" si="30"/>
        <v>1.3567936672316694</v>
      </c>
      <c r="AN29" s="1237">
        <f t="shared" si="30"/>
        <v>0.75513827693765045</v>
      </c>
      <c r="AO29" s="1238">
        <f t="shared" si="30"/>
        <v>0.75412873378666423</v>
      </c>
      <c r="AP29" s="1239">
        <f t="shared" si="30"/>
        <v>0.753231362096899</v>
      </c>
      <c r="AQ29" s="1181"/>
      <c r="AR29" s="1181"/>
      <c r="AS29" s="1181"/>
      <c r="AT29" s="1181"/>
      <c r="AU29" s="1181"/>
      <c r="AV29" s="1181"/>
      <c r="AW29" s="1181"/>
      <c r="AX29" s="1181"/>
      <c r="AY29" s="1181"/>
      <c r="AZ29" s="1181"/>
      <c r="BA29" s="1181"/>
      <c r="BB29" s="1181"/>
      <c r="BC29" s="1181"/>
      <c r="BD29" s="1181"/>
    </row>
    <row r="30" spans="1:56" ht="11.25" customHeight="1" x14ac:dyDescent="0.2">
      <c r="A30" s="1100" t="s">
        <v>2284</v>
      </c>
      <c r="B30" s="1100" t="s">
        <v>2285</v>
      </c>
      <c r="C30" s="1101"/>
      <c r="D30" s="1187">
        <v>0.68</v>
      </c>
      <c r="E30" s="1107">
        <v>1.03</v>
      </c>
      <c r="F30" s="1107">
        <v>1.37</v>
      </c>
      <c r="G30" s="1107">
        <v>1.71</v>
      </c>
      <c r="H30" s="1188">
        <v>2.0499999999999998</v>
      </c>
      <c r="I30" s="1189">
        <v>1.03</v>
      </c>
      <c r="J30" s="1149">
        <v>1.37</v>
      </c>
      <c r="K30" s="1188">
        <v>1.71</v>
      </c>
      <c r="L30" s="1189">
        <v>1.03</v>
      </c>
      <c r="M30" s="1149">
        <v>1.37</v>
      </c>
      <c r="N30" s="1188">
        <v>1.71</v>
      </c>
      <c r="O30" s="1189">
        <v>1.03</v>
      </c>
      <c r="P30" s="1149">
        <v>1.37</v>
      </c>
      <c r="Q30" s="1188">
        <v>1.71</v>
      </c>
      <c r="R30" s="1189">
        <v>0.68</v>
      </c>
      <c r="S30" s="1149">
        <v>1.03</v>
      </c>
      <c r="T30" s="1149">
        <v>1.37</v>
      </c>
      <c r="U30" s="1149">
        <v>1.71</v>
      </c>
      <c r="V30" s="1188">
        <v>2.0499999999999998</v>
      </c>
      <c r="AC30" s="1098" t="s">
        <v>2363</v>
      </c>
      <c r="AD30" s="1098" t="s">
        <v>2363</v>
      </c>
      <c r="AE30" s="1098" t="s">
        <v>2363</v>
      </c>
      <c r="AF30" s="1098" t="s">
        <v>2363</v>
      </c>
      <c r="AG30" s="1098" t="s">
        <v>2363</v>
      </c>
      <c r="AH30" s="1098" t="s">
        <v>2363</v>
      </c>
      <c r="AI30" s="1098" t="s">
        <v>2363</v>
      </c>
      <c r="AJ30" s="1098" t="s">
        <v>2363</v>
      </c>
      <c r="AK30" s="1098" t="s">
        <v>2363</v>
      </c>
      <c r="AL30" s="1098" t="s">
        <v>2363</v>
      </c>
      <c r="AM30" s="1098" t="s">
        <v>2363</v>
      </c>
      <c r="AN30" s="1098" t="s">
        <v>2364</v>
      </c>
      <c r="AO30" s="1098" t="s">
        <v>2364</v>
      </c>
      <c r="AP30" s="1098" t="s">
        <v>2364</v>
      </c>
      <c r="AQ30" s="1181"/>
      <c r="AR30" s="1181"/>
      <c r="AS30" s="1181"/>
      <c r="AT30" s="1181"/>
      <c r="AU30" s="1181"/>
      <c r="AV30" s="1181"/>
      <c r="AW30" s="1181"/>
      <c r="AX30" s="1181"/>
      <c r="AY30" s="1181"/>
      <c r="AZ30" s="1181"/>
      <c r="BA30" s="1181"/>
      <c r="BB30" s="1181"/>
      <c r="BC30" s="1181"/>
      <c r="BD30" s="1181"/>
    </row>
    <row r="31" spans="1:56" ht="11.25" customHeight="1" x14ac:dyDescent="0.2">
      <c r="A31" s="1100" t="s">
        <v>2286</v>
      </c>
      <c r="B31" s="1100" t="s">
        <v>2287</v>
      </c>
      <c r="C31" s="1101"/>
      <c r="D31" s="1240">
        <v>5</v>
      </c>
      <c r="E31" s="1241">
        <v>10</v>
      </c>
      <c r="F31" s="1241">
        <v>16.399999999999999</v>
      </c>
      <c r="G31" s="1241">
        <v>24.1</v>
      </c>
      <c r="H31" s="1242">
        <v>32.9</v>
      </c>
      <c r="I31" s="1243">
        <v>10</v>
      </c>
      <c r="J31" s="1244">
        <v>16.399999999999999</v>
      </c>
      <c r="K31" s="1242">
        <v>24.1</v>
      </c>
      <c r="L31" s="1243">
        <v>10</v>
      </c>
      <c r="M31" s="1244">
        <v>16.399999999999999</v>
      </c>
      <c r="N31" s="1242">
        <v>24.1</v>
      </c>
      <c r="O31" s="1243">
        <v>10</v>
      </c>
      <c r="P31" s="1244">
        <v>16.399999999999999</v>
      </c>
      <c r="Q31" s="1242">
        <v>24.1</v>
      </c>
      <c r="R31" s="1243">
        <v>5</v>
      </c>
      <c r="S31" s="1244">
        <v>10</v>
      </c>
      <c r="T31" s="1244">
        <v>16.399999999999999</v>
      </c>
      <c r="U31" s="1244">
        <v>24.1</v>
      </c>
      <c r="V31" s="1242">
        <v>32.9</v>
      </c>
      <c r="AC31" s="1245"/>
      <c r="AD31" s="1245"/>
      <c r="AE31" s="1245"/>
      <c r="AF31" s="1245"/>
      <c r="AG31" s="1245"/>
      <c r="AH31" s="1245"/>
      <c r="AI31" s="1245"/>
      <c r="AJ31" s="1245"/>
      <c r="AQ31" s="1181"/>
      <c r="AR31" s="1181"/>
      <c r="AS31" s="1181"/>
      <c r="AT31" s="1181"/>
      <c r="AU31" s="1181"/>
      <c r="AV31" s="1181"/>
      <c r="AW31" s="1181"/>
      <c r="AX31" s="1181"/>
      <c r="AY31" s="1181"/>
      <c r="AZ31" s="1181"/>
      <c r="BA31" s="1181"/>
      <c r="BB31" s="1181"/>
      <c r="BC31" s="1181"/>
      <c r="BD31" s="1181"/>
    </row>
    <row r="32" spans="1:56" ht="15.75" customHeight="1" x14ac:dyDescent="0.2">
      <c r="A32" s="1101"/>
      <c r="B32" s="1101"/>
      <c r="C32" s="1101"/>
      <c r="D32" s="1541" t="s">
        <v>2365</v>
      </c>
      <c r="E32" s="1542"/>
      <c r="F32" s="1542"/>
      <c r="G32" s="1542"/>
      <c r="H32" s="1542"/>
      <c r="I32" s="1542"/>
      <c r="J32" s="1542"/>
      <c r="K32" s="1543"/>
      <c r="L32" s="1544" t="s">
        <v>2366</v>
      </c>
      <c r="M32" s="1545"/>
      <c r="N32" s="1545"/>
      <c r="O32" s="1545"/>
      <c r="P32" s="1545"/>
      <c r="Q32" s="1546"/>
      <c r="R32" s="1547" t="s">
        <v>2367</v>
      </c>
      <c r="S32" s="1545"/>
      <c r="T32" s="1545"/>
      <c r="U32" s="1545"/>
      <c r="V32" s="1546"/>
      <c r="AQ32" s="1181"/>
      <c r="AR32" s="1181"/>
      <c r="AS32" s="1181"/>
      <c r="AT32" s="1181"/>
      <c r="AU32" s="1181"/>
      <c r="AV32" s="1181"/>
      <c r="AW32" s="1181"/>
      <c r="AX32" s="1181"/>
      <c r="AY32" s="1181"/>
      <c r="AZ32" s="1181"/>
      <c r="BA32" s="1181"/>
      <c r="BB32" s="1181"/>
      <c r="BC32" s="1181"/>
      <c r="BD32" s="1181"/>
    </row>
    <row r="33" spans="1:56" ht="11.25" customHeight="1" x14ac:dyDescent="0.2">
      <c r="A33" s="1100" t="s">
        <v>2289</v>
      </c>
      <c r="B33" s="1100" t="s">
        <v>2281</v>
      </c>
      <c r="C33" s="1101"/>
      <c r="D33" s="1246">
        <v>7</v>
      </c>
      <c r="E33" s="1247">
        <v>7</v>
      </c>
      <c r="F33" s="1247">
        <v>7</v>
      </c>
      <c r="G33" s="1247">
        <v>7</v>
      </c>
      <c r="H33" s="1248">
        <v>7</v>
      </c>
      <c r="I33" s="1249">
        <v>7</v>
      </c>
      <c r="J33" s="1250">
        <v>7</v>
      </c>
      <c r="K33" s="1248">
        <v>7</v>
      </c>
      <c r="L33" s="1249">
        <v>10</v>
      </c>
      <c r="M33" s="1250">
        <v>10</v>
      </c>
      <c r="N33" s="1248">
        <v>10</v>
      </c>
      <c r="O33" s="1249">
        <v>10</v>
      </c>
      <c r="P33" s="1250">
        <v>10</v>
      </c>
      <c r="Q33" s="1248">
        <v>10</v>
      </c>
      <c r="R33" s="1249">
        <v>7</v>
      </c>
      <c r="S33" s="1250">
        <v>7</v>
      </c>
      <c r="T33" s="1250">
        <v>7</v>
      </c>
      <c r="U33" s="1250">
        <v>7</v>
      </c>
      <c r="V33" s="1248">
        <v>7</v>
      </c>
      <c r="AQ33" s="1181"/>
      <c r="AR33" s="1181"/>
      <c r="AS33" s="1181"/>
      <c r="AT33" s="1181"/>
      <c r="AU33" s="1181"/>
      <c r="AV33" s="1181"/>
      <c r="AW33" s="1181"/>
      <c r="AX33" s="1181"/>
      <c r="AY33" s="1181"/>
      <c r="AZ33" s="1181"/>
      <c r="BA33" s="1181"/>
      <c r="BB33" s="1181"/>
      <c r="BC33" s="1181"/>
      <c r="BD33" s="1181"/>
    </row>
    <row r="34" spans="1:56" ht="11.25" customHeight="1" x14ac:dyDescent="0.2">
      <c r="A34" s="1100" t="s">
        <v>2290</v>
      </c>
      <c r="B34" s="1100" t="s">
        <v>2281</v>
      </c>
      <c r="C34" s="1101"/>
      <c r="D34" s="1251">
        <v>12</v>
      </c>
      <c r="E34" s="1252">
        <v>12</v>
      </c>
      <c r="F34" s="1252">
        <v>12</v>
      </c>
      <c r="G34" s="1252">
        <v>12</v>
      </c>
      <c r="H34" s="1253">
        <v>12</v>
      </c>
      <c r="I34" s="1254">
        <v>12</v>
      </c>
      <c r="J34" s="1255">
        <v>12</v>
      </c>
      <c r="K34" s="1253">
        <v>12</v>
      </c>
      <c r="L34" s="1254">
        <v>15</v>
      </c>
      <c r="M34" s="1255">
        <v>15</v>
      </c>
      <c r="N34" s="1253">
        <v>15</v>
      </c>
      <c r="O34" s="1254">
        <v>15</v>
      </c>
      <c r="P34" s="1255">
        <v>15</v>
      </c>
      <c r="Q34" s="1253">
        <v>15</v>
      </c>
      <c r="R34" s="1254">
        <v>12</v>
      </c>
      <c r="S34" s="1255">
        <v>12</v>
      </c>
      <c r="T34" s="1255">
        <v>12</v>
      </c>
      <c r="U34" s="1255">
        <v>12</v>
      </c>
      <c r="V34" s="1253">
        <v>12</v>
      </c>
    </row>
    <row r="35" spans="1:56" ht="11.25" customHeight="1" x14ac:dyDescent="0.2">
      <c r="A35" s="1100" t="s">
        <v>2291</v>
      </c>
      <c r="B35" s="1100" t="s">
        <v>2292</v>
      </c>
      <c r="C35" s="1101"/>
      <c r="D35" s="1256">
        <v>0.18</v>
      </c>
      <c r="E35" s="1257">
        <v>0.25</v>
      </c>
      <c r="F35" s="1257">
        <v>0.28999999999999998</v>
      </c>
      <c r="G35" s="1257">
        <v>0.34</v>
      </c>
      <c r="H35" s="1258">
        <v>0.37</v>
      </c>
      <c r="I35" s="1259">
        <v>0.3</v>
      </c>
      <c r="J35" s="1260">
        <v>0.37</v>
      </c>
      <c r="K35" s="1258">
        <v>0.42</v>
      </c>
      <c r="L35" s="1259">
        <v>0.15</v>
      </c>
      <c r="M35" s="1260">
        <v>0.19</v>
      </c>
      <c r="N35" s="1258">
        <v>0.23</v>
      </c>
      <c r="O35" s="1259">
        <v>0.18</v>
      </c>
      <c r="P35" s="1260">
        <v>0.21</v>
      </c>
      <c r="Q35" s="1258">
        <v>0.25</v>
      </c>
      <c r="R35" s="1259">
        <v>0.12</v>
      </c>
      <c r="S35" s="1260">
        <v>0.14000000000000001</v>
      </c>
      <c r="T35" s="1260">
        <v>0.16</v>
      </c>
      <c r="U35" s="1260">
        <v>0.17</v>
      </c>
      <c r="V35" s="1258">
        <v>0.18</v>
      </c>
    </row>
    <row r="36" spans="1:56" ht="11.25" customHeight="1" x14ac:dyDescent="0.2">
      <c r="A36" s="1100" t="s">
        <v>2293</v>
      </c>
      <c r="B36" s="1100" t="s">
        <v>2285</v>
      </c>
      <c r="C36" s="1101"/>
      <c r="D36" s="1187">
        <v>0.37</v>
      </c>
      <c r="E36" s="1107">
        <v>0.51</v>
      </c>
      <c r="F36" s="1107">
        <v>0.59</v>
      </c>
      <c r="G36" s="1107">
        <v>0.69</v>
      </c>
      <c r="H36" s="1188">
        <v>0.77</v>
      </c>
      <c r="I36" s="1189">
        <v>0.62</v>
      </c>
      <c r="J36" s="1149">
        <v>0.75</v>
      </c>
      <c r="K36" s="1188">
        <v>0.86</v>
      </c>
      <c r="L36" s="1189">
        <v>0.32</v>
      </c>
      <c r="M36" s="1149">
        <v>0.4</v>
      </c>
      <c r="N36" s="1188">
        <v>0.48</v>
      </c>
      <c r="O36" s="1189">
        <v>0.36</v>
      </c>
      <c r="P36" s="1149">
        <v>0.43</v>
      </c>
      <c r="Q36" s="1188">
        <v>0.51</v>
      </c>
      <c r="R36" s="1189">
        <v>0.25</v>
      </c>
      <c r="S36" s="1149">
        <v>0.28999999999999998</v>
      </c>
      <c r="T36" s="1149">
        <v>0.33</v>
      </c>
      <c r="U36" s="1149">
        <v>0.35</v>
      </c>
      <c r="V36" s="1188">
        <v>0.37</v>
      </c>
    </row>
    <row r="37" spans="1:56" ht="11.25" customHeight="1" x14ac:dyDescent="0.2">
      <c r="A37" s="1100" t="s">
        <v>2294</v>
      </c>
      <c r="B37" s="1100" t="s">
        <v>2295</v>
      </c>
      <c r="C37" s="1101"/>
      <c r="D37" s="1187">
        <v>3.6</v>
      </c>
      <c r="E37" s="1107">
        <v>6.4</v>
      </c>
      <c r="F37" s="1107">
        <v>8.5</v>
      </c>
      <c r="G37" s="1107">
        <v>11.4</v>
      </c>
      <c r="H37" s="1188">
        <v>14</v>
      </c>
      <c r="I37" s="1189">
        <v>9.4</v>
      </c>
      <c r="J37" s="1149">
        <v>13.5</v>
      </c>
      <c r="K37" s="1188">
        <v>17.399999999999999</v>
      </c>
      <c r="L37" s="1189">
        <v>2.6</v>
      </c>
      <c r="M37" s="1149">
        <v>4</v>
      </c>
      <c r="N37" s="1188">
        <v>5.6</v>
      </c>
      <c r="O37" s="1189">
        <v>3.3</v>
      </c>
      <c r="P37" s="1149">
        <v>4.7</v>
      </c>
      <c r="Q37" s="1188">
        <v>6.3</v>
      </c>
      <c r="R37" s="1189">
        <v>3.4</v>
      </c>
      <c r="S37" s="1149">
        <v>3.9</v>
      </c>
      <c r="T37" s="1149">
        <v>4.4000000000000004</v>
      </c>
      <c r="U37" s="1149">
        <v>4.5999999999999996</v>
      </c>
      <c r="V37" s="1188">
        <v>4.9000000000000004</v>
      </c>
    </row>
    <row r="38" spans="1:56" ht="11.25" customHeight="1" x14ac:dyDescent="0.2">
      <c r="A38" s="1100" t="s">
        <v>2296</v>
      </c>
      <c r="B38" s="1100" t="s">
        <v>2297</v>
      </c>
      <c r="C38" s="1101"/>
      <c r="D38" s="1187" t="s">
        <v>2298</v>
      </c>
      <c r="E38" s="1107" t="s">
        <v>2298</v>
      </c>
      <c r="F38" s="1107" t="s">
        <v>2298</v>
      </c>
      <c r="G38" s="1107" t="s">
        <v>2298</v>
      </c>
      <c r="H38" s="1188" t="s">
        <v>2298</v>
      </c>
      <c r="I38" s="1189" t="s">
        <v>2298</v>
      </c>
      <c r="J38" s="1149" t="s">
        <v>2298</v>
      </c>
      <c r="K38" s="1188" t="s">
        <v>2298</v>
      </c>
      <c r="L38" s="1189" t="s">
        <v>2298</v>
      </c>
      <c r="M38" s="1149" t="s">
        <v>2298</v>
      </c>
      <c r="N38" s="1188" t="s">
        <v>2298</v>
      </c>
      <c r="O38" s="1189" t="s">
        <v>2298</v>
      </c>
      <c r="P38" s="1149" t="s">
        <v>2298</v>
      </c>
      <c r="Q38" s="1188" t="s">
        <v>2298</v>
      </c>
      <c r="R38" s="1189" t="s">
        <v>2298</v>
      </c>
      <c r="S38" s="1149" t="s">
        <v>2298</v>
      </c>
      <c r="T38" s="1149" t="s">
        <v>2298</v>
      </c>
      <c r="U38" s="1149" t="s">
        <v>2298</v>
      </c>
      <c r="V38" s="1188" t="s">
        <v>2298</v>
      </c>
    </row>
    <row r="39" spans="1:56" ht="11.25" customHeight="1" x14ac:dyDescent="0.2">
      <c r="A39" s="1100" t="s">
        <v>2299</v>
      </c>
      <c r="B39" s="1100" t="s">
        <v>2257</v>
      </c>
      <c r="C39" s="1101"/>
      <c r="D39" s="1192"/>
      <c r="E39" s="1110"/>
      <c r="F39" s="1110"/>
      <c r="G39" s="1110"/>
      <c r="H39" s="1193"/>
      <c r="I39" s="1194"/>
      <c r="J39" s="1158"/>
      <c r="K39" s="1193"/>
      <c r="L39" s="1194"/>
      <c r="M39" s="1158"/>
      <c r="N39" s="1193"/>
      <c r="O39" s="1194"/>
      <c r="P39" s="1158"/>
      <c r="Q39" s="1193"/>
      <c r="R39" s="1194"/>
      <c r="S39" s="1158"/>
      <c r="T39" s="1158"/>
      <c r="U39" s="1158"/>
      <c r="V39" s="1193"/>
    </row>
    <row r="40" spans="1:56" ht="11.25" customHeight="1" x14ac:dyDescent="0.2">
      <c r="A40" s="1101"/>
      <c r="B40" s="1101"/>
      <c r="C40" s="1101"/>
      <c r="D40" s="1221"/>
      <c r="E40" s="1115"/>
      <c r="F40" s="1115"/>
      <c r="G40" s="1115"/>
      <c r="H40" s="1222"/>
      <c r="I40" s="1223"/>
      <c r="J40" s="1159"/>
      <c r="K40" s="1222"/>
      <c r="L40" s="1223"/>
      <c r="M40" s="1159"/>
      <c r="N40" s="1222"/>
      <c r="O40" s="1223"/>
      <c r="P40" s="1159"/>
      <c r="Q40" s="1222"/>
      <c r="R40" s="1223"/>
      <c r="S40" s="1159"/>
      <c r="T40" s="1159"/>
      <c r="U40" s="1159"/>
      <c r="V40" s="1222"/>
    </row>
    <row r="41" spans="1:56" ht="11.25" customHeight="1" x14ac:dyDescent="0.2">
      <c r="A41" s="1100" t="s">
        <v>2300</v>
      </c>
      <c r="B41" s="1101"/>
      <c r="C41" s="1101"/>
      <c r="D41" s="1187">
        <v>3</v>
      </c>
      <c r="E41" s="1107">
        <v>3</v>
      </c>
      <c r="F41" s="1107">
        <v>3</v>
      </c>
      <c r="G41" s="1107">
        <v>3</v>
      </c>
      <c r="H41" s="1188">
        <v>3</v>
      </c>
      <c r="I41" s="1189">
        <v>3</v>
      </c>
      <c r="J41" s="1149">
        <v>3</v>
      </c>
      <c r="K41" s="1188">
        <v>3</v>
      </c>
      <c r="L41" s="1189">
        <v>3</v>
      </c>
      <c r="M41" s="1149">
        <v>3</v>
      </c>
      <c r="N41" s="1188">
        <v>3</v>
      </c>
      <c r="O41" s="1189">
        <v>3</v>
      </c>
      <c r="P41" s="1149">
        <v>3</v>
      </c>
      <c r="Q41" s="1188">
        <v>3</v>
      </c>
      <c r="R41" s="1189">
        <v>3</v>
      </c>
      <c r="S41" s="1149">
        <v>3</v>
      </c>
      <c r="T41" s="1149">
        <v>3</v>
      </c>
      <c r="U41" s="1149">
        <v>3</v>
      </c>
      <c r="V41" s="1188">
        <v>3</v>
      </c>
    </row>
    <row r="42" spans="1:56" ht="11.25" customHeight="1" x14ac:dyDescent="0.2">
      <c r="A42" s="1100" t="s">
        <v>2301</v>
      </c>
      <c r="B42" s="1100" t="s">
        <v>2262</v>
      </c>
      <c r="C42" s="1101"/>
      <c r="D42" s="1187">
        <v>2.5</v>
      </c>
      <c r="E42" s="1107">
        <v>2.5</v>
      </c>
      <c r="F42" s="1107">
        <v>2.5</v>
      </c>
      <c r="G42" s="1107">
        <v>2.5</v>
      </c>
      <c r="H42" s="1188">
        <v>2.5</v>
      </c>
      <c r="I42" s="1189">
        <v>2.5</v>
      </c>
      <c r="J42" s="1149">
        <v>2.5</v>
      </c>
      <c r="K42" s="1188">
        <v>2.5</v>
      </c>
      <c r="L42" s="1189">
        <v>2.5</v>
      </c>
      <c r="M42" s="1149">
        <v>2.5</v>
      </c>
      <c r="N42" s="1188">
        <v>2.5</v>
      </c>
      <c r="O42" s="1189">
        <v>2.5</v>
      </c>
      <c r="P42" s="1149">
        <v>2.5</v>
      </c>
      <c r="Q42" s="1188">
        <v>2.5</v>
      </c>
      <c r="R42" s="1189">
        <v>2.5</v>
      </c>
      <c r="S42" s="1149">
        <v>2.5</v>
      </c>
      <c r="T42" s="1149">
        <v>2.5</v>
      </c>
      <c r="U42" s="1149">
        <v>2.5</v>
      </c>
      <c r="V42" s="1188">
        <v>2.5</v>
      </c>
    </row>
    <row r="43" spans="1:56" ht="11.25" customHeight="1" x14ac:dyDescent="0.2">
      <c r="A43" s="1100" t="s">
        <v>2302</v>
      </c>
      <c r="B43" s="1100" t="s">
        <v>2303</v>
      </c>
      <c r="C43" s="1101"/>
      <c r="D43" s="1187">
        <v>3.1</v>
      </c>
      <c r="E43" s="1107">
        <v>3.1</v>
      </c>
      <c r="F43" s="1107">
        <v>3.1</v>
      </c>
      <c r="G43" s="1107">
        <v>3.1</v>
      </c>
      <c r="H43" s="1188">
        <v>3.1</v>
      </c>
      <c r="I43" s="1189">
        <v>3.1</v>
      </c>
      <c r="J43" s="1149">
        <v>3.1</v>
      </c>
      <c r="K43" s="1188">
        <v>3.1</v>
      </c>
      <c r="L43" s="1189">
        <v>3.1</v>
      </c>
      <c r="M43" s="1149">
        <v>3.1</v>
      </c>
      <c r="N43" s="1188">
        <v>3.1</v>
      </c>
      <c r="O43" s="1189">
        <v>3.1</v>
      </c>
      <c r="P43" s="1149">
        <v>3.1</v>
      </c>
      <c r="Q43" s="1188">
        <v>3.1</v>
      </c>
      <c r="R43" s="1189">
        <v>3.1</v>
      </c>
      <c r="S43" s="1149">
        <v>3.1</v>
      </c>
      <c r="T43" s="1149">
        <v>3.1</v>
      </c>
      <c r="U43" s="1149">
        <v>3.1</v>
      </c>
      <c r="V43" s="1188">
        <v>3.1</v>
      </c>
    </row>
    <row r="44" spans="1:56" ht="11.25" customHeight="1" x14ac:dyDescent="0.2">
      <c r="A44" s="1100" t="s">
        <v>2305</v>
      </c>
      <c r="B44" s="1100" t="s">
        <v>2306</v>
      </c>
      <c r="C44" s="1101"/>
      <c r="D44" s="1187">
        <v>13</v>
      </c>
      <c r="E44" s="1107">
        <v>13</v>
      </c>
      <c r="F44" s="1107">
        <v>13</v>
      </c>
      <c r="G44" s="1107">
        <v>13</v>
      </c>
      <c r="H44" s="1188">
        <v>13</v>
      </c>
      <c r="I44" s="1189">
        <v>13</v>
      </c>
      <c r="J44" s="1149">
        <v>13</v>
      </c>
      <c r="K44" s="1188">
        <v>13</v>
      </c>
      <c r="L44" s="1189">
        <v>13</v>
      </c>
      <c r="M44" s="1149">
        <v>13</v>
      </c>
      <c r="N44" s="1188">
        <v>13</v>
      </c>
      <c r="O44" s="1189">
        <v>13</v>
      </c>
      <c r="P44" s="1149">
        <v>13</v>
      </c>
      <c r="Q44" s="1188">
        <v>13</v>
      </c>
      <c r="R44" s="1189">
        <v>13</v>
      </c>
      <c r="S44" s="1149">
        <v>13</v>
      </c>
      <c r="T44" s="1149">
        <v>13</v>
      </c>
      <c r="U44" s="1149">
        <v>13</v>
      </c>
      <c r="V44" s="1188">
        <v>13</v>
      </c>
    </row>
    <row r="45" spans="1:56" ht="11.25" customHeight="1" x14ac:dyDescent="0.2">
      <c r="A45" s="1101"/>
      <c r="B45" s="1101"/>
      <c r="C45" s="1101"/>
      <c r="D45" s="1221"/>
      <c r="E45" s="1115"/>
      <c r="F45" s="1115"/>
      <c r="G45" s="1115"/>
      <c r="H45" s="1222"/>
      <c r="I45" s="1223"/>
      <c r="J45" s="1159"/>
      <c r="K45" s="1222"/>
      <c r="L45" s="1223"/>
      <c r="M45" s="1159"/>
      <c r="N45" s="1222"/>
      <c r="O45" s="1223"/>
      <c r="P45" s="1159"/>
      <c r="Q45" s="1222"/>
      <c r="R45" s="1223"/>
      <c r="S45" s="1159"/>
      <c r="T45" s="1159"/>
      <c r="U45" s="1159"/>
      <c r="V45" s="1222"/>
    </row>
    <row r="46" spans="1:56" ht="11.25" customHeight="1" x14ac:dyDescent="0.2">
      <c r="A46" s="1100" t="s">
        <v>2307</v>
      </c>
      <c r="B46" s="1101" t="s">
        <v>2308</v>
      </c>
      <c r="C46" s="1147"/>
      <c r="D46" s="1110">
        <v>8.8000000000000007</v>
      </c>
      <c r="E46" s="1110">
        <v>8.8000000000000007</v>
      </c>
      <c r="F46" s="1110">
        <v>8.8000000000000007</v>
      </c>
      <c r="G46" s="1110">
        <v>8.8000000000000007</v>
      </c>
      <c r="H46" s="1110">
        <v>8.8000000000000007</v>
      </c>
      <c r="I46" s="1110">
        <v>8.8000000000000007</v>
      </c>
      <c r="J46" s="1110">
        <v>8.8000000000000007</v>
      </c>
      <c r="K46" s="1110">
        <v>8.8000000000000007</v>
      </c>
      <c r="L46" s="1110">
        <v>8.8000000000000007</v>
      </c>
      <c r="M46" s="1110">
        <v>8.8000000000000007</v>
      </c>
      <c r="N46" s="1110">
        <v>8.8000000000000007</v>
      </c>
      <c r="O46" s="1110">
        <v>8.8000000000000007</v>
      </c>
      <c r="P46" s="1110">
        <v>8.8000000000000007</v>
      </c>
      <c r="Q46" s="1110">
        <v>8.8000000000000007</v>
      </c>
      <c r="R46" s="1110"/>
      <c r="S46" s="1110"/>
      <c r="T46" s="1110"/>
      <c r="U46" s="1110"/>
      <c r="V46" s="1110"/>
    </row>
    <row r="47" spans="1:56" ht="11.25" customHeight="1" x14ac:dyDescent="0.2">
      <c r="A47" s="1100" t="s">
        <v>2310</v>
      </c>
      <c r="B47" s="1101" t="s">
        <v>2311</v>
      </c>
      <c r="C47" s="1147"/>
      <c r="D47" s="1110">
        <v>7</v>
      </c>
      <c r="E47" s="1110">
        <v>7</v>
      </c>
      <c r="F47" s="1110">
        <v>7</v>
      </c>
      <c r="G47" s="1110">
        <v>7</v>
      </c>
      <c r="H47" s="1110">
        <v>7</v>
      </c>
      <c r="I47" s="1110">
        <v>7</v>
      </c>
      <c r="J47" s="1110">
        <v>7</v>
      </c>
      <c r="K47" s="1110">
        <v>7</v>
      </c>
      <c r="L47" s="1110">
        <v>7</v>
      </c>
      <c r="M47" s="1110">
        <v>7</v>
      </c>
      <c r="N47" s="1110">
        <v>7</v>
      </c>
      <c r="O47" s="1110">
        <v>7</v>
      </c>
      <c r="P47" s="1110">
        <v>7</v>
      </c>
      <c r="Q47" s="1110">
        <v>7</v>
      </c>
      <c r="R47" s="1110"/>
      <c r="S47" s="1110"/>
      <c r="T47" s="1110"/>
      <c r="U47" s="1110"/>
      <c r="V47" s="1110"/>
    </row>
    <row r="48" spans="1:56" ht="11.25" customHeight="1" x14ac:dyDescent="0.2">
      <c r="A48" s="1100" t="s">
        <v>2312</v>
      </c>
      <c r="B48" s="1101" t="s">
        <v>2313</v>
      </c>
      <c r="C48" s="1147"/>
      <c r="D48" s="1110">
        <f>D35/D47</f>
        <v>2.5714285714285714E-2</v>
      </c>
      <c r="E48" s="1110">
        <f t="shared" ref="E48:Q48" si="31">E35/E47</f>
        <v>3.5714285714285712E-2</v>
      </c>
      <c r="F48" s="1110">
        <f t="shared" si="31"/>
        <v>4.1428571428571426E-2</v>
      </c>
      <c r="G48" s="1110">
        <f t="shared" si="31"/>
        <v>4.8571428571428578E-2</v>
      </c>
      <c r="H48" s="1110">
        <f t="shared" si="31"/>
        <v>5.2857142857142859E-2</v>
      </c>
      <c r="I48" s="1110">
        <f t="shared" si="31"/>
        <v>4.2857142857142858E-2</v>
      </c>
      <c r="J48" s="1110">
        <f t="shared" si="31"/>
        <v>5.2857142857142859E-2</v>
      </c>
      <c r="K48" s="1110">
        <f t="shared" si="31"/>
        <v>0.06</v>
      </c>
      <c r="L48" s="1110">
        <f t="shared" si="31"/>
        <v>2.1428571428571429E-2</v>
      </c>
      <c r="M48" s="1110">
        <f t="shared" si="31"/>
        <v>2.7142857142857142E-2</v>
      </c>
      <c r="N48" s="1110">
        <f t="shared" si="31"/>
        <v>3.2857142857142856E-2</v>
      </c>
      <c r="O48" s="1110">
        <f t="shared" si="31"/>
        <v>2.5714285714285714E-2</v>
      </c>
      <c r="P48" s="1110">
        <f t="shared" si="31"/>
        <v>0.03</v>
      </c>
      <c r="Q48" s="1110">
        <f t="shared" si="31"/>
        <v>3.5714285714285712E-2</v>
      </c>
      <c r="R48" s="1110"/>
      <c r="S48" s="1110"/>
      <c r="T48" s="1110"/>
      <c r="U48" s="1110"/>
      <c r="V48" s="1110"/>
    </row>
    <row r="49" spans="1:59" ht="11.25" customHeight="1" x14ac:dyDescent="0.2">
      <c r="A49" s="1100" t="s">
        <v>2314</v>
      </c>
      <c r="B49" s="1101" t="s">
        <v>2315</v>
      </c>
      <c r="C49" s="1147"/>
      <c r="D49" s="1110">
        <f>PI()*(D46/2/1000)^2</f>
        <v>6.0821233773498395E-5</v>
      </c>
      <c r="E49" s="1110">
        <f t="shared" ref="E49:Q49" si="32">PI()*(E46/2/1000)^2</f>
        <v>6.0821233773498395E-5</v>
      </c>
      <c r="F49" s="1110">
        <f t="shared" si="32"/>
        <v>6.0821233773498395E-5</v>
      </c>
      <c r="G49" s="1110">
        <f t="shared" si="32"/>
        <v>6.0821233773498395E-5</v>
      </c>
      <c r="H49" s="1110">
        <f t="shared" si="32"/>
        <v>6.0821233773498395E-5</v>
      </c>
      <c r="I49" s="1110">
        <f t="shared" si="32"/>
        <v>6.0821233773498395E-5</v>
      </c>
      <c r="J49" s="1110">
        <f t="shared" si="32"/>
        <v>6.0821233773498395E-5</v>
      </c>
      <c r="K49" s="1110">
        <f t="shared" si="32"/>
        <v>6.0821233773498395E-5</v>
      </c>
      <c r="L49" s="1110">
        <f t="shared" si="32"/>
        <v>6.0821233773498395E-5</v>
      </c>
      <c r="M49" s="1110">
        <f t="shared" si="32"/>
        <v>6.0821233773498395E-5</v>
      </c>
      <c r="N49" s="1110">
        <f t="shared" si="32"/>
        <v>6.0821233773498395E-5</v>
      </c>
      <c r="O49" s="1110">
        <f t="shared" si="32"/>
        <v>6.0821233773498395E-5</v>
      </c>
      <c r="P49" s="1110">
        <f t="shared" si="32"/>
        <v>6.0821233773498395E-5</v>
      </c>
      <c r="Q49" s="1110">
        <f t="shared" si="32"/>
        <v>6.0821233773498395E-5</v>
      </c>
      <c r="R49" s="1110"/>
      <c r="S49" s="1110"/>
      <c r="T49" s="1110"/>
      <c r="U49" s="1110"/>
      <c r="V49" s="1110"/>
    </row>
    <row r="50" spans="1:59" ht="11.25" customHeight="1" x14ac:dyDescent="0.2">
      <c r="A50" s="1100" t="s">
        <v>2316</v>
      </c>
      <c r="B50" s="1101" t="s">
        <v>502</v>
      </c>
      <c r="C50" s="1147"/>
      <c r="D50" s="1110">
        <f>D48/1000/D49</f>
        <v>0.42278467763490496</v>
      </c>
      <c r="E50" s="1110">
        <f t="shared" ref="E50:Q50" si="33">E48/1000/E49</f>
        <v>0.58720094115959021</v>
      </c>
      <c r="F50" s="1110">
        <f t="shared" si="33"/>
        <v>0.68115309174512462</v>
      </c>
      <c r="G50" s="1110">
        <f t="shared" si="33"/>
        <v>0.79859327997704277</v>
      </c>
      <c r="H50" s="1110">
        <f t="shared" si="33"/>
        <v>0.86905739291619366</v>
      </c>
      <c r="I50" s="1110">
        <f t="shared" si="33"/>
        <v>0.70464112939150825</v>
      </c>
      <c r="J50" s="1110">
        <f t="shared" si="33"/>
        <v>0.86905739291619366</v>
      </c>
      <c r="K50" s="1110">
        <f t="shared" si="33"/>
        <v>0.98649758114811148</v>
      </c>
      <c r="L50" s="1110">
        <f t="shared" si="33"/>
        <v>0.35232056469575412</v>
      </c>
      <c r="M50" s="1110">
        <f t="shared" si="33"/>
        <v>0.44627271528128853</v>
      </c>
      <c r="N50" s="1110">
        <f t="shared" si="33"/>
        <v>0.54022486586682306</v>
      </c>
      <c r="O50" s="1110">
        <f t="shared" si="33"/>
        <v>0.42278467763490496</v>
      </c>
      <c r="P50" s="1110">
        <f t="shared" si="33"/>
        <v>0.49324879057405574</v>
      </c>
      <c r="Q50" s="1110">
        <f t="shared" si="33"/>
        <v>0.58720094115959021</v>
      </c>
      <c r="R50" s="1110"/>
      <c r="S50" s="1110"/>
      <c r="T50" s="1110"/>
      <c r="U50" s="1110"/>
      <c r="V50" s="1110"/>
    </row>
    <row r="51" spans="1:59" ht="11.25" customHeight="1" x14ac:dyDescent="0.2">
      <c r="A51" s="1100" t="s">
        <v>2317</v>
      </c>
      <c r="B51" s="1100" t="s">
        <v>487</v>
      </c>
      <c r="C51" s="1147"/>
      <c r="D51" s="1131">
        <f>1000*D50*(D46/1000)/0.0012</f>
        <v>3100.4209693226367</v>
      </c>
      <c r="E51" s="1131">
        <f t="shared" ref="E51:Q51" si="34">1000*E50*(E46/1000)/0.0012</f>
        <v>4306.1402351703291</v>
      </c>
      <c r="F51" s="1131">
        <f t="shared" si="34"/>
        <v>4995.1226727975809</v>
      </c>
      <c r="G51" s="1131">
        <f t="shared" si="34"/>
        <v>5856.3507198316483</v>
      </c>
      <c r="H51" s="1131">
        <f t="shared" si="34"/>
        <v>6373.0875480520872</v>
      </c>
      <c r="I51" s="1131">
        <f t="shared" si="34"/>
        <v>5167.3682822043947</v>
      </c>
      <c r="J51" s="1131">
        <f t="shared" si="34"/>
        <v>6373.0875480520872</v>
      </c>
      <c r="K51" s="1131">
        <f t="shared" si="34"/>
        <v>7234.3155950861519</v>
      </c>
      <c r="L51" s="1131">
        <f t="shared" si="34"/>
        <v>2583.6841411021974</v>
      </c>
      <c r="M51" s="1131">
        <f t="shared" si="34"/>
        <v>3272.6665787294496</v>
      </c>
      <c r="N51" s="1131">
        <f t="shared" si="34"/>
        <v>3961.6490163567028</v>
      </c>
      <c r="O51" s="1131">
        <f t="shared" si="34"/>
        <v>3100.4209693226367</v>
      </c>
      <c r="P51" s="1131">
        <f t="shared" si="34"/>
        <v>3617.157797543076</v>
      </c>
      <c r="Q51" s="1131">
        <f t="shared" si="34"/>
        <v>4306.1402351703291</v>
      </c>
      <c r="R51" s="1131"/>
      <c r="S51" s="1131"/>
      <c r="T51" s="1131"/>
      <c r="U51" s="1131"/>
      <c r="V51" s="1131"/>
    </row>
    <row r="52" spans="1:59" ht="11.25" customHeight="1" x14ac:dyDescent="0.2">
      <c r="A52" s="1548" t="s">
        <v>2318</v>
      </c>
      <c r="B52" s="1548" t="s">
        <v>2319</v>
      </c>
      <c r="C52" s="1549"/>
      <c r="D52" s="1261"/>
      <c r="E52" s="1262"/>
      <c r="F52" s="1262"/>
      <c r="G52" s="1262"/>
      <c r="H52" s="1263"/>
      <c r="I52" s="1264"/>
      <c r="J52" s="1265"/>
      <c r="K52" s="1263"/>
      <c r="L52" s="1264"/>
      <c r="M52" s="1265"/>
      <c r="N52" s="1263"/>
      <c r="O52" s="1264"/>
      <c r="P52" s="1265"/>
      <c r="Q52" s="1263"/>
      <c r="R52" s="1264"/>
      <c r="S52" s="1265"/>
      <c r="T52" s="1265"/>
      <c r="U52" s="1265"/>
      <c r="V52" s="1263"/>
    </row>
    <row r="53" spans="1:59" ht="6.5" customHeight="1" x14ac:dyDescent="0.2">
      <c r="A53" s="1548"/>
      <c r="B53" s="1548"/>
      <c r="C53" s="1549"/>
      <c r="D53" s="1150"/>
      <c r="E53" s="1150"/>
      <c r="F53" s="1150"/>
      <c r="G53" s="1150"/>
      <c r="H53" s="1099"/>
      <c r="I53" s="1099"/>
      <c r="J53" s="1099"/>
      <c r="K53" s="1099"/>
      <c r="L53" s="1099"/>
      <c r="M53" s="1099"/>
      <c r="N53" s="1099"/>
      <c r="O53" s="1099"/>
      <c r="P53" s="1099"/>
      <c r="Q53" s="1099"/>
      <c r="R53" s="1099"/>
      <c r="S53" s="1099"/>
      <c r="T53" s="1099"/>
      <c r="U53" s="1099"/>
      <c r="V53" s="1099"/>
    </row>
    <row r="54" spans="1:59" ht="16.5" customHeight="1" x14ac:dyDescent="0.2">
      <c r="A54" s="1530" t="s">
        <v>2320</v>
      </c>
      <c r="B54" s="1530"/>
      <c r="C54" s="1530"/>
      <c r="D54" s="1530"/>
      <c r="E54" s="1101"/>
      <c r="F54" s="1101"/>
      <c r="G54" s="1101"/>
    </row>
    <row r="55" spans="1:59" ht="12.75" customHeight="1" x14ac:dyDescent="0.2">
      <c r="A55" s="1530" t="s">
        <v>2368</v>
      </c>
      <c r="B55" s="1530"/>
      <c r="C55" s="1530"/>
      <c r="D55" s="1266">
        <f t="shared" ref="D55:Q55" si="35">D23*(D26-D29)</f>
        <v>3.7919999999999994</v>
      </c>
      <c r="E55" s="1266">
        <f t="shared" si="35"/>
        <v>5.1839999999999993</v>
      </c>
      <c r="F55" s="1266">
        <f t="shared" si="35"/>
        <v>6</v>
      </c>
      <c r="G55" s="1266">
        <f t="shared" si="35"/>
        <v>7.0200000000000014</v>
      </c>
      <c r="H55" s="1266">
        <f t="shared" si="35"/>
        <v>7.847999999999999</v>
      </c>
      <c r="I55" s="1266">
        <f t="shared" si="35"/>
        <v>6.3360000000000003</v>
      </c>
      <c r="J55" s="1266">
        <f t="shared" si="35"/>
        <v>7.68</v>
      </c>
      <c r="K55" s="1266">
        <f t="shared" si="35"/>
        <v>8.76</v>
      </c>
      <c r="L55" s="1266">
        <f t="shared" si="35"/>
        <v>3.2399999999999998</v>
      </c>
      <c r="M55" s="1266">
        <f t="shared" si="35"/>
        <v>4.08</v>
      </c>
      <c r="N55" s="1266">
        <f t="shared" si="35"/>
        <v>4.8599999999999968</v>
      </c>
      <c r="O55" s="1266">
        <f t="shared" si="35"/>
        <v>3.672000000000001</v>
      </c>
      <c r="P55" s="1266">
        <f t="shared" si="35"/>
        <v>4.4160000000000013</v>
      </c>
      <c r="Q55" s="1266">
        <f t="shared" si="35"/>
        <v>5.160000000000001</v>
      </c>
      <c r="R55" s="1098" t="s">
        <v>2352</v>
      </c>
      <c r="BE55" s="1245"/>
      <c r="BF55" s="1267"/>
    </row>
    <row r="56" spans="1:59" ht="12.75" customHeight="1" x14ac:dyDescent="0.2">
      <c r="A56" s="1534" t="s">
        <v>2369</v>
      </c>
      <c r="B56" s="1534"/>
      <c r="C56" s="1101"/>
      <c r="D56" s="1127">
        <f t="shared" ref="D56:Q56" si="36">D23*1.005*(D24-D27)</f>
        <v>2.4119999999999999</v>
      </c>
      <c r="E56" s="1127">
        <f t="shared" si="36"/>
        <v>3.4009199999999997</v>
      </c>
      <c r="F56" s="1127">
        <f t="shared" si="36"/>
        <v>4.24512</v>
      </c>
      <c r="G56" s="1127">
        <f t="shared" si="36"/>
        <v>5.0651999999999981</v>
      </c>
      <c r="H56" s="1127">
        <f t="shared" si="36"/>
        <v>5.8611599999999999</v>
      </c>
      <c r="I56" s="1127">
        <f t="shared" si="36"/>
        <v>5.2460999999999993</v>
      </c>
      <c r="J56" s="1127">
        <f t="shared" si="36"/>
        <v>6.7053599999999989</v>
      </c>
      <c r="K56" s="1127">
        <f t="shared" si="36"/>
        <v>8.019899999999998</v>
      </c>
      <c r="L56" s="1127">
        <f t="shared" si="36"/>
        <v>3.18384</v>
      </c>
      <c r="M56" s="1127">
        <f t="shared" si="36"/>
        <v>4.0039199999999999</v>
      </c>
      <c r="N56" s="1127">
        <f t="shared" si="36"/>
        <v>4.7636999999999983</v>
      </c>
      <c r="O56" s="1127">
        <f t="shared" si="36"/>
        <v>2.8943999999999996</v>
      </c>
      <c r="P56" s="1127">
        <f t="shared" si="36"/>
        <v>3.6179999999999994</v>
      </c>
      <c r="Q56" s="1127">
        <f t="shared" si="36"/>
        <v>4.4018999999999995</v>
      </c>
      <c r="R56" s="1098" t="s">
        <v>2370</v>
      </c>
      <c r="BE56" s="1245"/>
      <c r="BF56" s="1267"/>
    </row>
    <row r="57" spans="1:59" ht="12.75" customHeight="1" x14ac:dyDescent="0.2">
      <c r="A57" s="1530" t="s">
        <v>2371</v>
      </c>
      <c r="B57" s="1530"/>
      <c r="C57" s="1530"/>
      <c r="D57" s="1099">
        <f>D55-D56</f>
        <v>1.3799999999999994</v>
      </c>
      <c r="E57" s="1099">
        <f t="shared" ref="E57:Q57" si="37">E55-E56</f>
        <v>1.7830799999999996</v>
      </c>
      <c r="F57" s="1099">
        <f t="shared" si="37"/>
        <v>1.75488</v>
      </c>
      <c r="G57" s="1099">
        <f t="shared" si="37"/>
        <v>1.9548000000000032</v>
      </c>
      <c r="H57" s="1099">
        <f t="shared" si="37"/>
        <v>1.9868399999999991</v>
      </c>
      <c r="I57" s="1099">
        <f t="shared" si="37"/>
        <v>1.089900000000001</v>
      </c>
      <c r="J57" s="1099">
        <f t="shared" si="37"/>
        <v>0.97464000000000084</v>
      </c>
      <c r="K57" s="1099">
        <f t="shared" si="37"/>
        <v>0.74010000000000176</v>
      </c>
      <c r="L57" s="1099">
        <f t="shared" si="37"/>
        <v>5.6159999999999766E-2</v>
      </c>
      <c r="M57" s="1099">
        <f t="shared" si="37"/>
        <v>7.6080000000000148E-2</v>
      </c>
      <c r="N57" s="1099">
        <f t="shared" si="37"/>
        <v>9.6299999999998498E-2</v>
      </c>
      <c r="O57" s="1099">
        <f t="shared" si="37"/>
        <v>0.7776000000000014</v>
      </c>
      <c r="P57" s="1099">
        <f t="shared" si="37"/>
        <v>0.79800000000000182</v>
      </c>
      <c r="Q57" s="1099">
        <f t="shared" si="37"/>
        <v>0.75810000000000155</v>
      </c>
      <c r="R57" s="1098" t="s">
        <v>2354</v>
      </c>
      <c r="BE57" s="1245"/>
      <c r="BF57" s="1267"/>
    </row>
    <row r="58" spans="1:59" ht="12.75" customHeight="1" x14ac:dyDescent="0.2">
      <c r="A58" s="1534" t="s">
        <v>2372</v>
      </c>
      <c r="B58" s="1534"/>
      <c r="C58" s="1101"/>
      <c r="D58" s="1268">
        <f>D56/D55</f>
        <v>0.63607594936708867</v>
      </c>
      <c r="E58" s="1268">
        <f t="shared" ref="E58:Q58" si="38">E56/E55</f>
        <v>0.65604166666666675</v>
      </c>
      <c r="F58" s="1268">
        <f t="shared" si="38"/>
        <v>0.70752000000000004</v>
      </c>
      <c r="G58" s="1268">
        <f t="shared" si="38"/>
        <v>0.72153846153846113</v>
      </c>
      <c r="H58" s="1268">
        <f t="shared" si="38"/>
        <v>0.74683486238532115</v>
      </c>
      <c r="I58" s="1268">
        <f t="shared" si="38"/>
        <v>0.82798295454545445</v>
      </c>
      <c r="J58" s="1268">
        <f t="shared" si="38"/>
        <v>0.87309374999999989</v>
      </c>
      <c r="K58" s="1268">
        <f t="shared" si="38"/>
        <v>0.91551369863013676</v>
      </c>
      <c r="L58" s="1268">
        <f t="shared" si="38"/>
        <v>0.98266666666666669</v>
      </c>
      <c r="M58" s="1268">
        <f t="shared" si="38"/>
        <v>0.98135294117647054</v>
      </c>
      <c r="N58" s="1268">
        <f t="shared" si="38"/>
        <v>0.98018518518518549</v>
      </c>
      <c r="O58" s="1268">
        <f t="shared" si="38"/>
        <v>0.7882352941176467</v>
      </c>
      <c r="P58" s="1268">
        <f t="shared" si="38"/>
        <v>0.81929347826086918</v>
      </c>
      <c r="Q58" s="1268">
        <f t="shared" si="38"/>
        <v>0.85308139534883698</v>
      </c>
    </row>
    <row r="59" spans="1:59" ht="12.75" customHeight="1" x14ac:dyDescent="0.2">
      <c r="A59" s="1530" t="s">
        <v>2373</v>
      </c>
      <c r="B59" s="1530"/>
      <c r="C59" s="1530"/>
    </row>
    <row r="60" spans="1:59" ht="12.75" customHeight="1" x14ac:dyDescent="0.2">
      <c r="A60" s="1534" t="s">
        <v>2374</v>
      </c>
      <c r="B60" s="1534"/>
      <c r="C60" s="1101"/>
      <c r="D60" s="1099">
        <f>D35</f>
        <v>0.18</v>
      </c>
      <c r="E60" s="1099">
        <f t="shared" ref="E60:Q60" si="39">E35</f>
        <v>0.25</v>
      </c>
      <c r="F60" s="1099">
        <f t="shared" si="39"/>
        <v>0.28999999999999998</v>
      </c>
      <c r="G60" s="1099">
        <f t="shared" si="39"/>
        <v>0.34</v>
      </c>
      <c r="H60" s="1099">
        <f t="shared" si="39"/>
        <v>0.37</v>
      </c>
      <c r="I60" s="1099">
        <f t="shared" si="39"/>
        <v>0.3</v>
      </c>
      <c r="J60" s="1099">
        <f t="shared" si="39"/>
        <v>0.37</v>
      </c>
      <c r="K60" s="1099">
        <f t="shared" si="39"/>
        <v>0.42</v>
      </c>
      <c r="L60" s="1099">
        <f t="shared" si="39"/>
        <v>0.15</v>
      </c>
      <c r="M60" s="1099">
        <f t="shared" si="39"/>
        <v>0.19</v>
      </c>
      <c r="N60" s="1099">
        <f t="shared" si="39"/>
        <v>0.23</v>
      </c>
      <c r="O60" s="1099">
        <f t="shared" si="39"/>
        <v>0.18</v>
      </c>
      <c r="P60" s="1099">
        <f t="shared" si="39"/>
        <v>0.21</v>
      </c>
      <c r="Q60" s="1099">
        <f t="shared" si="39"/>
        <v>0.25</v>
      </c>
      <c r="R60" s="1098" t="s">
        <v>2375</v>
      </c>
      <c r="BE60" s="1105">
        <f t="array" ref="BE60:BF60">LINEST(LN(AC12:AP12),LN(AC23:AP23))</f>
        <v>3.7455860807695958</v>
      </c>
      <c r="BF60" s="1098">
        <v>-5.0664363774114847</v>
      </c>
      <c r="BG60" s="1105">
        <f>EXP(BF60)</f>
        <v>6.3048482540556229E-3</v>
      </c>
    </row>
    <row r="61" spans="1:59" ht="12.75" customHeight="1" x14ac:dyDescent="0.2">
      <c r="A61" s="1530" t="s">
        <v>2376</v>
      </c>
      <c r="B61" s="1530"/>
      <c r="C61" s="1530"/>
      <c r="D61" s="1150"/>
      <c r="E61" s="1101"/>
      <c r="F61" s="1101"/>
      <c r="G61" s="1101"/>
    </row>
    <row r="62" spans="1:59" ht="14" customHeight="1" x14ac:dyDescent="0.2">
      <c r="A62" s="1534" t="s">
        <v>2377</v>
      </c>
      <c r="B62" s="1534"/>
      <c r="C62" s="1101"/>
      <c r="D62" s="1269">
        <v>0.2</v>
      </c>
      <c r="E62" s="1270">
        <v>0.3</v>
      </c>
      <c r="F62" s="1270">
        <v>0.4</v>
      </c>
      <c r="G62" s="1270">
        <v>0.5</v>
      </c>
      <c r="H62" s="1271">
        <v>0.6</v>
      </c>
      <c r="I62" s="1272">
        <v>0.3</v>
      </c>
      <c r="J62" s="1273">
        <v>0.4</v>
      </c>
      <c r="K62" s="1271">
        <v>0.5</v>
      </c>
      <c r="L62" s="1272">
        <v>0.3</v>
      </c>
      <c r="M62" s="1273">
        <v>0.4</v>
      </c>
      <c r="N62" s="1271">
        <v>0.5</v>
      </c>
      <c r="O62" s="1272">
        <v>0.3</v>
      </c>
      <c r="P62" s="1273">
        <v>0.4</v>
      </c>
      <c r="Q62" s="1271">
        <v>0.5</v>
      </c>
    </row>
    <row r="63" spans="1:59" ht="13.5" customHeight="1" x14ac:dyDescent="0.2">
      <c r="A63" s="1153"/>
      <c r="B63" s="1153"/>
      <c r="C63" s="1153"/>
      <c r="D63" s="1274">
        <f t="shared" ref="D63:G63" si="40">D21</f>
        <v>3.8</v>
      </c>
      <c r="E63" s="1275">
        <f t="shared" si="40"/>
        <v>5.2</v>
      </c>
      <c r="F63" s="1275">
        <f t="shared" si="40"/>
        <v>6</v>
      </c>
      <c r="G63" s="1275">
        <f t="shared" si="40"/>
        <v>7</v>
      </c>
      <c r="H63" s="1276">
        <f>H21</f>
        <v>7.8</v>
      </c>
      <c r="I63" s="1274">
        <f>I21</f>
        <v>6.3</v>
      </c>
      <c r="J63" s="1275">
        <f t="shared" ref="J63:K63" si="41">J21</f>
        <v>7.7</v>
      </c>
      <c r="K63" s="1276">
        <f t="shared" si="41"/>
        <v>8.8000000000000007</v>
      </c>
      <c r="L63" s="1274">
        <f>L21</f>
        <v>3.2</v>
      </c>
      <c r="M63" s="1275">
        <f t="shared" ref="M63:Q63" si="42">M21</f>
        <v>4.0999999999999996</v>
      </c>
      <c r="N63" s="1276">
        <f t="shared" si="42"/>
        <v>4.9000000000000004</v>
      </c>
      <c r="O63" s="1274">
        <f t="shared" si="42"/>
        <v>3.7</v>
      </c>
      <c r="P63" s="1275">
        <f t="shared" si="42"/>
        <v>4.4000000000000004</v>
      </c>
      <c r="Q63" s="1276">
        <f t="shared" si="42"/>
        <v>5.2</v>
      </c>
      <c r="R63" s="1153"/>
      <c r="S63" s="1153"/>
      <c r="T63" s="1153"/>
      <c r="U63" s="1153"/>
      <c r="V63" s="1153"/>
    </row>
    <row r="64" spans="1:59" ht="13.5" customHeight="1" x14ac:dyDescent="0.2">
      <c r="A64" s="1153" t="s">
        <v>2326</v>
      </c>
      <c r="B64" s="1153" t="s">
        <v>2238</v>
      </c>
      <c r="C64" s="1153"/>
      <c r="D64" s="1171">
        <f>1.293*273.15/(D24+273.15)</f>
        <v>1.1845814187489518</v>
      </c>
      <c r="E64" s="1172">
        <f t="shared" ref="E64:Q65" si="43">1.293*273.15/(E28+273.15)</f>
        <v>0.94649055339675725</v>
      </c>
      <c r="F64" s="1172">
        <f t="shared" si="43"/>
        <v>0.94903385731559842</v>
      </c>
      <c r="G64" s="1172">
        <f t="shared" si="43"/>
        <v>0.94903385731559842</v>
      </c>
      <c r="H64" s="1173">
        <f t="shared" si="43"/>
        <v>0.95159086622659295</v>
      </c>
      <c r="I64" s="1171">
        <f t="shared" si="43"/>
        <v>0.94903385731559842</v>
      </c>
      <c r="J64" s="1172">
        <f t="shared" si="43"/>
        <v>0.95159086622659295</v>
      </c>
      <c r="K64" s="1173">
        <f t="shared" si="43"/>
        <v>0.9541616912062677</v>
      </c>
      <c r="L64" s="1171">
        <f t="shared" si="43"/>
        <v>0.98338563274397872</v>
      </c>
      <c r="M64" s="1172">
        <f t="shared" si="43"/>
        <v>0.99166910009827314</v>
      </c>
      <c r="N64" s="1173">
        <f t="shared" si="43"/>
        <v>0.99726937738246502</v>
      </c>
      <c r="O64" s="1171">
        <f t="shared" si="43"/>
        <v>0.94903385731559842</v>
      </c>
      <c r="P64" s="1172">
        <f t="shared" si="43"/>
        <v>0.95159086622659295</v>
      </c>
      <c r="Q64" s="1173">
        <f t="shared" si="43"/>
        <v>0.95159086622659295</v>
      </c>
      <c r="R64" s="1153"/>
      <c r="S64" s="1153"/>
      <c r="T64" s="1153"/>
      <c r="U64" s="1153"/>
      <c r="V64" s="1153"/>
    </row>
    <row r="65" spans="1:39" ht="13.5" customHeight="1" x14ac:dyDescent="0.2">
      <c r="A65" s="1153" t="s">
        <v>2327</v>
      </c>
      <c r="B65" s="1153" t="s">
        <v>2238</v>
      </c>
      <c r="C65" s="1153"/>
      <c r="D65" s="1174">
        <f>1.293*273.15/(D27+273.15)</f>
        <v>1.2256913066111399</v>
      </c>
      <c r="E65" s="1153">
        <f t="shared" si="43"/>
        <v>1.1150211523283344</v>
      </c>
      <c r="F65" s="1153">
        <f t="shared" si="43"/>
        <v>1.1083726659344106</v>
      </c>
      <c r="G65" s="1153">
        <f t="shared" si="43"/>
        <v>1.105596963531069</v>
      </c>
      <c r="H65" s="1175">
        <f t="shared" si="43"/>
        <v>1.1028351288056204</v>
      </c>
      <c r="I65" s="1174">
        <f t="shared" si="43"/>
        <v>1.1167840316205533</v>
      </c>
      <c r="J65" s="1153">
        <f t="shared" si="43"/>
        <v>1.1111623407267579</v>
      </c>
      <c r="K65" s="1175">
        <f t="shared" si="43"/>
        <v>1.1062895849647609</v>
      </c>
      <c r="L65" s="1174">
        <f t="shared" si="43"/>
        <v>1.1231768166640164</v>
      </c>
      <c r="M65" s="1153">
        <f t="shared" si="43"/>
        <v>1.1213937132878233</v>
      </c>
      <c r="N65" s="1175">
        <f t="shared" si="43"/>
        <v>1.1199713017282384</v>
      </c>
      <c r="O65" s="1174">
        <f t="shared" si="43"/>
        <v>1.100429817728618</v>
      </c>
      <c r="P65" s="1153">
        <f t="shared" si="43"/>
        <v>1.0970118030750116</v>
      </c>
      <c r="Q65" s="1175">
        <f t="shared" si="43"/>
        <v>1.0949711672608897</v>
      </c>
      <c r="R65" s="1153"/>
      <c r="S65" s="1153"/>
      <c r="T65" s="1153"/>
      <c r="U65" s="1153"/>
      <c r="V65" s="1153"/>
    </row>
    <row r="66" spans="1:39" ht="13.5" customHeight="1" x14ac:dyDescent="0.2">
      <c r="A66" s="1101" t="s">
        <v>2378</v>
      </c>
      <c r="B66" s="1098" t="s">
        <v>496</v>
      </c>
      <c r="C66" s="1153"/>
      <c r="D66" s="1277">
        <f>D24-D34</f>
        <v>13</v>
      </c>
      <c r="E66" s="1150">
        <f t="shared" ref="E66:Q66" si="44">E24-E34</f>
        <v>13</v>
      </c>
      <c r="F66" s="1150">
        <f t="shared" si="44"/>
        <v>13</v>
      </c>
      <c r="G66" s="1150">
        <f t="shared" si="44"/>
        <v>13</v>
      </c>
      <c r="H66" s="1150">
        <f t="shared" si="44"/>
        <v>13</v>
      </c>
      <c r="I66" s="1277">
        <f t="shared" si="44"/>
        <v>18</v>
      </c>
      <c r="J66" s="1150">
        <f t="shared" si="44"/>
        <v>18</v>
      </c>
      <c r="K66" s="1150">
        <f t="shared" si="44"/>
        <v>18</v>
      </c>
      <c r="L66" s="1277">
        <f t="shared" si="44"/>
        <v>10</v>
      </c>
      <c r="M66" s="1150">
        <f t="shared" si="44"/>
        <v>10</v>
      </c>
      <c r="N66" s="1278">
        <f t="shared" si="44"/>
        <v>10</v>
      </c>
      <c r="O66" s="1277">
        <f t="shared" si="44"/>
        <v>10</v>
      </c>
      <c r="P66" s="1150">
        <f t="shared" si="44"/>
        <v>10</v>
      </c>
      <c r="Q66" s="1278">
        <f t="shared" si="44"/>
        <v>10</v>
      </c>
      <c r="R66" s="1153"/>
      <c r="S66" s="1153"/>
      <c r="T66" s="1153"/>
      <c r="U66" s="1153"/>
      <c r="V66" s="1153"/>
    </row>
    <row r="67" spans="1:39" ht="13.5" customHeight="1" x14ac:dyDescent="0.2">
      <c r="A67" s="1101" t="s">
        <v>2379</v>
      </c>
      <c r="B67" s="1153" t="s">
        <v>496</v>
      </c>
      <c r="C67" s="1153"/>
      <c r="D67" s="1277">
        <f>D27-D33</f>
        <v>8</v>
      </c>
      <c r="E67" s="1150">
        <f t="shared" ref="E67:Q67" si="45">E27-E33</f>
        <v>8.6</v>
      </c>
      <c r="F67" s="1150">
        <f t="shared" si="45"/>
        <v>9.1999999999999993</v>
      </c>
      <c r="G67" s="1150">
        <f t="shared" si="45"/>
        <v>9.6000000000000014</v>
      </c>
      <c r="H67" s="1150">
        <f t="shared" si="45"/>
        <v>9.8999999999999986</v>
      </c>
      <c r="I67" s="1277">
        <f t="shared" si="45"/>
        <v>8.5</v>
      </c>
      <c r="J67" s="1150">
        <f t="shared" si="45"/>
        <v>9.1000000000000014</v>
      </c>
      <c r="K67" s="1150">
        <f t="shared" si="45"/>
        <v>9.6999999999999993</v>
      </c>
      <c r="L67" s="1277">
        <f t="shared" si="45"/>
        <v>6.1999999999999993</v>
      </c>
      <c r="M67" s="1150">
        <f t="shared" si="45"/>
        <v>6.6999999999999993</v>
      </c>
      <c r="N67" s="1278">
        <f t="shared" si="45"/>
        <v>7.1000000000000014</v>
      </c>
      <c r="O67" s="1277">
        <f t="shared" si="45"/>
        <v>7</v>
      </c>
      <c r="P67" s="1150">
        <f t="shared" si="45"/>
        <v>7.5</v>
      </c>
      <c r="Q67" s="1278">
        <f t="shared" si="45"/>
        <v>7.6999999999999993</v>
      </c>
      <c r="R67" s="1153"/>
      <c r="S67" s="1153"/>
      <c r="T67" s="1153"/>
      <c r="U67" s="1153"/>
      <c r="V67" s="1153"/>
    </row>
    <row r="68" spans="1:39" ht="13.5" customHeight="1" x14ac:dyDescent="0.2">
      <c r="A68" s="1153" t="s">
        <v>2380</v>
      </c>
      <c r="B68" s="1153" t="s">
        <v>496</v>
      </c>
      <c r="C68" s="1153"/>
      <c r="D68" s="1279">
        <f>(D66-D67)/LN(D66/D67)</f>
        <v>10.298495384568954</v>
      </c>
      <c r="E68" s="1279">
        <f t="shared" ref="E68:Q68" si="46">(E66-E67)/LN(E66/E67)</f>
        <v>10.64892738133897</v>
      </c>
      <c r="F68" s="1279">
        <f t="shared" si="46"/>
        <v>10.990731321127887</v>
      </c>
      <c r="G68" s="1279">
        <f t="shared" si="46"/>
        <v>11.214228545025904</v>
      </c>
      <c r="H68" s="1279">
        <f t="shared" si="46"/>
        <v>11.379713115035672</v>
      </c>
      <c r="I68" s="1279">
        <f t="shared" si="46"/>
        <v>12.661507618903265</v>
      </c>
      <c r="J68" s="1279">
        <f t="shared" si="46"/>
        <v>13.0479909845953</v>
      </c>
      <c r="K68" s="1279">
        <f t="shared" si="46"/>
        <v>13.425079520477267</v>
      </c>
      <c r="L68" s="1279">
        <f t="shared" si="46"/>
        <v>7.9491954211460945</v>
      </c>
      <c r="M68" s="1279">
        <f t="shared" si="46"/>
        <v>8.2401619347626358</v>
      </c>
      <c r="N68" s="1279">
        <f t="shared" si="46"/>
        <v>8.4673928699415235</v>
      </c>
      <c r="O68" s="1279">
        <f t="shared" si="46"/>
        <v>8.4110197561713864</v>
      </c>
      <c r="P68" s="1279">
        <f t="shared" si="46"/>
        <v>8.6901487419555199</v>
      </c>
      <c r="Q68" s="1280">
        <f t="shared" si="46"/>
        <v>8.7999620286123115</v>
      </c>
      <c r="R68" s="1153"/>
      <c r="S68" s="1153"/>
      <c r="T68" s="1153"/>
      <c r="U68" s="1153"/>
      <c r="V68" s="1153"/>
    </row>
    <row r="69" spans="1:39" ht="13.5" customHeight="1" x14ac:dyDescent="0.2">
      <c r="A69" s="1153" t="s">
        <v>2329</v>
      </c>
      <c r="B69" s="1153" t="s">
        <v>496</v>
      </c>
      <c r="C69" s="1153"/>
      <c r="D69" s="1281">
        <f>AVERAGE(D24,D27)-AVERAGE(D33:D34)</f>
        <v>10.5</v>
      </c>
      <c r="E69" s="1281">
        <f t="shared" ref="E69:Q69" si="47">AVERAGE(E24,E27)-AVERAGE(E33:E34)</f>
        <v>10.8</v>
      </c>
      <c r="F69" s="1281">
        <f t="shared" si="47"/>
        <v>11.100000000000001</v>
      </c>
      <c r="G69" s="1281">
        <f t="shared" si="47"/>
        <v>11.3</v>
      </c>
      <c r="H69" s="1281">
        <f t="shared" si="47"/>
        <v>11.45</v>
      </c>
      <c r="I69" s="1281">
        <f t="shared" si="47"/>
        <v>13.25</v>
      </c>
      <c r="J69" s="1281">
        <f t="shared" si="47"/>
        <v>13.55</v>
      </c>
      <c r="K69" s="1281">
        <f t="shared" si="47"/>
        <v>13.850000000000001</v>
      </c>
      <c r="L69" s="1281">
        <f t="shared" si="47"/>
        <v>8.1000000000000014</v>
      </c>
      <c r="M69" s="1281">
        <f t="shared" si="47"/>
        <v>8.3500000000000014</v>
      </c>
      <c r="N69" s="1282">
        <f t="shared" si="47"/>
        <v>8.5500000000000007</v>
      </c>
      <c r="O69" s="1281">
        <f t="shared" si="47"/>
        <v>8.5</v>
      </c>
      <c r="P69" s="1281">
        <f t="shared" si="47"/>
        <v>8.75</v>
      </c>
      <c r="Q69" s="1282">
        <f t="shared" si="47"/>
        <v>8.8500000000000014</v>
      </c>
      <c r="R69" s="1153"/>
      <c r="S69" s="1153"/>
      <c r="T69" s="1153"/>
      <c r="U69" s="1153"/>
      <c r="V69" s="1153"/>
    </row>
    <row r="70" spans="1:39" ht="13.5" customHeight="1" x14ac:dyDescent="0.2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  <c r="L70" s="1153"/>
      <c r="M70" s="1153"/>
      <c r="N70" s="1153"/>
      <c r="O70" s="1153"/>
      <c r="P70" s="1153"/>
      <c r="Q70" s="1153"/>
      <c r="R70" s="1153"/>
      <c r="S70" s="1153"/>
      <c r="T70" s="1153"/>
      <c r="U70" s="1153"/>
      <c r="V70" s="1153"/>
    </row>
    <row r="71" spans="1:39" ht="13.5" customHeight="1" x14ac:dyDescent="0.2">
      <c r="A71" s="1153" t="s">
        <v>2381</v>
      </c>
      <c r="B71" s="1153"/>
      <c r="C71" s="1153"/>
      <c r="D71" s="1283">
        <f>AVERAGE(D33:D34)</f>
        <v>9.5</v>
      </c>
      <c r="E71" s="1284">
        <f t="shared" ref="E71:Q71" si="48">AVERAGE(E33:E34)</f>
        <v>9.5</v>
      </c>
      <c r="F71" s="1284">
        <f t="shared" si="48"/>
        <v>9.5</v>
      </c>
      <c r="G71" s="1284">
        <f t="shared" si="48"/>
        <v>9.5</v>
      </c>
      <c r="H71" s="1284">
        <f t="shared" si="48"/>
        <v>9.5</v>
      </c>
      <c r="I71" s="1284">
        <f t="shared" si="48"/>
        <v>9.5</v>
      </c>
      <c r="J71" s="1284">
        <f t="shared" si="48"/>
        <v>9.5</v>
      </c>
      <c r="K71" s="1285">
        <f t="shared" si="48"/>
        <v>9.5</v>
      </c>
      <c r="L71" s="1283">
        <f t="shared" si="48"/>
        <v>12.5</v>
      </c>
      <c r="M71" s="1284">
        <f t="shared" si="48"/>
        <v>12.5</v>
      </c>
      <c r="N71" s="1285">
        <f t="shared" si="48"/>
        <v>12.5</v>
      </c>
      <c r="O71" s="1283">
        <f t="shared" si="48"/>
        <v>12.5</v>
      </c>
      <c r="P71" s="1284">
        <f t="shared" si="48"/>
        <v>12.5</v>
      </c>
      <c r="Q71" s="1285">
        <f t="shared" si="48"/>
        <v>12.5</v>
      </c>
      <c r="R71" s="1153"/>
      <c r="S71" s="1153"/>
      <c r="T71" s="1153"/>
      <c r="U71" s="1153"/>
      <c r="V71" s="1153"/>
    </row>
    <row r="72" spans="1:39" ht="13.5" customHeight="1" x14ac:dyDescent="0.2">
      <c r="A72" s="1153" t="s">
        <v>2382</v>
      </c>
      <c r="B72" s="1153"/>
      <c r="C72" s="1153"/>
      <c r="D72" s="1281">
        <f>D77/D78</f>
        <v>17.952310732769277</v>
      </c>
      <c r="E72" s="1286">
        <f t="shared" ref="E72:Q72" si="49">E77/E78</f>
        <v>17.952310732769277</v>
      </c>
      <c r="F72" s="1286">
        <f t="shared" si="49"/>
        <v>17.952310732769277</v>
      </c>
      <c r="G72" s="1286">
        <f t="shared" si="49"/>
        <v>17.952310732769277</v>
      </c>
      <c r="H72" s="1286">
        <f t="shared" si="49"/>
        <v>17.952310732769277</v>
      </c>
      <c r="I72" s="1286">
        <f t="shared" si="49"/>
        <v>16.750216472477977</v>
      </c>
      <c r="J72" s="1286">
        <f t="shared" si="49"/>
        <v>16.750216472477977</v>
      </c>
      <c r="K72" s="1287">
        <f t="shared" si="49"/>
        <v>16.750216472477977</v>
      </c>
      <c r="L72" s="1281">
        <f t="shared" si="49"/>
        <v>13.842291097036892</v>
      </c>
      <c r="M72" s="1286">
        <f t="shared" si="49"/>
        <v>13.842291097036892</v>
      </c>
      <c r="N72" s="1287">
        <f t="shared" si="49"/>
        <v>13.842291097036892</v>
      </c>
      <c r="O72" s="1281">
        <f t="shared" si="49"/>
        <v>17.952310732769277</v>
      </c>
      <c r="P72" s="1286">
        <f t="shared" si="49"/>
        <v>17.952310732769277</v>
      </c>
      <c r="Q72" s="1287">
        <f t="shared" si="49"/>
        <v>17.952310732769277</v>
      </c>
      <c r="R72" s="1153"/>
      <c r="S72" s="1153"/>
      <c r="T72" s="1153"/>
      <c r="U72" s="1153"/>
      <c r="V72" s="1153"/>
    </row>
    <row r="73" spans="1:39" ht="13.5" customHeight="1" x14ac:dyDescent="0.2">
      <c r="A73" s="1153"/>
      <c r="D73" s="1535" t="s">
        <v>2383</v>
      </c>
      <c r="E73" s="1536"/>
      <c r="F73" s="1536"/>
      <c r="G73" s="1536"/>
      <c r="H73" s="1536"/>
      <c r="I73" s="1536"/>
      <c r="J73" s="1536"/>
      <c r="K73" s="1537"/>
      <c r="L73" s="1531" t="str">
        <f>CONCATENATE(ROUND((L72-L33)/(L34-L33)*100,0)," % kondensoiva")</f>
        <v>77 % kondensoiva</v>
      </c>
      <c r="M73" s="1532"/>
      <c r="N73" s="1533"/>
      <c r="O73" s="1531" t="s">
        <v>2383</v>
      </c>
      <c r="P73" s="1532"/>
      <c r="Q73" s="1533"/>
      <c r="R73" s="1153"/>
      <c r="S73" s="1153"/>
      <c r="T73" s="1153"/>
      <c r="U73" s="1153"/>
      <c r="V73" s="1153"/>
    </row>
    <row r="74" spans="1:39" ht="13.5" customHeight="1" x14ac:dyDescent="0.2">
      <c r="A74" s="1153"/>
      <c r="E74" s="1153"/>
      <c r="F74" s="1153"/>
      <c r="G74" s="1153"/>
      <c r="H74" s="1153"/>
      <c r="I74" s="1153"/>
      <c r="J74" s="1153"/>
      <c r="K74" s="1153"/>
      <c r="L74" s="1153"/>
      <c r="M74" s="1153"/>
      <c r="N74" s="1153"/>
      <c r="O74" s="1153"/>
      <c r="P74" s="1153"/>
      <c r="Q74" s="1153"/>
      <c r="R74" s="1153"/>
      <c r="S74" s="1153"/>
      <c r="T74" s="1153"/>
      <c r="U74" s="1153"/>
      <c r="V74" s="1153"/>
      <c r="AD74" s="1105">
        <f t="array" ref="AD74:AE74">LINEST(LN(D31:Q31),LN(D22:Q22))</f>
        <v>1.7179772051600481</v>
      </c>
      <c r="AE74" s="1098">
        <v>4.371949284871385</v>
      </c>
      <c r="AF74" s="1105">
        <f>EXP(AE74)</f>
        <v>79.197860524137553</v>
      </c>
      <c r="AK74" s="1105">
        <f t="array" ref="AK74:AL74">LINEST(LN(D37:Q37),LN(D35:Q35))</f>
        <v>1.8729096854656782</v>
      </c>
      <c r="AL74" s="1098">
        <v>4.471039087159018</v>
      </c>
      <c r="AM74" s="1105">
        <f>EXP(AL74)</f>
        <v>87.447541438536419</v>
      </c>
    </row>
    <row r="75" spans="1:39" ht="13.5" customHeight="1" x14ac:dyDescent="0.2">
      <c r="A75" s="1153"/>
      <c r="E75" s="1153"/>
      <c r="F75" s="1153"/>
      <c r="G75" s="1153"/>
      <c r="H75" s="1153"/>
      <c r="I75" s="1153"/>
      <c r="J75" s="1153"/>
      <c r="K75" s="1153"/>
      <c r="L75" s="1153"/>
      <c r="M75" s="1153"/>
      <c r="N75" s="1153"/>
      <c r="O75" s="1153"/>
      <c r="P75" s="1153"/>
      <c r="Q75" s="1153"/>
      <c r="R75" s="1153"/>
      <c r="S75" s="1153"/>
      <c r="T75" s="1153"/>
      <c r="U75" s="1153"/>
      <c r="V75" s="1153"/>
    </row>
    <row r="76" spans="1:39" ht="13.5" customHeight="1" x14ac:dyDescent="0.2">
      <c r="A76" s="1153"/>
      <c r="B76" s="1153"/>
      <c r="C76" s="1153" t="s">
        <v>2384</v>
      </c>
      <c r="D76" s="1153">
        <f>LN(D25/100)+(17.27*D24)/(237.7+D24)</f>
        <v>1.2127267907975345</v>
      </c>
      <c r="E76" s="1153">
        <f t="shared" ref="E76:Q76" si="50">LN(E25/100)+(17.27*E24)/(237.7+E24)</f>
        <v>1.2127267907975345</v>
      </c>
      <c r="F76" s="1153">
        <f t="shared" si="50"/>
        <v>1.2127267907975345</v>
      </c>
      <c r="G76" s="1153">
        <f t="shared" si="50"/>
        <v>1.2127267907975345</v>
      </c>
      <c r="H76" s="1153">
        <f t="shared" si="50"/>
        <v>1.2127267907975345</v>
      </c>
      <c r="I76" s="1153">
        <f t="shared" si="50"/>
        <v>1.136867724028773</v>
      </c>
      <c r="J76" s="1153">
        <f t="shared" si="50"/>
        <v>1.136867724028773</v>
      </c>
      <c r="K76" s="1153">
        <f t="shared" si="50"/>
        <v>1.136867724028773</v>
      </c>
      <c r="L76" s="1153">
        <f t="shared" si="50"/>
        <v>0.95036252633004337</v>
      </c>
      <c r="M76" s="1153">
        <f t="shared" si="50"/>
        <v>0.95036252633004337</v>
      </c>
      <c r="N76" s="1153">
        <f t="shared" si="50"/>
        <v>0.95036252633004337</v>
      </c>
      <c r="O76" s="1153">
        <f t="shared" si="50"/>
        <v>1.2127267907975345</v>
      </c>
      <c r="P76" s="1153">
        <f t="shared" si="50"/>
        <v>1.2127267907975345</v>
      </c>
      <c r="Q76" s="1153">
        <f t="shared" si="50"/>
        <v>1.2127267907975345</v>
      </c>
      <c r="R76" s="1153"/>
      <c r="S76" s="1153"/>
      <c r="T76" s="1153"/>
      <c r="U76" s="1153"/>
      <c r="V76" s="1153"/>
    </row>
    <row r="77" spans="1:39" ht="13.5" customHeight="1" x14ac:dyDescent="0.2">
      <c r="B77" s="1153"/>
      <c r="C77" s="1153"/>
      <c r="D77" s="1153">
        <f>237.7*D76</f>
        <v>288.26515817257393</v>
      </c>
      <c r="E77" s="1153">
        <f t="shared" ref="E77:Q77" si="51">237.7*E76</f>
        <v>288.26515817257393</v>
      </c>
      <c r="F77" s="1153">
        <f t="shared" si="51"/>
        <v>288.26515817257393</v>
      </c>
      <c r="G77" s="1153">
        <f t="shared" si="51"/>
        <v>288.26515817257393</v>
      </c>
      <c r="H77" s="1153">
        <f t="shared" si="51"/>
        <v>288.26515817257393</v>
      </c>
      <c r="I77" s="1153">
        <f t="shared" si="51"/>
        <v>270.23345800163935</v>
      </c>
      <c r="J77" s="1153">
        <f t="shared" si="51"/>
        <v>270.23345800163935</v>
      </c>
      <c r="K77" s="1153">
        <f t="shared" si="51"/>
        <v>270.23345800163935</v>
      </c>
      <c r="L77" s="1153">
        <f t="shared" si="51"/>
        <v>225.90117250865129</v>
      </c>
      <c r="M77" s="1153">
        <f t="shared" si="51"/>
        <v>225.90117250865129</v>
      </c>
      <c r="N77" s="1153">
        <f t="shared" si="51"/>
        <v>225.90117250865129</v>
      </c>
      <c r="O77" s="1153">
        <f t="shared" si="51"/>
        <v>288.26515817257393</v>
      </c>
      <c r="P77" s="1153">
        <f t="shared" si="51"/>
        <v>288.26515817257393</v>
      </c>
      <c r="Q77" s="1153">
        <f t="shared" si="51"/>
        <v>288.26515817257393</v>
      </c>
    </row>
    <row r="78" spans="1:39" ht="13.5" customHeight="1" x14ac:dyDescent="0.2">
      <c r="B78" s="1153"/>
      <c r="C78" s="1153"/>
      <c r="D78" s="1153">
        <f>17.27-D76</f>
        <v>16.057273209202464</v>
      </c>
      <c r="E78" s="1153">
        <f t="shared" ref="E78:Q78" si="52">17.27-E76</f>
        <v>16.057273209202464</v>
      </c>
      <c r="F78" s="1153">
        <f t="shared" si="52"/>
        <v>16.057273209202464</v>
      </c>
      <c r="G78" s="1153">
        <f t="shared" si="52"/>
        <v>16.057273209202464</v>
      </c>
      <c r="H78" s="1153">
        <f t="shared" si="52"/>
        <v>16.057273209202464</v>
      </c>
      <c r="I78" s="1153">
        <f t="shared" si="52"/>
        <v>16.133132275971228</v>
      </c>
      <c r="J78" s="1153">
        <f t="shared" si="52"/>
        <v>16.133132275971228</v>
      </c>
      <c r="K78" s="1153">
        <f t="shared" si="52"/>
        <v>16.133132275971228</v>
      </c>
      <c r="L78" s="1153">
        <f t="shared" si="52"/>
        <v>16.319637473669957</v>
      </c>
      <c r="M78" s="1153">
        <f t="shared" si="52"/>
        <v>16.319637473669957</v>
      </c>
      <c r="N78" s="1153">
        <f t="shared" si="52"/>
        <v>16.319637473669957</v>
      </c>
      <c r="O78" s="1153">
        <f t="shared" si="52"/>
        <v>16.057273209202464</v>
      </c>
      <c r="P78" s="1153">
        <f t="shared" si="52"/>
        <v>16.057273209202464</v>
      </c>
      <c r="Q78" s="1153">
        <f t="shared" si="52"/>
        <v>16.057273209202464</v>
      </c>
    </row>
    <row r="79" spans="1:39" ht="13.5" customHeight="1" x14ac:dyDescent="0.2"/>
    <row r="80" spans="1:39" ht="13.5" customHeight="1" x14ac:dyDescent="0.2"/>
    <row r="81" spans="2:40" ht="13.5" customHeight="1" x14ac:dyDescent="0.2">
      <c r="D81" s="1105" t="s">
        <v>2385</v>
      </c>
      <c r="Z81" s="1098">
        <f>0.325*AVERAGE(AA85:AA86)</f>
        <v>0.39029640842883462</v>
      </c>
    </row>
    <row r="82" spans="2:40" ht="13.5" customHeight="1" x14ac:dyDescent="0.2">
      <c r="D82" s="1099" t="s">
        <v>289</v>
      </c>
      <c r="E82" s="1099" t="s">
        <v>2253</v>
      </c>
      <c r="F82" s="1099" t="s">
        <v>2386</v>
      </c>
      <c r="G82" s="1099" t="s">
        <v>47</v>
      </c>
      <c r="H82" s="1099" t="s">
        <v>2288</v>
      </c>
      <c r="V82" s="1105" t="s">
        <v>2231</v>
      </c>
      <c r="W82" s="1099"/>
      <c r="X82" s="1099"/>
      <c r="Y82" s="1099"/>
      <c r="Z82" s="1099"/>
    </row>
    <row r="83" spans="2:40" ht="13.5" customHeight="1" x14ac:dyDescent="0.2">
      <c r="D83" s="1099">
        <f>$K$62</f>
        <v>0.5</v>
      </c>
      <c r="E83" s="1145">
        <f>$K$69</f>
        <v>13.850000000000001</v>
      </c>
      <c r="F83" s="1145">
        <f>$K$68</f>
        <v>13.425079520477267</v>
      </c>
      <c r="G83" s="1099">
        <f>$K$63</f>
        <v>8.8000000000000007</v>
      </c>
      <c r="H83" s="1099">
        <f>$K$35</f>
        <v>0.42</v>
      </c>
      <c r="J83" s="1105">
        <f t="array" ref="J83:K83">LINEST(LN(G83:G85),LN(E83:E85))</f>
        <v>1.1760419303578837</v>
      </c>
      <c r="K83" s="1098">
        <v>-0.91252839272430353</v>
      </c>
      <c r="L83" s="1105">
        <f>EXP(K83)</f>
        <v>0.40150777025290152</v>
      </c>
      <c r="V83" s="1099"/>
      <c r="W83" s="1099"/>
      <c r="X83" s="1099"/>
      <c r="Y83" s="1099"/>
      <c r="Z83" s="1099"/>
    </row>
    <row r="84" spans="2:40" ht="13.5" customHeight="1" x14ac:dyDescent="0.25">
      <c r="D84" s="1099">
        <f>$G$62</f>
        <v>0.5</v>
      </c>
      <c r="E84" s="1145">
        <f>$G$69</f>
        <v>11.3</v>
      </c>
      <c r="F84" s="1145">
        <f>$G$68</f>
        <v>11.214228545025904</v>
      </c>
      <c r="G84" s="1099">
        <f>$G$63</f>
        <v>7</v>
      </c>
      <c r="H84" s="1099">
        <f>$G$35</f>
        <v>0.34</v>
      </c>
      <c r="V84" s="1098" t="s">
        <v>485</v>
      </c>
      <c r="W84" s="1099"/>
      <c r="X84" s="1112">
        <f>'C5 Jäähdytys'!E13</f>
        <v>500</v>
      </c>
      <c r="Y84" s="1099" t="s">
        <v>13</v>
      </c>
      <c r="Z84" s="1098" t="s">
        <v>2387</v>
      </c>
      <c r="AA84" s="1099" t="s">
        <v>2234</v>
      </c>
      <c r="AC84" s="1098" t="s">
        <v>2235</v>
      </c>
      <c r="AE84" s="1098" t="s">
        <v>2388</v>
      </c>
      <c r="AG84" s="1098" t="s">
        <v>2389</v>
      </c>
      <c r="AM84" s="1098" t="s">
        <v>2437</v>
      </c>
    </row>
    <row r="85" spans="2:40" ht="13.5" customHeight="1" x14ac:dyDescent="0.25">
      <c r="D85" s="1099">
        <f>$Q$62</f>
        <v>0.5</v>
      </c>
      <c r="E85" s="1145">
        <f>$Q$69</f>
        <v>8.8500000000000014</v>
      </c>
      <c r="F85" s="1145">
        <f>$Q$68</f>
        <v>8.7999620286123115</v>
      </c>
      <c r="G85" s="1099">
        <f>$Q$63</f>
        <v>5.2</v>
      </c>
      <c r="H85" s="1099">
        <f>$Q$35</f>
        <v>0.25</v>
      </c>
      <c r="V85" s="1098" t="s">
        <v>2237</v>
      </c>
      <c r="W85" s="1099"/>
      <c r="X85" s="1112">
        <f>'C5 Jäähdytys'!E14</f>
        <v>25</v>
      </c>
      <c r="Y85" s="1099" t="s">
        <v>230</v>
      </c>
      <c r="Z85" s="1288">
        <f>'C5 Jäähdytys'!E15</f>
        <v>65</v>
      </c>
      <c r="AA85" s="1099">
        <f>1.293*273.15/(X85+273.15)</f>
        <v>1.1845814187489518</v>
      </c>
      <c r="AB85" s="1098" t="s">
        <v>2238</v>
      </c>
      <c r="AC85" s="1098">
        <f>1005+0.2*X85</f>
        <v>1010</v>
      </c>
      <c r="AD85" s="1098" t="s">
        <v>2239</v>
      </c>
      <c r="AE85" s="1098">
        <f>LN(Z85/100)+(17.27*X85)/(237.7+X85)</f>
        <v>1.2127267907975345</v>
      </c>
      <c r="AF85" s="1098" t="s">
        <v>2477</v>
      </c>
      <c r="AG85" s="1098">
        <f>0.622*(Z85/100*6.112*EXP((17.67*X85)/(X85+243.5)))/(1013.25-(Z85/100*6.112*EXP((17.67*X85)/(X85+243.5))))</f>
        <v>1.2900585465042545E-2</v>
      </c>
      <c r="AH85" s="1098" t="s">
        <v>2390</v>
      </c>
      <c r="AM85" s="1098">
        <f>$AF$74*(X84/1000)^($AD$74)</f>
        <v>24.074139843645685</v>
      </c>
      <c r="AN85" s="1098" t="s">
        <v>14</v>
      </c>
    </row>
    <row r="86" spans="2:40" ht="13.5" customHeight="1" x14ac:dyDescent="0.25">
      <c r="B86" s="1289" t="s">
        <v>2391</v>
      </c>
      <c r="C86" s="1290"/>
      <c r="D86" s="1291">
        <f>$N$62</f>
        <v>0.5</v>
      </c>
      <c r="E86" s="1292">
        <f>$N$69</f>
        <v>8.5500000000000007</v>
      </c>
      <c r="F86" s="1292">
        <f>$N$68</f>
        <v>8.4673928699415235</v>
      </c>
      <c r="G86" s="1291">
        <f>$N$63</f>
        <v>4.9000000000000004</v>
      </c>
      <c r="H86" s="1291">
        <f>$N$36</f>
        <v>0.48</v>
      </c>
      <c r="V86" s="1098" t="s">
        <v>2241</v>
      </c>
      <c r="W86" s="1099"/>
      <c r="X86" s="1112">
        <f>'C5 Jäähdytys'!E16</f>
        <v>17</v>
      </c>
      <c r="Y86" s="1099" t="s">
        <v>230</v>
      </c>
      <c r="Z86" s="1117">
        <f>AG89*100</f>
        <v>93.910777333634414</v>
      </c>
      <c r="AA86" s="1099">
        <f>1.293*273.15/(X86+273.15)</f>
        <v>1.2172426331207995</v>
      </c>
      <c r="AB86" s="1098" t="s">
        <v>2238</v>
      </c>
      <c r="AC86" s="1098">
        <f>1005+0.2*X86</f>
        <v>1008.4</v>
      </c>
      <c r="AD86" s="1098" t="s">
        <v>2239</v>
      </c>
      <c r="AF86" s="1098" t="s">
        <v>2478</v>
      </c>
      <c r="AG86" s="1098">
        <f>0.622*(Z86/100*6.112*EXP((17.67*X86)/(X86+243.5)))/(1013.25-(Z86/100*6.112*EXP((17.67*X86)/(X86+243.5))))</f>
        <v>1.1366710238402121E-2</v>
      </c>
      <c r="AH86" s="1098" t="s">
        <v>2390</v>
      </c>
      <c r="AI86" s="1098" t="s">
        <v>2392</v>
      </c>
    </row>
    <row r="87" spans="2:40" ht="13.5" customHeight="1" x14ac:dyDescent="0.2">
      <c r="Z87" s="1145">
        <v>98.6</v>
      </c>
      <c r="AG87" s="1098">
        <f>AG85*(1-AG93)</f>
        <v>1.136671023840212E-2</v>
      </c>
      <c r="AH87" s="1098" t="s">
        <v>2390</v>
      </c>
      <c r="AI87" s="1098" t="s">
        <v>2393</v>
      </c>
    </row>
    <row r="88" spans="2:40" ht="13.5" customHeight="1" x14ac:dyDescent="0.2">
      <c r="D88" s="1105" t="s">
        <v>2394</v>
      </c>
      <c r="V88" s="1098" t="s">
        <v>2245</v>
      </c>
      <c r="W88" s="1099"/>
      <c r="X88" s="1099"/>
      <c r="Y88" s="1099"/>
      <c r="Z88" s="1099"/>
      <c r="AG88" s="1098">
        <f>(AG87*1013.25/(AG87+0.622))/(6.112*EXP(17.67*X86/(X86+243.5)))</f>
        <v>0.9391077733363441</v>
      </c>
    </row>
    <row r="89" spans="2:40" ht="13.5" customHeight="1" x14ac:dyDescent="0.25">
      <c r="D89" s="1099" t="s">
        <v>289</v>
      </c>
      <c r="E89" s="1099" t="s">
        <v>2253</v>
      </c>
      <c r="F89" s="1099" t="s">
        <v>2386</v>
      </c>
      <c r="G89" s="1099" t="s">
        <v>47</v>
      </c>
      <c r="H89" s="1099" t="s">
        <v>2288</v>
      </c>
      <c r="V89" s="1099" t="s">
        <v>2247</v>
      </c>
      <c r="W89" s="1099"/>
      <c r="X89" s="1112">
        <f>'C5 Jäähdytys'!E21</f>
        <v>7</v>
      </c>
      <c r="Y89" s="1099" t="s">
        <v>230</v>
      </c>
      <c r="Z89" s="1099"/>
      <c r="AG89" s="1098">
        <f>IF(AG88&gt;0.986,0.986,AG88)</f>
        <v>0.9391077733363441</v>
      </c>
    </row>
    <row r="90" spans="2:40" ht="17" x14ac:dyDescent="0.25">
      <c r="D90" s="1099">
        <f>$J$62</f>
        <v>0.4</v>
      </c>
      <c r="E90" s="1145">
        <f>$J$69</f>
        <v>13.55</v>
      </c>
      <c r="F90" s="1145">
        <f>$J$68</f>
        <v>13.0479909845953</v>
      </c>
      <c r="G90" s="1099">
        <f>$J$63</f>
        <v>7.7</v>
      </c>
      <c r="H90" s="1099">
        <f>$J$35</f>
        <v>0.37</v>
      </c>
      <c r="J90" s="1105">
        <f t="array" ref="J90:K90">LINEST(LN(G90:G92),LN(E90:E92))</f>
        <v>1.2803788854647329</v>
      </c>
      <c r="K90" s="1098">
        <v>-1.2938634060329679</v>
      </c>
      <c r="L90" s="1105">
        <f>EXP(K90)</f>
        <v>0.27420935197558338</v>
      </c>
      <c r="V90" s="1099" t="s">
        <v>2251</v>
      </c>
      <c r="W90" s="1099"/>
      <c r="X90" s="1112">
        <f>'C5 Jäähdytys'!E22</f>
        <v>12</v>
      </c>
      <c r="Y90" s="1099" t="s">
        <v>230</v>
      </c>
      <c r="Z90" s="1099"/>
      <c r="AA90" s="1098" t="s">
        <v>2253</v>
      </c>
      <c r="AB90" s="1293">
        <f>AVERAGE(X85:X86)-AVERAGE(X89:X90)</f>
        <v>11.5</v>
      </c>
    </row>
    <row r="91" spans="2:40" x14ac:dyDescent="0.2">
      <c r="D91" s="1099">
        <f>$F$62</f>
        <v>0.4</v>
      </c>
      <c r="E91" s="1145">
        <f>$F$69</f>
        <v>11.100000000000001</v>
      </c>
      <c r="F91" s="1145">
        <f>$F$68</f>
        <v>10.990731321127887</v>
      </c>
      <c r="G91" s="1099">
        <f>$F$63</f>
        <v>6</v>
      </c>
      <c r="H91" s="1099">
        <f>$F$35</f>
        <v>0.28999999999999998</v>
      </c>
      <c r="V91" s="1099" t="s">
        <v>2395</v>
      </c>
      <c r="X91" s="1099">
        <f>X85-X90</f>
        <v>13</v>
      </c>
      <c r="AA91" s="1098" t="s">
        <v>2386</v>
      </c>
      <c r="AB91" s="1293">
        <f>IF(X91=X92,X91,(X91-X92)/LN(X91/X92))</f>
        <v>11.434484060125204</v>
      </c>
      <c r="AK91" s="1293"/>
    </row>
    <row r="92" spans="2:40" x14ac:dyDescent="0.2">
      <c r="D92" s="1099">
        <f>$P$62</f>
        <v>0.4</v>
      </c>
      <c r="E92" s="1145">
        <f>$P$69</f>
        <v>8.75</v>
      </c>
      <c r="F92" s="1145">
        <f>$P$68</f>
        <v>8.6901487419555199</v>
      </c>
      <c r="G92" s="1099">
        <f>$P$63</f>
        <v>4.4000000000000004</v>
      </c>
      <c r="H92" s="1099">
        <f>$P$35</f>
        <v>0.21</v>
      </c>
      <c r="V92" s="1099" t="s">
        <v>2396</v>
      </c>
      <c r="X92" s="1099">
        <f>X86-X89</f>
        <v>10</v>
      </c>
      <c r="AC92" s="1098" t="s">
        <v>91</v>
      </c>
      <c r="AD92" s="1245">
        <v>2.5</v>
      </c>
      <c r="AE92" s="1098" t="s">
        <v>117</v>
      </c>
      <c r="AF92" s="1098" t="s">
        <v>419</v>
      </c>
      <c r="AK92" s="1293"/>
    </row>
    <row r="93" spans="2:40" ht="17" x14ac:dyDescent="0.25">
      <c r="B93" s="1289" t="s">
        <v>2391</v>
      </c>
      <c r="D93" s="1291">
        <f>$M$62</f>
        <v>0.4</v>
      </c>
      <c r="E93" s="1292">
        <f>$M$69</f>
        <v>8.3500000000000014</v>
      </c>
      <c r="F93" s="1292">
        <f>$M$68</f>
        <v>8.2401619347626358</v>
      </c>
      <c r="G93" s="1291">
        <f>$M$63</f>
        <v>4.0999999999999996</v>
      </c>
      <c r="H93" s="1291">
        <f>$M$36</f>
        <v>0.4</v>
      </c>
      <c r="V93" s="1099" t="s">
        <v>2382</v>
      </c>
      <c r="W93" s="1099" t="s">
        <v>2237</v>
      </c>
      <c r="X93" s="1117">
        <f>(237.7*AE85)/(17.27-AE85)</f>
        <v>17.952310732769277</v>
      </c>
      <c r="Y93" s="1099" t="s">
        <v>230</v>
      </c>
      <c r="AA93" s="1098" t="s">
        <v>2397</v>
      </c>
      <c r="AD93" s="1294">
        <f>IF(X93&lt;X89,0,(X93-X89)/(X90-X89))</f>
        <v>2.1904621465538554</v>
      </c>
      <c r="AE93" s="1360">
        <f>IF(AD93&gt;AD92,AD92,AD93)</f>
        <v>2.1904621465538554</v>
      </c>
      <c r="AF93" s="1245"/>
      <c r="AG93" s="1295">
        <f>BG60*AE93^BE60</f>
        <v>0.11889966008107575</v>
      </c>
      <c r="AH93" s="1098" t="s">
        <v>2398</v>
      </c>
      <c r="AK93" s="1360"/>
    </row>
    <row r="94" spans="2:40" x14ac:dyDescent="0.2">
      <c r="AD94" s="1294"/>
      <c r="AE94" s="1360"/>
    </row>
    <row r="95" spans="2:40" x14ac:dyDescent="0.2">
      <c r="D95" s="1105" t="s">
        <v>2399</v>
      </c>
      <c r="V95" s="1098" t="s">
        <v>2400</v>
      </c>
      <c r="W95" s="1099"/>
      <c r="X95" s="1113">
        <f>X84/1000*AVERAGE(AA85:AA86)*AVERAGE(AC85:AC86)*(X85-X86)/1000</f>
        <v>4.847841666293907</v>
      </c>
      <c r="Y95" s="1099" t="s">
        <v>2259</v>
      </c>
      <c r="Z95" s="1099"/>
      <c r="AA95" s="1098" t="s">
        <v>2354</v>
      </c>
      <c r="AB95" s="1113">
        <f>X84/1000*AVERAGE(AA85:AA86)*(AG85-AG86)*2500</f>
        <v>2.3025615074450854</v>
      </c>
      <c r="AC95" s="1098" t="s">
        <v>2259</v>
      </c>
      <c r="AD95" s="1098" t="s">
        <v>2479</v>
      </c>
      <c r="AI95"/>
    </row>
    <row r="96" spans="2:40" x14ac:dyDescent="0.2">
      <c r="D96" s="1099" t="s">
        <v>289</v>
      </c>
      <c r="E96" s="1099" t="s">
        <v>2253</v>
      </c>
      <c r="F96" s="1099" t="s">
        <v>2386</v>
      </c>
      <c r="G96" s="1099" t="s">
        <v>47</v>
      </c>
      <c r="H96" s="1099" t="s">
        <v>2288</v>
      </c>
      <c r="V96" s="1098" t="s">
        <v>2401</v>
      </c>
      <c r="X96" s="1123">
        <f>X95+AB97</f>
        <v>7.1504031737389919</v>
      </c>
      <c r="Y96" s="1098" t="s">
        <v>2259</v>
      </c>
      <c r="Z96" s="1099"/>
      <c r="AA96" s="1098" t="s">
        <v>2354</v>
      </c>
      <c r="AB96" s="1113">
        <f>X84/1000*AVERAGE(AA85:AA86)*(AG85-AG87)*2500</f>
        <v>2.302561507445088</v>
      </c>
      <c r="AC96" s="1098" t="s">
        <v>2259</v>
      </c>
    </row>
    <row r="97" spans="2:36" x14ac:dyDescent="0.2">
      <c r="D97" s="1099">
        <f>$I$62</f>
        <v>0.3</v>
      </c>
      <c r="E97" s="1145">
        <f>$I$69</f>
        <v>13.25</v>
      </c>
      <c r="F97" s="1145">
        <f>$I$68</f>
        <v>12.661507618903265</v>
      </c>
      <c r="G97" s="1099">
        <f>$I$63</f>
        <v>6.3</v>
      </c>
      <c r="H97" s="1099">
        <f>$I$35</f>
        <v>0.3</v>
      </c>
      <c r="J97" s="1105">
        <f t="array" ref="J97:K97">LINEST(LN(G97:G99),LN(E97:E99))</f>
        <v>1.2051650132686642</v>
      </c>
      <c r="K97" s="1098">
        <v>-1.2544936601887764</v>
      </c>
      <c r="L97" s="1105">
        <f>EXP(K97)</f>
        <v>0.28522023002567021</v>
      </c>
      <c r="V97" s="1098" t="s">
        <v>2260</v>
      </c>
      <c r="W97" s="1099"/>
      <c r="X97" s="1117">
        <f>(X96/$L$106)^(1/$J$106)</f>
        <v>11.599789107534603</v>
      </c>
      <c r="Y97" s="1099" t="s">
        <v>496</v>
      </c>
      <c r="Z97" s="1099"/>
      <c r="AA97" s="1098" t="s">
        <v>21</v>
      </c>
      <c r="AB97" s="1123">
        <f>IF(X93&gt;X90,AB95,AB96)</f>
        <v>2.3025615074450854</v>
      </c>
      <c r="AC97" s="1098" t="s">
        <v>2259</v>
      </c>
    </row>
    <row r="98" spans="2:36" x14ac:dyDescent="0.2">
      <c r="D98" s="1099">
        <f>$E$62</f>
        <v>0.3</v>
      </c>
      <c r="E98" s="1145">
        <f>$E$69</f>
        <v>10.8</v>
      </c>
      <c r="F98" s="1145">
        <f>$E$68</f>
        <v>10.64892738133897</v>
      </c>
      <c r="G98" s="1099">
        <f>$E$63</f>
        <v>5.2</v>
      </c>
      <c r="H98" s="1099">
        <f>$E$35</f>
        <v>0.25</v>
      </c>
    </row>
    <row r="99" spans="2:36" x14ac:dyDescent="0.2">
      <c r="D99" s="1099">
        <f>$O$62</f>
        <v>0.3</v>
      </c>
      <c r="E99" s="1145">
        <f>$O$69</f>
        <v>8.5</v>
      </c>
      <c r="F99" s="1145">
        <f>$O$68</f>
        <v>8.4110197561713864</v>
      </c>
      <c r="G99" s="1099">
        <f>$O$63</f>
        <v>3.7</v>
      </c>
      <c r="H99" s="1099">
        <f>$O$35</f>
        <v>0.18</v>
      </c>
    </row>
    <row r="100" spans="2:36" x14ac:dyDescent="0.2">
      <c r="B100" s="1289" t="s">
        <v>2391</v>
      </c>
      <c r="D100" s="1291">
        <f>$L$62</f>
        <v>0.3</v>
      </c>
      <c r="E100" s="1292">
        <f>$L$69</f>
        <v>8.1000000000000014</v>
      </c>
      <c r="F100" s="1292">
        <f>$L$68</f>
        <v>7.9491954211460945</v>
      </c>
      <c r="G100" s="1291">
        <f>$L$63</f>
        <v>3.2</v>
      </c>
      <c r="H100" s="1291">
        <f>$L$36</f>
        <v>0.32</v>
      </c>
      <c r="V100" s="1098" t="s">
        <v>2264</v>
      </c>
      <c r="W100" s="1099"/>
      <c r="X100" s="1099"/>
      <c r="Y100" s="1099"/>
      <c r="Z100" s="1099"/>
      <c r="AA100" s="1098" t="s">
        <v>2265</v>
      </c>
      <c r="AB100" s="1099"/>
      <c r="AC100" s="1099"/>
      <c r="AD100" s="1099"/>
      <c r="AG100" s="1098" t="s">
        <v>2402</v>
      </c>
    </row>
    <row r="101" spans="2:36" ht="17" x14ac:dyDescent="0.25">
      <c r="V101" s="1099" t="s">
        <v>2247</v>
      </c>
      <c r="X101" s="1296">
        <f>X89</f>
        <v>7</v>
      </c>
      <c r="Y101" s="1099" t="s">
        <v>230</v>
      </c>
      <c r="AA101" s="1099" t="s">
        <v>2247</v>
      </c>
      <c r="AB101" s="1099"/>
      <c r="AC101" s="1297">
        <f>X85+X86-X90-2*X97</f>
        <v>6.8004217849307942</v>
      </c>
      <c r="AD101" s="1099" t="s">
        <v>230</v>
      </c>
      <c r="AG101" s="1099" t="s">
        <v>2247</v>
      </c>
      <c r="AI101" s="1296">
        <f>X89</f>
        <v>7</v>
      </c>
      <c r="AJ101" s="1099" t="s">
        <v>230</v>
      </c>
    </row>
    <row r="102" spans="2:36" ht="17" x14ac:dyDescent="0.25">
      <c r="V102" s="1099" t="s">
        <v>2251</v>
      </c>
      <c r="W102" s="1099"/>
      <c r="X102" s="1298">
        <f>X85+X86-X89-2*X97</f>
        <v>11.800421784930794</v>
      </c>
      <c r="Y102" s="1099" t="s">
        <v>230</v>
      </c>
      <c r="Z102" s="1099"/>
      <c r="AA102" s="1099" t="s">
        <v>2251</v>
      </c>
      <c r="AC102" s="1296">
        <f>X90</f>
        <v>12</v>
      </c>
      <c r="AD102" s="1099" t="s">
        <v>230</v>
      </c>
      <c r="AF102" s="1299"/>
      <c r="AG102" s="1099" t="s">
        <v>2251</v>
      </c>
      <c r="AI102" s="1296">
        <f>X90</f>
        <v>12</v>
      </c>
      <c r="AJ102" s="1099" t="s">
        <v>230</v>
      </c>
    </row>
    <row r="103" spans="2:36" x14ac:dyDescent="0.2">
      <c r="D103" s="1105" t="s">
        <v>2403</v>
      </c>
      <c r="N103" s="1134" t="s">
        <v>2253</v>
      </c>
      <c r="O103" s="1135" t="s">
        <v>289</v>
      </c>
      <c r="P103" s="1136" t="s">
        <v>47</v>
      </c>
      <c r="V103" s="1099" t="s">
        <v>498</v>
      </c>
      <c r="W103" s="1099"/>
      <c r="X103" s="1122">
        <f>X96/(X102-X89)/4.186</f>
        <v>0.35583765874915052</v>
      </c>
      <c r="Y103" s="1099" t="s">
        <v>13</v>
      </c>
      <c r="Z103" s="1099"/>
      <c r="AA103" s="1099" t="s">
        <v>498</v>
      </c>
      <c r="AB103" s="1099"/>
      <c r="AC103" s="1300">
        <f>X96/(X90-AC101)/4.186</f>
        <v>0.32852104118900277</v>
      </c>
      <c r="AD103" s="1099" t="s">
        <v>13</v>
      </c>
      <c r="AG103" s="1099" t="s">
        <v>498</v>
      </c>
      <c r="AH103" s="1099"/>
      <c r="AI103" s="1301">
        <f>X96/(X90-X89)/4.186</f>
        <v>0.34163416979163841</v>
      </c>
      <c r="AJ103" s="1099" t="s">
        <v>13</v>
      </c>
    </row>
    <row r="104" spans="2:36" x14ac:dyDescent="0.2">
      <c r="N104" s="1139">
        <f>F106</f>
        <v>13</v>
      </c>
      <c r="O104" s="1140">
        <f>D83</f>
        <v>0.5</v>
      </c>
      <c r="P104" s="1302">
        <f>$L$83*N104^$J$83</f>
        <v>8.198568787238246</v>
      </c>
      <c r="V104" s="1099" t="s">
        <v>499</v>
      </c>
      <c r="W104" s="1099"/>
      <c r="X104" s="1122">
        <f>$AM$74*X103^$AK$74</f>
        <v>12.62649922168613</v>
      </c>
      <c r="Y104" s="1099" t="s">
        <v>500</v>
      </c>
      <c r="Z104" s="1099"/>
      <c r="AA104" s="1099" t="s">
        <v>499</v>
      </c>
      <c r="AB104" s="1099"/>
      <c r="AC104" s="1122">
        <f>$AM$74*AC103^$AK$74</f>
        <v>10.872117096354616</v>
      </c>
      <c r="AD104" s="1099" t="s">
        <v>500</v>
      </c>
      <c r="AG104" s="1099" t="s">
        <v>499</v>
      </c>
      <c r="AH104" s="1099"/>
      <c r="AI104" s="1122">
        <f>$AM$74*AI103^$AK$74</f>
        <v>11.699035216261672</v>
      </c>
      <c r="AJ104" s="1099" t="s">
        <v>500</v>
      </c>
    </row>
    <row r="105" spans="2:36" x14ac:dyDescent="0.2">
      <c r="D105" s="1099" t="s">
        <v>289</v>
      </c>
      <c r="E105" s="1099" t="s">
        <v>2253</v>
      </c>
      <c r="F105" s="1099" t="s">
        <v>2386</v>
      </c>
      <c r="G105" s="1099" t="s">
        <v>47</v>
      </c>
      <c r="H105" s="1099"/>
      <c r="N105" s="1141">
        <f>N104</f>
        <v>13</v>
      </c>
      <c r="O105" s="1099">
        <f>D90</f>
        <v>0.4</v>
      </c>
      <c r="P105" s="1302">
        <f>$L$90*N105^$J$90</f>
        <v>7.3173159961893077</v>
      </c>
      <c r="W105" s="1098" t="s">
        <v>2253</v>
      </c>
      <c r="X105" s="1145">
        <f>AVERAGE(X85:X86)-AVERAGE(X102,X89)</f>
        <v>11.599789107534603</v>
      </c>
      <c r="Y105" s="1099"/>
      <c r="Z105" s="1099"/>
      <c r="AB105" s="1098" t="s">
        <v>2253</v>
      </c>
      <c r="AC105" s="1145">
        <f>AVERAGE(X85:X86)-AVERAGE(AC101,X90)</f>
        <v>11.599789107534603</v>
      </c>
    </row>
    <row r="106" spans="2:36" x14ac:dyDescent="0.2">
      <c r="D106" s="1099">
        <f>X84/1000</f>
        <v>0.5</v>
      </c>
      <c r="F106" s="1145">
        <v>13</v>
      </c>
      <c r="G106" s="1155">
        <f>P107*D106^N107</f>
        <v>8.2078624506075357</v>
      </c>
      <c r="H106" s="1099"/>
      <c r="J106" s="1105">
        <f t="array" ref="J106:K106">LINEST(LN(G106:G108),LN(F106:F108))</f>
        <v>1.2102565318107754</v>
      </c>
      <c r="K106" s="1098">
        <v>-0.99915418331059702</v>
      </c>
      <c r="L106" s="1105">
        <f>EXP(K106)</f>
        <v>0.36819073137113822</v>
      </c>
      <c r="N106" s="1142">
        <f>N105</f>
        <v>13</v>
      </c>
      <c r="O106" s="1143">
        <f>D97</f>
        <v>0.3</v>
      </c>
      <c r="P106" s="1303">
        <f>$L$97*N106^$J$97</f>
        <v>6.2757535548480359</v>
      </c>
      <c r="X106" s="1145">
        <f>X85-X102</f>
        <v>13.199578215069206</v>
      </c>
    </row>
    <row r="107" spans="2:36" x14ac:dyDescent="0.2">
      <c r="D107" s="1099">
        <f>D106</f>
        <v>0.5</v>
      </c>
      <c r="F107" s="1145">
        <v>10.5</v>
      </c>
      <c r="G107" s="1155">
        <f>P113*D107^N113</f>
        <v>6.3383157615811667</v>
      </c>
      <c r="H107" s="1099"/>
      <c r="N107" s="1105">
        <f t="array" ref="N107:O107">LINEST(LN(P104:P106),LN(O104:O106))</f>
        <v>0.52370159857099474</v>
      </c>
      <c r="O107" s="1098">
        <v>2.4680948168253005</v>
      </c>
      <c r="P107" s="1105">
        <f>EXP(O107)</f>
        <v>11.799944367304585</v>
      </c>
      <c r="X107" s="1099">
        <f>X86-X101</f>
        <v>10</v>
      </c>
    </row>
    <row r="108" spans="2:36" x14ac:dyDescent="0.2">
      <c r="D108" s="1099">
        <f>D107</f>
        <v>0.5</v>
      </c>
      <c r="F108" s="1145">
        <v>7</v>
      </c>
      <c r="G108" s="1155">
        <f>P119*D108^N119</f>
        <v>3.8802371965593272</v>
      </c>
      <c r="H108" s="1099"/>
      <c r="X108" s="1127">
        <f>(X106-X107)/LN(X106/X107)</f>
        <v>11.525867146345757</v>
      </c>
    </row>
    <row r="109" spans="2:36" x14ac:dyDescent="0.2">
      <c r="N109" s="1134" t="s">
        <v>2253</v>
      </c>
      <c r="O109" s="1135" t="s">
        <v>289</v>
      </c>
      <c r="P109" s="1136" t="s">
        <v>47</v>
      </c>
    </row>
    <row r="110" spans="2:36" x14ac:dyDescent="0.2">
      <c r="N110" s="1139">
        <f>F107</f>
        <v>10.5</v>
      </c>
      <c r="O110" s="1140">
        <f>O104</f>
        <v>0.5</v>
      </c>
      <c r="P110" s="1302">
        <f>$L$83*N110^$J$83</f>
        <v>6.3775722745262851</v>
      </c>
      <c r="V110" s="1098" t="s">
        <v>2271</v>
      </c>
      <c r="X110" s="1098">
        <v>7</v>
      </c>
      <c r="Y110" s="1098" t="s">
        <v>2272</v>
      </c>
      <c r="AA110" s="1098" t="s">
        <v>2271</v>
      </c>
      <c r="AC110" s="1098">
        <v>7</v>
      </c>
      <c r="AD110" s="1098" t="s">
        <v>2272</v>
      </c>
      <c r="AG110" s="1098" t="s">
        <v>2271</v>
      </c>
      <c r="AI110" s="1098">
        <v>7</v>
      </c>
      <c r="AJ110" s="1098" t="s">
        <v>2272</v>
      </c>
    </row>
    <row r="111" spans="2:36" x14ac:dyDescent="0.2">
      <c r="N111" s="1141">
        <f>N110</f>
        <v>10.5</v>
      </c>
      <c r="O111" s="1099">
        <f>O105</f>
        <v>0.4</v>
      </c>
      <c r="P111" s="1302">
        <f>$L$90*N111^$J$90</f>
        <v>5.5666187617468674</v>
      </c>
      <c r="V111" s="1098" t="s">
        <v>498</v>
      </c>
      <c r="X111" s="1098">
        <f>X103/X110</f>
        <v>5.0833951249878648E-2</v>
      </c>
      <c r="Y111" s="1098" t="s">
        <v>502</v>
      </c>
      <c r="AA111" s="1098" t="s">
        <v>498</v>
      </c>
      <c r="AC111" s="1098">
        <f>AC103/AC110</f>
        <v>4.6931577312714683E-2</v>
      </c>
      <c r="AD111" s="1098" t="s">
        <v>502</v>
      </c>
      <c r="AG111" s="1098" t="s">
        <v>498</v>
      </c>
      <c r="AI111" s="1098">
        <f>AI103/AI110</f>
        <v>4.880488139880549E-2</v>
      </c>
      <c r="AJ111" s="1098" t="s">
        <v>502</v>
      </c>
    </row>
    <row r="112" spans="2:36" x14ac:dyDescent="0.2">
      <c r="N112" s="1142">
        <f>N111</f>
        <v>10.5</v>
      </c>
      <c r="O112" s="1143">
        <f>O106</f>
        <v>0.3</v>
      </c>
      <c r="P112" s="1303">
        <f>$L$97*N112^$J$97</f>
        <v>4.8515659678806156</v>
      </c>
      <c r="V112" s="1098" t="s">
        <v>2278</v>
      </c>
      <c r="X112" s="1127">
        <f>9.52-2*0.36</f>
        <v>8.7999999999999989</v>
      </c>
      <c r="Y112" s="1098" t="s">
        <v>2279</v>
      </c>
      <c r="AA112" s="1098" t="s">
        <v>2278</v>
      </c>
      <c r="AC112" s="1127">
        <f>9.52-2*0.36</f>
        <v>8.7999999999999989</v>
      </c>
      <c r="AD112" s="1098" t="s">
        <v>2279</v>
      </c>
      <c r="AG112" s="1098" t="s">
        <v>2278</v>
      </c>
      <c r="AI112" s="1127">
        <f>9.52-2*0.36</f>
        <v>8.7999999999999989</v>
      </c>
      <c r="AJ112" s="1098" t="s">
        <v>2279</v>
      </c>
    </row>
    <row r="113" spans="14:36" x14ac:dyDescent="0.2">
      <c r="N113" s="1105">
        <f t="array" ref="N113:O113">LINEST(LN(P110:P112),LN(O110:O112))</f>
        <v>0.53266866367637444</v>
      </c>
      <c r="O113" s="1098">
        <v>2.2158308628096557</v>
      </c>
      <c r="P113" s="1105">
        <f>EXP(O113)</f>
        <v>9.169024148811209</v>
      </c>
      <c r="V113" s="1098" t="s">
        <v>501</v>
      </c>
      <c r="X113" s="1098">
        <f>X111/1000/(PI()*(X112/1000/2)^2)</f>
        <v>0.8357928324701055</v>
      </c>
      <c r="Y113" s="1098" t="s">
        <v>502</v>
      </c>
      <c r="AA113" s="1098" t="s">
        <v>501</v>
      </c>
      <c r="AC113" s="1098">
        <f>AC111/1000/(PI()*(AC112/1000/2)^2)</f>
        <v>0.77163145830764401</v>
      </c>
      <c r="AD113" s="1098" t="s">
        <v>502</v>
      </c>
      <c r="AG113" s="1098" t="s">
        <v>501</v>
      </c>
      <c r="AI113" s="1098">
        <f>AI111/1000/(PI()*(AI112/1000/2)^2)</f>
        <v>0.80243162413570168</v>
      </c>
      <c r="AJ113" s="1098" t="s">
        <v>502</v>
      </c>
    </row>
    <row r="114" spans="14:36" x14ac:dyDescent="0.2">
      <c r="V114" s="1098" t="s">
        <v>2283</v>
      </c>
      <c r="X114" s="1131">
        <f>1000*X113*X112/1000/0.0012</f>
        <v>6129.147438114107</v>
      </c>
      <c r="AA114" s="1098" t="s">
        <v>2283</v>
      </c>
      <c r="AC114" s="1131">
        <f>1000*AC113*AC112/1000/0.0012</f>
        <v>5658.6306942560559</v>
      </c>
      <c r="AG114" s="1098" t="s">
        <v>2283</v>
      </c>
      <c r="AI114" s="1131">
        <f>1000*AI113*AI112/1000/0.0012</f>
        <v>5884.4985769951454</v>
      </c>
    </row>
    <row r="115" spans="14:36" x14ac:dyDescent="0.2">
      <c r="N115" s="1134" t="s">
        <v>2253</v>
      </c>
      <c r="O115" s="1135" t="s">
        <v>289</v>
      </c>
      <c r="P115" s="1136" t="s">
        <v>47</v>
      </c>
    </row>
    <row r="116" spans="14:36" x14ac:dyDescent="0.2">
      <c r="N116" s="1139">
        <f>F108</f>
        <v>7</v>
      </c>
      <c r="O116" s="1144">
        <f>O110</f>
        <v>0.5</v>
      </c>
      <c r="P116" s="1302">
        <f>$L$83*N116^$J$83</f>
        <v>3.9588102383936485</v>
      </c>
    </row>
    <row r="117" spans="14:36" x14ac:dyDescent="0.2">
      <c r="N117" s="1141">
        <f>N116</f>
        <v>7</v>
      </c>
      <c r="O117" s="1145">
        <f>O111</f>
        <v>0.4</v>
      </c>
      <c r="P117" s="1302">
        <f>$L$90*N117^$J$90</f>
        <v>3.3122869154402719</v>
      </c>
    </row>
    <row r="118" spans="14:36" x14ac:dyDescent="0.2">
      <c r="N118" s="1142">
        <f>N117</f>
        <v>7</v>
      </c>
      <c r="O118" s="1146">
        <f>O112</f>
        <v>0.3</v>
      </c>
      <c r="P118" s="1303">
        <f>$L$97*N118^$J$97</f>
        <v>2.976205510151559</v>
      </c>
    </row>
    <row r="119" spans="14:36" x14ac:dyDescent="0.2">
      <c r="N119" s="1105">
        <f t="array" ref="N119:O119">LINEST(LN(P116:P118),LN(O116:O118))</f>
        <v>0.54969241335993735</v>
      </c>
      <c r="O119" s="1098">
        <v>1.736914031396108</v>
      </c>
      <c r="P119" s="1105">
        <f>EXP(O119)</f>
        <v>5.6797887003364522</v>
      </c>
    </row>
  </sheetData>
  <mergeCells count="19">
    <mergeCell ref="AC2:AP2"/>
    <mergeCell ref="D32:K32"/>
    <mergeCell ref="L32:Q32"/>
    <mergeCell ref="R32:V32"/>
    <mergeCell ref="A52:A53"/>
    <mergeCell ref="B52:B53"/>
    <mergeCell ref="C52:C53"/>
    <mergeCell ref="O73:Q73"/>
    <mergeCell ref="A54:D54"/>
    <mergeCell ref="A55:C55"/>
    <mergeCell ref="A56:B56"/>
    <mergeCell ref="A57:C57"/>
    <mergeCell ref="A58:B58"/>
    <mergeCell ref="A59:C59"/>
    <mergeCell ref="A60:B60"/>
    <mergeCell ref="A61:C61"/>
    <mergeCell ref="A62:B62"/>
    <mergeCell ref="D73:K73"/>
    <mergeCell ref="L73:N73"/>
  </mergeCells>
  <conditionalFormatting sqref="D51:Q51">
    <cfRule type="cellIs" dxfId="23" priority="10" operator="between">
      <formula>2500</formula>
      <formula>4000</formula>
    </cfRule>
    <cfRule type="cellIs" dxfId="22" priority="11" operator="lessThan">
      <formula>2500</formula>
    </cfRule>
    <cfRule type="cellIs" dxfId="21" priority="12" operator="greaterThan">
      <formula>4000</formula>
    </cfRule>
  </conditionalFormatting>
  <conditionalFormatting sqref="X114">
    <cfRule type="cellIs" dxfId="20" priority="7" operator="between">
      <formula>2500</formula>
      <formula>4000</formula>
    </cfRule>
    <cfRule type="cellIs" dxfId="19" priority="8" operator="lessThan">
      <formula>2500</formula>
    </cfRule>
    <cfRule type="cellIs" dxfId="18" priority="9" operator="greaterThan">
      <formula>4000</formula>
    </cfRule>
  </conditionalFormatting>
  <conditionalFormatting sqref="AC114">
    <cfRule type="cellIs" dxfId="17" priority="4" operator="between">
      <formula>2500</formula>
      <formula>4000</formula>
    </cfRule>
    <cfRule type="cellIs" dxfId="16" priority="5" operator="lessThan">
      <formula>2500</formula>
    </cfRule>
    <cfRule type="cellIs" dxfId="15" priority="6" operator="greaterThan">
      <formula>4000</formula>
    </cfRule>
  </conditionalFormatting>
  <conditionalFormatting sqref="AI114">
    <cfRule type="cellIs" dxfId="14" priority="1" operator="between">
      <formula>2500</formula>
      <formula>4000</formula>
    </cfRule>
    <cfRule type="cellIs" dxfId="13" priority="2" operator="lessThan">
      <formula>2500</formula>
    </cfRule>
    <cfRule type="cellIs" dxfId="12" priority="3" operator="greaterThan">
      <formula>4000</formula>
    </cfRule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A548-DA19-44BB-863F-81F7FCA7509F}">
  <dimension ref="A1:BH119"/>
  <sheetViews>
    <sheetView topLeftCell="U66" zoomScale="85" zoomScaleNormal="85" workbookViewId="0">
      <selection activeCell="B126" sqref="B126"/>
    </sheetView>
  </sheetViews>
  <sheetFormatPr baseColWidth="10" defaultColWidth="9.1640625" defaultRowHeight="15" x14ac:dyDescent="0.2"/>
  <cols>
    <col min="1" max="1" width="33" style="1098" customWidth="1"/>
    <col min="2" max="2" width="9.5" style="1098" customWidth="1"/>
    <col min="3" max="3" width="1.6640625" style="1098" customWidth="1"/>
    <col min="4" max="25" width="8.83203125" style="1098" customWidth="1"/>
    <col min="26" max="16384" width="9.1640625" style="1098"/>
  </cols>
  <sheetData>
    <row r="1" spans="1:42" ht="19" x14ac:dyDescent="0.2">
      <c r="A1" s="1097" t="s">
        <v>2404</v>
      </c>
    </row>
    <row r="2" spans="1:42" ht="11.25" customHeight="1" x14ac:dyDescent="0.2">
      <c r="A2" s="1100" t="s">
        <v>2230</v>
      </c>
      <c r="B2" s="1101"/>
      <c r="C2" s="1147"/>
      <c r="D2" s="1156">
        <v>1</v>
      </c>
      <c r="E2" s="1156">
        <v>2</v>
      </c>
      <c r="F2" s="1156">
        <v>3</v>
      </c>
      <c r="G2" s="1156">
        <v>4</v>
      </c>
      <c r="H2" s="1157">
        <v>5</v>
      </c>
      <c r="I2" s="1157">
        <v>6</v>
      </c>
      <c r="J2" s="1157">
        <v>7</v>
      </c>
      <c r="K2" s="1157">
        <v>8</v>
      </c>
      <c r="L2" s="1157">
        <v>9</v>
      </c>
      <c r="M2" s="1157">
        <v>10</v>
      </c>
      <c r="N2" s="1157">
        <v>11</v>
      </c>
      <c r="O2" s="1157">
        <v>12</v>
      </c>
      <c r="P2" s="1157">
        <v>13</v>
      </c>
      <c r="Q2" s="1157">
        <v>14</v>
      </c>
      <c r="R2" s="1157">
        <v>15</v>
      </c>
      <c r="S2" s="1157">
        <v>16</v>
      </c>
      <c r="T2" s="1157">
        <v>17</v>
      </c>
      <c r="U2" s="1157">
        <v>18</v>
      </c>
      <c r="V2" s="1157">
        <v>19</v>
      </c>
      <c r="AC2" s="1538" t="s">
        <v>2405</v>
      </c>
      <c r="AD2" s="1539"/>
      <c r="AE2" s="1539"/>
      <c r="AF2" s="1539"/>
      <c r="AG2" s="1539"/>
      <c r="AH2" s="1539"/>
      <c r="AI2" s="1539"/>
      <c r="AJ2" s="1539"/>
      <c r="AK2" s="1539"/>
      <c r="AL2" s="1539"/>
      <c r="AM2" s="1539"/>
      <c r="AN2" s="1539"/>
      <c r="AO2" s="1539"/>
      <c r="AP2" s="1540"/>
    </row>
    <row r="3" spans="1:42" ht="11.25" customHeight="1" x14ac:dyDescent="0.2">
      <c r="A3" s="1100" t="s">
        <v>2232</v>
      </c>
      <c r="B3" s="1101"/>
      <c r="C3" s="1147"/>
      <c r="D3" s="1107">
        <v>1</v>
      </c>
      <c r="E3" s="1107">
        <v>1</v>
      </c>
      <c r="F3" s="1107">
        <v>1</v>
      </c>
      <c r="G3" s="1107">
        <v>1</v>
      </c>
      <c r="H3" s="1149">
        <v>1</v>
      </c>
      <c r="I3" s="1149">
        <v>1</v>
      </c>
      <c r="J3" s="1149">
        <v>1</v>
      </c>
      <c r="K3" s="1149">
        <v>1</v>
      </c>
      <c r="L3" s="1149">
        <v>1</v>
      </c>
      <c r="M3" s="1149">
        <v>1</v>
      </c>
      <c r="N3" s="1149">
        <v>1</v>
      </c>
      <c r="O3" s="1149">
        <v>1</v>
      </c>
      <c r="P3" s="1149">
        <v>1</v>
      </c>
      <c r="Q3" s="1149">
        <v>1</v>
      </c>
      <c r="R3" s="1149">
        <v>1</v>
      </c>
      <c r="S3" s="1149">
        <v>1</v>
      </c>
      <c r="T3" s="1149">
        <v>1</v>
      </c>
      <c r="U3" s="1149">
        <v>1</v>
      </c>
      <c r="V3" s="1149">
        <v>1</v>
      </c>
      <c r="AB3" s="1190" t="s">
        <v>485</v>
      </c>
      <c r="AC3" s="1304">
        <f t="shared" ref="AC3:AP6" si="0">D22</f>
        <v>0.2</v>
      </c>
      <c r="AD3" s="1305">
        <f t="shared" si="0"/>
        <v>0.3</v>
      </c>
      <c r="AE3" s="1305">
        <f t="shared" si="0"/>
        <v>0.4</v>
      </c>
      <c r="AF3" s="1305">
        <f t="shared" si="0"/>
        <v>0.5</v>
      </c>
      <c r="AG3" s="1305">
        <f t="shared" si="0"/>
        <v>0.6</v>
      </c>
      <c r="AH3" s="1305">
        <f t="shared" si="0"/>
        <v>0.3</v>
      </c>
      <c r="AI3" s="1305">
        <f t="shared" si="0"/>
        <v>0.4</v>
      </c>
      <c r="AJ3" s="1305">
        <f t="shared" si="0"/>
        <v>0.5</v>
      </c>
      <c r="AK3" s="1305">
        <f t="shared" si="0"/>
        <v>0.3</v>
      </c>
      <c r="AL3" s="1305">
        <f t="shared" si="0"/>
        <v>0.4</v>
      </c>
      <c r="AM3" s="1305">
        <f t="shared" si="0"/>
        <v>0.5</v>
      </c>
      <c r="AN3" s="1305">
        <f t="shared" si="0"/>
        <v>0.3</v>
      </c>
      <c r="AO3" s="1305">
        <f t="shared" si="0"/>
        <v>0.4</v>
      </c>
      <c r="AP3" s="1306">
        <f t="shared" si="0"/>
        <v>0.5</v>
      </c>
    </row>
    <row r="4" spans="1:42" ht="11.25" customHeight="1" x14ac:dyDescent="0.2">
      <c r="A4" s="1100" t="s">
        <v>2233</v>
      </c>
      <c r="B4" s="1101"/>
      <c r="C4" s="1147"/>
      <c r="D4" s="1110"/>
      <c r="E4" s="1110"/>
      <c r="F4" s="1110"/>
      <c r="G4" s="1110"/>
      <c r="H4" s="1158"/>
      <c r="I4" s="1158"/>
      <c r="J4" s="1158"/>
      <c r="K4" s="1158"/>
      <c r="L4" s="1158"/>
      <c r="M4" s="1158"/>
      <c r="N4" s="1158"/>
      <c r="O4" s="1158"/>
      <c r="P4" s="1158"/>
      <c r="Q4" s="1158"/>
      <c r="R4" s="1158"/>
      <c r="S4" s="1158"/>
      <c r="T4" s="1158"/>
      <c r="U4" s="1158"/>
      <c r="V4" s="1158"/>
      <c r="AB4" s="1195" t="s">
        <v>2337</v>
      </c>
      <c r="AC4" s="1210">
        <f t="shared" si="0"/>
        <v>0.24</v>
      </c>
      <c r="AD4" s="1191">
        <f t="shared" si="0"/>
        <v>0.36</v>
      </c>
      <c r="AE4" s="1191">
        <f t="shared" si="0"/>
        <v>0.48</v>
      </c>
      <c r="AF4" s="1191">
        <f t="shared" si="0"/>
        <v>0.6</v>
      </c>
      <c r="AG4" s="1191">
        <f t="shared" si="0"/>
        <v>0.72</v>
      </c>
      <c r="AH4" s="1191">
        <f t="shared" si="0"/>
        <v>0.36</v>
      </c>
      <c r="AI4" s="1191">
        <f t="shared" si="0"/>
        <v>0.48</v>
      </c>
      <c r="AJ4" s="1191">
        <f t="shared" si="0"/>
        <v>0.6</v>
      </c>
      <c r="AK4" s="1191">
        <f t="shared" si="0"/>
        <v>0.36</v>
      </c>
      <c r="AL4" s="1191">
        <f t="shared" si="0"/>
        <v>0.48</v>
      </c>
      <c r="AM4" s="1191">
        <f t="shared" si="0"/>
        <v>0.6</v>
      </c>
      <c r="AN4" s="1191">
        <f t="shared" si="0"/>
        <v>0.36</v>
      </c>
      <c r="AO4" s="1191">
        <f t="shared" si="0"/>
        <v>0.48</v>
      </c>
      <c r="AP4" s="1209">
        <f t="shared" si="0"/>
        <v>0.6</v>
      </c>
    </row>
    <row r="5" spans="1:42" ht="11.25" customHeight="1" x14ac:dyDescent="0.2">
      <c r="A5" s="1100" t="s">
        <v>2236</v>
      </c>
      <c r="B5" s="1101"/>
      <c r="C5" s="1147"/>
      <c r="D5" s="1110"/>
      <c r="E5" s="1110"/>
      <c r="F5" s="1110"/>
      <c r="G5" s="1110"/>
      <c r="H5" s="1158"/>
      <c r="I5" s="1158"/>
      <c r="J5" s="1158"/>
      <c r="K5" s="1158"/>
      <c r="L5" s="1158"/>
      <c r="M5" s="1158"/>
      <c r="N5" s="1158"/>
      <c r="O5" s="1158"/>
      <c r="P5" s="1158"/>
      <c r="Q5" s="1158"/>
      <c r="R5" s="1158"/>
      <c r="S5" s="1158"/>
      <c r="T5" s="1158"/>
      <c r="U5" s="1158"/>
      <c r="V5" s="1158"/>
      <c r="AB5" s="1190" t="s">
        <v>2338</v>
      </c>
      <c r="AC5" s="1210">
        <f t="shared" si="0"/>
        <v>25</v>
      </c>
      <c r="AD5" s="1191">
        <f t="shared" si="0"/>
        <v>25</v>
      </c>
      <c r="AE5" s="1191">
        <f t="shared" si="0"/>
        <v>25</v>
      </c>
      <c r="AF5" s="1191">
        <f t="shared" si="0"/>
        <v>25</v>
      </c>
      <c r="AG5" s="1191">
        <f t="shared" si="0"/>
        <v>25</v>
      </c>
      <c r="AH5" s="1191">
        <f t="shared" si="0"/>
        <v>25</v>
      </c>
      <c r="AI5" s="1191">
        <f t="shared" si="0"/>
        <v>25</v>
      </c>
      <c r="AJ5" s="1191">
        <f t="shared" si="0"/>
        <v>25</v>
      </c>
      <c r="AK5" s="1191">
        <f t="shared" si="0"/>
        <v>30</v>
      </c>
      <c r="AL5" s="1191">
        <f t="shared" si="0"/>
        <v>30</v>
      </c>
      <c r="AM5" s="1191">
        <f t="shared" si="0"/>
        <v>30</v>
      </c>
      <c r="AN5" s="1191">
        <f t="shared" si="0"/>
        <v>25</v>
      </c>
      <c r="AO5" s="1191">
        <f t="shared" si="0"/>
        <v>25</v>
      </c>
      <c r="AP5" s="1209">
        <f t="shared" si="0"/>
        <v>25</v>
      </c>
    </row>
    <row r="6" spans="1:42" ht="11.25" customHeight="1" x14ac:dyDescent="0.2">
      <c r="A6" s="1100" t="s">
        <v>2240</v>
      </c>
      <c r="B6" s="1101"/>
      <c r="C6" s="1147"/>
      <c r="D6" s="1110"/>
      <c r="E6" s="1110"/>
      <c r="F6" s="1110"/>
      <c r="G6" s="1110"/>
      <c r="H6" s="1158"/>
      <c r="I6" s="1158"/>
      <c r="J6" s="1158"/>
      <c r="K6" s="1158"/>
      <c r="L6" s="1158"/>
      <c r="M6" s="1158"/>
      <c r="N6" s="1158"/>
      <c r="O6" s="1158"/>
      <c r="P6" s="1158"/>
      <c r="Q6" s="1158"/>
      <c r="R6" s="1158"/>
      <c r="S6" s="1158"/>
      <c r="T6" s="1158"/>
      <c r="U6" s="1158"/>
      <c r="V6" s="1158"/>
      <c r="AB6" s="1190" t="s">
        <v>2339</v>
      </c>
      <c r="AC6" s="1210">
        <f t="shared" si="0"/>
        <v>65</v>
      </c>
      <c r="AD6" s="1191">
        <f t="shared" si="0"/>
        <v>65</v>
      </c>
      <c r="AE6" s="1191">
        <f t="shared" si="0"/>
        <v>65</v>
      </c>
      <c r="AF6" s="1191">
        <f t="shared" si="0"/>
        <v>65</v>
      </c>
      <c r="AG6" s="1191">
        <f t="shared" si="0"/>
        <v>50</v>
      </c>
      <c r="AH6" s="1191">
        <f t="shared" si="0"/>
        <v>50</v>
      </c>
      <c r="AI6" s="1191">
        <f t="shared" si="0"/>
        <v>50</v>
      </c>
      <c r="AJ6" s="1191">
        <f t="shared" si="0"/>
        <v>50</v>
      </c>
      <c r="AK6" s="1191">
        <f t="shared" si="0"/>
        <v>45</v>
      </c>
      <c r="AL6" s="1191">
        <f t="shared" si="0"/>
        <v>45</v>
      </c>
      <c r="AM6" s="1191">
        <f t="shared" si="0"/>
        <v>45</v>
      </c>
      <c r="AN6" s="1191">
        <f t="shared" si="0"/>
        <v>65</v>
      </c>
      <c r="AO6" s="1191">
        <f t="shared" si="0"/>
        <v>65</v>
      </c>
      <c r="AP6" s="1209">
        <f t="shared" si="0"/>
        <v>65</v>
      </c>
    </row>
    <row r="7" spans="1:42" ht="11.25" customHeight="1" x14ac:dyDescent="0.2">
      <c r="A7" s="1100" t="s">
        <v>2242</v>
      </c>
      <c r="B7" s="1101"/>
      <c r="C7" s="1147"/>
      <c r="D7" s="1107" t="s">
        <v>2340</v>
      </c>
      <c r="E7" s="1107" t="s">
        <v>2340</v>
      </c>
      <c r="F7" s="1107" t="s">
        <v>2340</v>
      </c>
      <c r="G7" s="1107" t="s">
        <v>2340</v>
      </c>
      <c r="H7" s="1149" t="s">
        <v>2340</v>
      </c>
      <c r="I7" s="1149" t="s">
        <v>2340</v>
      </c>
      <c r="J7" s="1149" t="s">
        <v>2340</v>
      </c>
      <c r="K7" s="1149" t="s">
        <v>2340</v>
      </c>
      <c r="L7" s="1149" t="s">
        <v>2340</v>
      </c>
      <c r="M7" s="1149" t="s">
        <v>2340</v>
      </c>
      <c r="N7" s="1149" t="s">
        <v>2340</v>
      </c>
      <c r="O7" s="1149" t="s">
        <v>2340</v>
      </c>
      <c r="P7" s="1149" t="s">
        <v>2340</v>
      </c>
      <c r="Q7" s="1149" t="s">
        <v>2340</v>
      </c>
      <c r="R7" s="1149" t="s">
        <v>2341</v>
      </c>
      <c r="S7" s="1149" t="s">
        <v>2341</v>
      </c>
      <c r="T7" s="1149" t="s">
        <v>2341</v>
      </c>
      <c r="U7" s="1149" t="s">
        <v>2341</v>
      </c>
      <c r="V7" s="1149" t="s">
        <v>2341</v>
      </c>
      <c r="AB7" s="1190" t="s">
        <v>2343</v>
      </c>
      <c r="AC7" s="1307">
        <f t="shared" ref="AC7:AP7" si="1">0.622*(AC6/100*6.112*EXP((17.67*AC5)/(AC5+243.5)))/(1013.25-(AC6/100*6.112*EXP((17.67*AC5)/(AC5+243.5))))</f>
        <v>1.2900585465042545E-2</v>
      </c>
      <c r="AD7" s="1196">
        <f t="shared" si="1"/>
        <v>1.2900585465042545E-2</v>
      </c>
      <c r="AE7" s="1196">
        <f t="shared" si="1"/>
        <v>1.2900585465042545E-2</v>
      </c>
      <c r="AF7" s="1196">
        <f t="shared" si="1"/>
        <v>1.2900585465042545E-2</v>
      </c>
      <c r="AG7" s="1196">
        <f t="shared" si="1"/>
        <v>9.8762568766791597E-3</v>
      </c>
      <c r="AH7" s="1196">
        <f t="shared" si="1"/>
        <v>9.8762568766791597E-3</v>
      </c>
      <c r="AI7" s="1196">
        <f t="shared" si="1"/>
        <v>9.8762568766791597E-3</v>
      </c>
      <c r="AJ7" s="1196">
        <f t="shared" si="1"/>
        <v>9.8762568766791597E-3</v>
      </c>
      <c r="AK7" s="1196">
        <f t="shared" si="1"/>
        <v>1.1953353619756312E-2</v>
      </c>
      <c r="AL7" s="1196">
        <f t="shared" si="1"/>
        <v>1.1953353619756312E-2</v>
      </c>
      <c r="AM7" s="1196">
        <f t="shared" si="1"/>
        <v>1.1953353619756312E-2</v>
      </c>
      <c r="AN7" s="1196">
        <f t="shared" si="1"/>
        <v>1.2900585465042545E-2</v>
      </c>
      <c r="AO7" s="1196">
        <f t="shared" si="1"/>
        <v>1.2900585465042545E-2</v>
      </c>
      <c r="AP7" s="1308">
        <f t="shared" si="1"/>
        <v>1.2900585465042545E-2</v>
      </c>
    </row>
    <row r="8" spans="1:42" ht="11.25" customHeight="1" x14ac:dyDescent="0.2">
      <c r="A8" s="1100" t="s">
        <v>2244</v>
      </c>
      <c r="B8" s="1101"/>
      <c r="C8" s="1147"/>
      <c r="D8" s="1110"/>
      <c r="E8" s="1110"/>
      <c r="F8" s="1110"/>
      <c r="G8" s="1110"/>
      <c r="H8" s="1158"/>
      <c r="I8" s="1158"/>
      <c r="J8" s="1158"/>
      <c r="K8" s="1158"/>
      <c r="L8" s="1158"/>
      <c r="M8" s="1158"/>
      <c r="N8" s="1158"/>
      <c r="O8" s="1158"/>
      <c r="P8" s="1158"/>
      <c r="Q8" s="1158"/>
      <c r="R8" s="1158"/>
      <c r="S8" s="1158"/>
      <c r="T8" s="1158"/>
      <c r="U8" s="1158"/>
      <c r="V8" s="1158"/>
      <c r="AB8" s="1190" t="s">
        <v>2344</v>
      </c>
      <c r="AC8" s="1210">
        <f t="shared" ref="AC8:AP9" si="2">D27</f>
        <v>18</v>
      </c>
      <c r="AD8" s="1191">
        <f t="shared" si="2"/>
        <v>18.899999999999999</v>
      </c>
      <c r="AE8" s="1191">
        <f t="shared" si="2"/>
        <v>17.100000000000001</v>
      </c>
      <c r="AF8" s="1191">
        <f t="shared" si="2"/>
        <v>17.399999999999999</v>
      </c>
      <c r="AG8" s="1191">
        <f t="shared" si="2"/>
        <v>17.100000000000001</v>
      </c>
      <c r="AH8" s="1191">
        <f t="shared" si="2"/>
        <v>15.8</v>
      </c>
      <c r="AI8" s="1191">
        <f t="shared" si="2"/>
        <v>16.3</v>
      </c>
      <c r="AJ8" s="1191">
        <f t="shared" si="2"/>
        <v>16.7</v>
      </c>
      <c r="AK8" s="1191">
        <f t="shared" si="2"/>
        <v>16.100000000000001</v>
      </c>
      <c r="AL8" s="1191">
        <f t="shared" si="2"/>
        <v>16.7</v>
      </c>
      <c r="AM8" s="1191">
        <f t="shared" si="2"/>
        <v>17.3</v>
      </c>
      <c r="AN8" s="1191">
        <f t="shared" si="2"/>
        <v>15.5</v>
      </c>
      <c r="AO8" s="1191">
        <f t="shared" si="2"/>
        <v>16</v>
      </c>
      <c r="AP8" s="1209">
        <f t="shared" si="2"/>
        <v>16.5</v>
      </c>
    </row>
    <row r="9" spans="1:42" ht="11.25" customHeight="1" x14ac:dyDescent="0.2">
      <c r="A9" s="1100" t="s">
        <v>2246</v>
      </c>
      <c r="B9" s="1101"/>
      <c r="C9" s="1147"/>
      <c r="D9" s="1107" t="s">
        <v>2345</v>
      </c>
      <c r="E9" s="1107" t="s">
        <v>2345</v>
      </c>
      <c r="F9" s="1107" t="s">
        <v>2345</v>
      </c>
      <c r="G9" s="1107" t="s">
        <v>2345</v>
      </c>
      <c r="H9" s="1149" t="s">
        <v>2345</v>
      </c>
      <c r="I9" s="1149" t="s">
        <v>2345</v>
      </c>
      <c r="J9" s="1149" t="s">
        <v>2345</v>
      </c>
      <c r="K9" s="1149" t="s">
        <v>2345</v>
      </c>
      <c r="L9" s="1149" t="s">
        <v>2345</v>
      </c>
      <c r="M9" s="1149" t="s">
        <v>2345</v>
      </c>
      <c r="N9" s="1149" t="s">
        <v>2345</v>
      </c>
      <c r="O9" s="1149" t="s">
        <v>2345</v>
      </c>
      <c r="P9" s="1149" t="s">
        <v>2345</v>
      </c>
      <c r="Q9" s="1149" t="s">
        <v>2345</v>
      </c>
      <c r="R9" s="1149" t="s">
        <v>2345</v>
      </c>
      <c r="S9" s="1149" t="s">
        <v>2345</v>
      </c>
      <c r="T9" s="1149" t="s">
        <v>2345</v>
      </c>
      <c r="U9" s="1149" t="s">
        <v>2345</v>
      </c>
      <c r="V9" s="1149" t="s">
        <v>2345</v>
      </c>
      <c r="AB9" s="1190" t="s">
        <v>2346</v>
      </c>
      <c r="AC9" s="1210">
        <f t="shared" si="2"/>
        <v>97</v>
      </c>
      <c r="AD9" s="1191">
        <f t="shared" si="2"/>
        <v>94</v>
      </c>
      <c r="AE9" s="1191">
        <f t="shared" si="2"/>
        <v>99</v>
      </c>
      <c r="AF9" s="1191">
        <f t="shared" si="2"/>
        <v>99</v>
      </c>
      <c r="AG9" s="1191">
        <f t="shared" si="2"/>
        <v>81</v>
      </c>
      <c r="AH9" s="1191">
        <f t="shared" si="2"/>
        <v>88</v>
      </c>
      <c r="AI9" s="1191">
        <f t="shared" si="2"/>
        <v>85</v>
      </c>
      <c r="AJ9" s="1191">
        <f t="shared" si="2"/>
        <v>83</v>
      </c>
      <c r="AK9" s="1191">
        <f t="shared" si="2"/>
        <v>99</v>
      </c>
      <c r="AL9" s="1191">
        <f t="shared" si="2"/>
        <v>98</v>
      </c>
      <c r="AM9" s="1191">
        <f t="shared" si="2"/>
        <v>96</v>
      </c>
      <c r="AN9" s="1191">
        <f t="shared" si="2"/>
        <v>100</v>
      </c>
      <c r="AO9" s="1191">
        <f t="shared" si="2"/>
        <v>100</v>
      </c>
      <c r="AP9" s="1209">
        <f t="shared" si="2"/>
        <v>100</v>
      </c>
    </row>
    <row r="10" spans="1:42" ht="11.25" customHeight="1" x14ac:dyDescent="0.2">
      <c r="A10" s="1100" t="s">
        <v>2248</v>
      </c>
      <c r="B10" s="1101"/>
      <c r="C10" s="1147"/>
      <c r="D10" s="1107" t="s">
        <v>2249</v>
      </c>
      <c r="E10" s="1107" t="s">
        <v>2249</v>
      </c>
      <c r="F10" s="1107" t="s">
        <v>2249</v>
      </c>
      <c r="G10" s="1107" t="s">
        <v>2249</v>
      </c>
      <c r="H10" s="1149" t="s">
        <v>2249</v>
      </c>
      <c r="I10" s="1149" t="s">
        <v>2249</v>
      </c>
      <c r="J10" s="1149" t="s">
        <v>2249</v>
      </c>
      <c r="K10" s="1149" t="s">
        <v>2250</v>
      </c>
      <c r="L10" s="1149" t="s">
        <v>2249</v>
      </c>
      <c r="M10" s="1149" t="s">
        <v>2249</v>
      </c>
      <c r="N10" s="1149" t="s">
        <v>2249</v>
      </c>
      <c r="O10" s="1149" t="s">
        <v>2249</v>
      </c>
      <c r="P10" s="1149" t="s">
        <v>2249</v>
      </c>
      <c r="Q10" s="1149" t="s">
        <v>2250</v>
      </c>
      <c r="R10" s="1149" t="s">
        <v>2249</v>
      </c>
      <c r="S10" s="1149" t="s">
        <v>2249</v>
      </c>
      <c r="T10" s="1149" t="s">
        <v>2249</v>
      </c>
      <c r="U10" s="1149" t="s">
        <v>2249</v>
      </c>
      <c r="V10" s="1149" t="s">
        <v>2249</v>
      </c>
      <c r="AB10" s="1190" t="s">
        <v>2347</v>
      </c>
      <c r="AC10" s="1307">
        <f t="shared" ref="AC10:AP10" si="3">0.622*(AC9/100*6.112*EXP((17.67*AC8)/(AC8+243.5)))/(1013.25-(AC9/100*6.112*EXP((17.67*AC8)/(AC8+243.5))))</f>
        <v>1.2529054243914864E-2</v>
      </c>
      <c r="AD10" s="1196">
        <f t="shared" si="3"/>
        <v>1.2853019141369087E-2</v>
      </c>
      <c r="AE10" s="1196">
        <f t="shared" si="3"/>
        <v>1.2072318210643872E-2</v>
      </c>
      <c r="AF10" s="1196">
        <f t="shared" si="3"/>
        <v>1.2308277993899245E-2</v>
      </c>
      <c r="AG10" s="1196">
        <f t="shared" si="3"/>
        <v>9.8426177894219702E-3</v>
      </c>
      <c r="AH10" s="1196">
        <f t="shared" si="3"/>
        <v>9.8437390283894668E-3</v>
      </c>
      <c r="AI10" s="1196">
        <f t="shared" si="3"/>
        <v>9.8162714919157248E-3</v>
      </c>
      <c r="AJ10" s="1196">
        <f t="shared" si="3"/>
        <v>9.8327260215261402E-3</v>
      </c>
      <c r="AK10" s="1196">
        <f t="shared" si="3"/>
        <v>1.1314894217852324E-2</v>
      </c>
      <c r="AL10" s="1196">
        <f t="shared" si="3"/>
        <v>1.1642987680377035E-2</v>
      </c>
      <c r="AM10" s="1196">
        <f t="shared" si="3"/>
        <v>1.1851525571860906E-2</v>
      </c>
      <c r="AN10" s="1196">
        <f t="shared" si="3"/>
        <v>1.0993083746798102E-2</v>
      </c>
      <c r="AO10" s="1196">
        <f t="shared" si="3"/>
        <v>1.135717931203881E-2</v>
      </c>
      <c r="AP10" s="1308">
        <f t="shared" si="3"/>
        <v>1.1732085729179709E-2</v>
      </c>
    </row>
    <row r="11" spans="1:42" ht="11.25" customHeight="1" x14ac:dyDescent="0.2">
      <c r="A11" s="1100" t="s">
        <v>2252</v>
      </c>
      <c r="B11" s="1101"/>
      <c r="C11" s="1147"/>
      <c r="D11" s="1107" t="s">
        <v>2249</v>
      </c>
      <c r="E11" s="1107" t="s">
        <v>2249</v>
      </c>
      <c r="F11" s="1107" t="s">
        <v>2249</v>
      </c>
      <c r="G11" s="1107" t="s">
        <v>2249</v>
      </c>
      <c r="H11" s="1149" t="s">
        <v>2249</v>
      </c>
      <c r="I11" s="1149" t="s">
        <v>2249</v>
      </c>
      <c r="J11" s="1149" t="s">
        <v>2249</v>
      </c>
      <c r="K11" s="1149" t="s">
        <v>2249</v>
      </c>
      <c r="L11" s="1149" t="s">
        <v>2249</v>
      </c>
      <c r="M11" s="1149" t="s">
        <v>2249</v>
      </c>
      <c r="N11" s="1149" t="s">
        <v>2249</v>
      </c>
      <c r="O11" s="1149" t="s">
        <v>2249</v>
      </c>
      <c r="P11" s="1149" t="s">
        <v>2249</v>
      </c>
      <c r="Q11" s="1149" t="s">
        <v>2249</v>
      </c>
      <c r="R11" s="1149" t="s">
        <v>2249</v>
      </c>
      <c r="S11" s="1149" t="s">
        <v>2249</v>
      </c>
      <c r="T11" s="1149" t="s">
        <v>2249</v>
      </c>
      <c r="U11" s="1149" t="s">
        <v>2249</v>
      </c>
      <c r="V11" s="1149" t="s">
        <v>2249</v>
      </c>
      <c r="AB11" s="1190" t="s">
        <v>2348</v>
      </c>
      <c r="AC11" s="1218">
        <f t="shared" ref="AC11:AP11" si="4">AC4*(AC7-AC10)*2500</f>
        <v>0.22291873267660903</v>
      </c>
      <c r="AD11" s="1198">
        <f t="shared" si="4"/>
        <v>4.2809691306112604E-2</v>
      </c>
      <c r="AE11" s="1198">
        <f t="shared" si="4"/>
        <v>0.99392070527840737</v>
      </c>
      <c r="AF11" s="1198">
        <f t="shared" si="4"/>
        <v>0.88846120671494999</v>
      </c>
      <c r="AG11" s="1198">
        <f t="shared" si="4"/>
        <v>6.0550357062941207E-2</v>
      </c>
      <c r="AH11" s="1198">
        <f t="shared" si="4"/>
        <v>2.9266063460723666E-2</v>
      </c>
      <c r="AI11" s="1198">
        <f t="shared" si="4"/>
        <v>7.1982461716121882E-2</v>
      </c>
      <c r="AJ11" s="1198">
        <f t="shared" si="4"/>
        <v>6.5296282729529295E-2</v>
      </c>
      <c r="AK11" s="1198">
        <f t="shared" si="4"/>
        <v>0.57461346171358962</v>
      </c>
      <c r="AL11" s="1198">
        <f t="shared" si="4"/>
        <v>0.3724391272551329</v>
      </c>
      <c r="AM11" s="1198">
        <f t="shared" si="4"/>
        <v>0.15274207184310956</v>
      </c>
      <c r="AN11" s="1198">
        <f t="shared" si="4"/>
        <v>1.7167515464199994</v>
      </c>
      <c r="AO11" s="1198">
        <f t="shared" si="4"/>
        <v>1.8520873836044824</v>
      </c>
      <c r="AP11" s="1217">
        <f t="shared" si="4"/>
        <v>1.7527496037942538</v>
      </c>
    </row>
    <row r="12" spans="1:42" ht="11.25" customHeight="1" x14ac:dyDescent="0.2">
      <c r="A12" s="1100" t="s">
        <v>2254</v>
      </c>
      <c r="B12" s="1101"/>
      <c r="C12" s="1147"/>
      <c r="D12" s="1107" t="s">
        <v>2255</v>
      </c>
      <c r="E12" s="1107" t="s">
        <v>2255</v>
      </c>
      <c r="F12" s="1107" t="s">
        <v>2255</v>
      </c>
      <c r="G12" s="1107" t="s">
        <v>2255</v>
      </c>
      <c r="H12" s="1149" t="s">
        <v>2255</v>
      </c>
      <c r="I12" s="1149" t="s">
        <v>2255</v>
      </c>
      <c r="J12" s="1149" t="s">
        <v>2255</v>
      </c>
      <c r="K12" s="1149" t="s">
        <v>2255</v>
      </c>
      <c r="L12" s="1149" t="s">
        <v>2255</v>
      </c>
      <c r="M12" s="1149" t="s">
        <v>2255</v>
      </c>
      <c r="N12" s="1149" t="s">
        <v>2255</v>
      </c>
      <c r="O12" s="1149" t="s">
        <v>2255</v>
      </c>
      <c r="P12" s="1149" t="s">
        <v>2255</v>
      </c>
      <c r="Q12" s="1149" t="s">
        <v>2255</v>
      </c>
      <c r="R12" s="1149" t="s">
        <v>2406</v>
      </c>
      <c r="S12" s="1149" t="s">
        <v>2406</v>
      </c>
      <c r="T12" s="1149" t="s">
        <v>2406</v>
      </c>
      <c r="U12" s="1149" t="s">
        <v>2406</v>
      </c>
      <c r="V12" s="1149" t="s">
        <v>2406</v>
      </c>
      <c r="AA12" s="1220"/>
      <c r="AC12" s="1309">
        <f t="shared" ref="AC12:AP12" si="5">1-AC10/AC7</f>
        <v>2.8799562789955657E-2</v>
      </c>
      <c r="AD12" s="1310">
        <f t="shared" si="5"/>
        <v>3.6871445720313423E-3</v>
      </c>
      <c r="AE12" s="1310">
        <f t="shared" si="5"/>
        <v>6.4203850022394371E-2</v>
      </c>
      <c r="AF12" s="1310">
        <f t="shared" si="5"/>
        <v>4.5913224074078607E-2</v>
      </c>
      <c r="AG12" s="1310">
        <f t="shared" si="5"/>
        <v>3.4060563305741143E-3</v>
      </c>
      <c r="AH12" s="1310">
        <f t="shared" si="5"/>
        <v>3.2925275937767395E-3</v>
      </c>
      <c r="AI12" s="1310">
        <f t="shared" si="5"/>
        <v>6.0736962912617543E-3</v>
      </c>
      <c r="AJ12" s="1310">
        <f t="shared" si="5"/>
        <v>4.407626866794967E-3</v>
      </c>
      <c r="AK12" s="1310">
        <f t="shared" si="5"/>
        <v>5.3412575433956277E-2</v>
      </c>
      <c r="AL12" s="1310">
        <f t="shared" si="5"/>
        <v>2.5964758447897807E-2</v>
      </c>
      <c r="AM12" s="1310">
        <f t="shared" si="5"/>
        <v>8.5187848644506792E-3</v>
      </c>
      <c r="AN12" s="1310">
        <f t="shared" si="5"/>
        <v>0.14786163956770104</v>
      </c>
      <c r="AO12" s="1310">
        <f t="shared" si="5"/>
        <v>0.11963845805184514</v>
      </c>
      <c r="AP12" s="1311">
        <f t="shared" si="5"/>
        <v>9.0577264034193417E-2</v>
      </c>
    </row>
    <row r="13" spans="1:42" ht="11.25" customHeight="1" x14ac:dyDescent="0.2">
      <c r="A13" s="1100" t="s">
        <v>2256</v>
      </c>
      <c r="B13" s="1100" t="s">
        <v>2257</v>
      </c>
      <c r="C13" s="1147"/>
      <c r="D13" s="1110"/>
      <c r="E13" s="1110"/>
      <c r="F13" s="1110"/>
      <c r="G13" s="1110"/>
      <c r="H13" s="1158"/>
      <c r="I13" s="1158"/>
      <c r="J13" s="1158"/>
      <c r="K13" s="1158"/>
      <c r="L13" s="1158"/>
      <c r="M13" s="1158"/>
      <c r="N13" s="1158"/>
      <c r="O13" s="1158"/>
      <c r="P13" s="1158"/>
      <c r="Q13" s="1158"/>
      <c r="R13" s="1149">
        <v>35</v>
      </c>
      <c r="S13" s="1149">
        <v>35</v>
      </c>
      <c r="T13" s="1149">
        <v>35</v>
      </c>
      <c r="U13" s="1149">
        <v>35</v>
      </c>
      <c r="V13" s="1149">
        <v>35</v>
      </c>
      <c r="AA13" s="1220"/>
      <c r="AB13" s="1190" t="s">
        <v>2350</v>
      </c>
      <c r="AC13" s="1304">
        <f t="shared" ref="AC13:AP14" si="6">D33</f>
        <v>10</v>
      </c>
      <c r="AD13" s="1304">
        <f t="shared" si="6"/>
        <v>10</v>
      </c>
      <c r="AE13" s="1304">
        <f t="shared" si="6"/>
        <v>10</v>
      </c>
      <c r="AF13" s="1304">
        <f t="shared" si="6"/>
        <v>10</v>
      </c>
      <c r="AG13" s="1304">
        <f t="shared" si="6"/>
        <v>10</v>
      </c>
      <c r="AH13" s="1304">
        <f t="shared" si="6"/>
        <v>10</v>
      </c>
      <c r="AI13" s="1304">
        <f t="shared" si="6"/>
        <v>10</v>
      </c>
      <c r="AJ13" s="1304">
        <f t="shared" si="6"/>
        <v>10</v>
      </c>
      <c r="AK13" s="1304">
        <f t="shared" si="6"/>
        <v>10</v>
      </c>
      <c r="AL13" s="1304">
        <f t="shared" si="6"/>
        <v>10</v>
      </c>
      <c r="AM13" s="1304">
        <f t="shared" si="6"/>
        <v>10</v>
      </c>
      <c r="AN13" s="1304">
        <f t="shared" si="6"/>
        <v>10</v>
      </c>
      <c r="AO13" s="1304">
        <f t="shared" si="6"/>
        <v>10</v>
      </c>
      <c r="AP13" s="1312">
        <f t="shared" si="6"/>
        <v>10</v>
      </c>
    </row>
    <row r="14" spans="1:42" ht="11.25" customHeight="1" x14ac:dyDescent="0.2">
      <c r="A14" s="1101"/>
      <c r="B14" s="1101"/>
      <c r="C14" s="1101"/>
      <c r="D14" s="1115"/>
      <c r="E14" s="1115"/>
      <c r="F14" s="1115"/>
      <c r="G14" s="1115"/>
      <c r="H14" s="1159"/>
      <c r="I14" s="1159"/>
      <c r="J14" s="1159"/>
      <c r="K14" s="1159"/>
      <c r="L14" s="1159"/>
      <c r="M14" s="1159"/>
      <c r="N14" s="1159"/>
      <c r="O14" s="1159"/>
      <c r="P14" s="1159"/>
      <c r="Q14" s="1159"/>
      <c r="R14" s="1159"/>
      <c r="S14" s="1159"/>
      <c r="T14" s="1159"/>
      <c r="U14" s="1159"/>
      <c r="V14" s="1159"/>
      <c r="AB14" s="1190" t="s">
        <v>2351</v>
      </c>
      <c r="AC14" s="1304">
        <f t="shared" si="6"/>
        <v>18</v>
      </c>
      <c r="AD14" s="1304">
        <f t="shared" si="6"/>
        <v>18</v>
      </c>
      <c r="AE14" s="1304">
        <f t="shared" si="6"/>
        <v>18</v>
      </c>
      <c r="AF14" s="1304">
        <f t="shared" si="6"/>
        <v>18</v>
      </c>
      <c r="AG14" s="1304">
        <f t="shared" si="6"/>
        <v>18</v>
      </c>
      <c r="AH14" s="1304">
        <f t="shared" si="6"/>
        <v>18</v>
      </c>
      <c r="AI14" s="1304">
        <f t="shared" si="6"/>
        <v>18</v>
      </c>
      <c r="AJ14" s="1304">
        <f t="shared" si="6"/>
        <v>18</v>
      </c>
      <c r="AK14" s="1304">
        <f t="shared" si="6"/>
        <v>18</v>
      </c>
      <c r="AL14" s="1304">
        <f t="shared" si="6"/>
        <v>18</v>
      </c>
      <c r="AM14" s="1304">
        <f t="shared" si="6"/>
        <v>18</v>
      </c>
      <c r="AN14" s="1304">
        <f t="shared" si="6"/>
        <v>15</v>
      </c>
      <c r="AO14" s="1304">
        <f t="shared" si="6"/>
        <v>15</v>
      </c>
      <c r="AP14" s="1312">
        <f t="shared" si="6"/>
        <v>15</v>
      </c>
    </row>
    <row r="15" spans="1:42" ht="11.25" customHeight="1" x14ac:dyDescent="0.2">
      <c r="A15" s="1100" t="s">
        <v>2261</v>
      </c>
      <c r="B15" s="1100" t="s">
        <v>2262</v>
      </c>
      <c r="C15" s="1147"/>
      <c r="D15" s="1107">
        <v>650</v>
      </c>
      <c r="E15" s="1107">
        <v>650</v>
      </c>
      <c r="F15" s="1107">
        <v>650</v>
      </c>
      <c r="G15" s="1107">
        <v>650</v>
      </c>
      <c r="H15" s="1149">
        <v>650</v>
      </c>
      <c r="I15" s="1149">
        <v>650</v>
      </c>
      <c r="J15" s="1149">
        <v>650</v>
      </c>
      <c r="K15" s="1149">
        <v>650</v>
      </c>
      <c r="L15" s="1149">
        <v>650</v>
      </c>
      <c r="M15" s="1149">
        <v>650</v>
      </c>
      <c r="N15" s="1149">
        <v>650</v>
      </c>
      <c r="O15" s="1149">
        <v>650</v>
      </c>
      <c r="P15" s="1149">
        <v>650</v>
      </c>
      <c r="Q15" s="1149">
        <v>650</v>
      </c>
      <c r="R15" s="1149">
        <v>650</v>
      </c>
      <c r="S15" s="1149">
        <v>650</v>
      </c>
      <c r="T15" s="1149">
        <v>650</v>
      </c>
      <c r="U15" s="1149">
        <v>650</v>
      </c>
      <c r="V15" s="1149">
        <v>650</v>
      </c>
      <c r="AB15" s="1190" t="s">
        <v>334</v>
      </c>
      <c r="AC15" s="1304">
        <f>AVERAGE(AC13:AC14)</f>
        <v>14</v>
      </c>
      <c r="AD15" s="1304">
        <f t="shared" ref="AD15:AP15" si="7">AVERAGE(AD13:AD14)</f>
        <v>14</v>
      </c>
      <c r="AE15" s="1304">
        <f t="shared" si="7"/>
        <v>14</v>
      </c>
      <c r="AF15" s="1304">
        <f t="shared" si="7"/>
        <v>14</v>
      </c>
      <c r="AG15" s="1304">
        <f t="shared" si="7"/>
        <v>14</v>
      </c>
      <c r="AH15" s="1304">
        <f t="shared" si="7"/>
        <v>14</v>
      </c>
      <c r="AI15" s="1304">
        <f t="shared" si="7"/>
        <v>14</v>
      </c>
      <c r="AJ15" s="1304">
        <f t="shared" si="7"/>
        <v>14</v>
      </c>
      <c r="AK15" s="1304">
        <f t="shared" si="7"/>
        <v>14</v>
      </c>
      <c r="AL15" s="1304">
        <f t="shared" si="7"/>
        <v>14</v>
      </c>
      <c r="AM15" s="1304">
        <f t="shared" si="7"/>
        <v>14</v>
      </c>
      <c r="AN15" s="1304">
        <f t="shared" si="7"/>
        <v>12.5</v>
      </c>
      <c r="AO15" s="1304">
        <f t="shared" si="7"/>
        <v>12.5</v>
      </c>
      <c r="AP15" s="1312">
        <f t="shared" si="7"/>
        <v>12.5</v>
      </c>
    </row>
    <row r="16" spans="1:42" ht="11.25" customHeight="1" x14ac:dyDescent="0.2">
      <c r="A16" s="1100" t="s">
        <v>2263</v>
      </c>
      <c r="B16" s="1100" t="s">
        <v>2262</v>
      </c>
      <c r="C16" s="1147"/>
      <c r="D16" s="1107">
        <v>450</v>
      </c>
      <c r="E16" s="1107">
        <v>450</v>
      </c>
      <c r="F16" s="1107">
        <v>450</v>
      </c>
      <c r="G16" s="1107">
        <v>450</v>
      </c>
      <c r="H16" s="1149">
        <v>450</v>
      </c>
      <c r="I16" s="1149">
        <v>450</v>
      </c>
      <c r="J16" s="1149">
        <v>450</v>
      </c>
      <c r="K16" s="1149">
        <v>450</v>
      </c>
      <c r="L16" s="1149">
        <v>450</v>
      </c>
      <c r="M16" s="1149">
        <v>450</v>
      </c>
      <c r="N16" s="1149">
        <v>450</v>
      </c>
      <c r="O16" s="1149">
        <v>450</v>
      </c>
      <c r="P16" s="1149">
        <v>450</v>
      </c>
      <c r="Q16" s="1149">
        <v>450</v>
      </c>
      <c r="R16" s="1149">
        <v>450</v>
      </c>
      <c r="S16" s="1149">
        <v>450</v>
      </c>
      <c r="T16" s="1149">
        <v>450</v>
      </c>
      <c r="U16" s="1149">
        <v>450</v>
      </c>
      <c r="V16" s="1149">
        <v>450</v>
      </c>
      <c r="AB16" s="1190"/>
      <c r="AC16" s="1214"/>
      <c r="AF16" s="1213"/>
      <c r="AG16" s="1214"/>
      <c r="AJ16" s="1213"/>
      <c r="AK16" s="1214"/>
      <c r="AM16" s="1213"/>
      <c r="AN16" s="1214"/>
      <c r="AP16" s="1213"/>
    </row>
    <row r="17" spans="1:42" ht="11.25" customHeight="1" x14ac:dyDescent="0.2">
      <c r="A17" s="1100" t="s">
        <v>2266</v>
      </c>
      <c r="B17" s="1100" t="s">
        <v>2262</v>
      </c>
      <c r="C17" s="1147"/>
      <c r="D17" s="1107">
        <v>710</v>
      </c>
      <c r="E17" s="1107">
        <v>710</v>
      </c>
      <c r="F17" s="1107">
        <v>710</v>
      </c>
      <c r="G17" s="1107">
        <v>710</v>
      </c>
      <c r="H17" s="1149">
        <v>710</v>
      </c>
      <c r="I17" s="1149">
        <v>710</v>
      </c>
      <c r="J17" s="1149">
        <v>710</v>
      </c>
      <c r="K17" s="1149">
        <v>710</v>
      </c>
      <c r="L17" s="1149">
        <v>710</v>
      </c>
      <c r="M17" s="1149">
        <v>710</v>
      </c>
      <c r="N17" s="1149">
        <v>710</v>
      </c>
      <c r="O17" s="1149">
        <v>710</v>
      </c>
      <c r="P17" s="1149">
        <v>710</v>
      </c>
      <c r="Q17" s="1149">
        <v>710</v>
      </c>
      <c r="R17" s="1149">
        <v>710</v>
      </c>
      <c r="S17" s="1149">
        <v>710</v>
      </c>
      <c r="T17" s="1149">
        <v>710</v>
      </c>
      <c r="U17" s="1149">
        <v>710</v>
      </c>
      <c r="V17" s="1149">
        <v>710</v>
      </c>
      <c r="AB17" s="1190" t="s">
        <v>2352</v>
      </c>
      <c r="AC17" s="1218">
        <f t="shared" ref="AC17:AP19" si="8">D55</f>
        <v>1.8719999999999992</v>
      </c>
      <c r="AD17" s="1218">
        <f t="shared" si="8"/>
        <v>2.3039999999999994</v>
      </c>
      <c r="AE17" s="1218">
        <f t="shared" si="8"/>
        <v>4.8</v>
      </c>
      <c r="AF17" s="1313">
        <f t="shared" si="8"/>
        <v>5.5799999999999983</v>
      </c>
      <c r="AG17" s="1218">
        <f t="shared" si="8"/>
        <v>5.8319999999999954</v>
      </c>
      <c r="AH17" s="1218">
        <f t="shared" si="8"/>
        <v>3.3839999999999995</v>
      </c>
      <c r="AI17" s="1218">
        <f t="shared" si="8"/>
        <v>4.2719999999999994</v>
      </c>
      <c r="AJ17" s="1313">
        <f t="shared" si="8"/>
        <v>5.0999999999999996</v>
      </c>
      <c r="AK17" s="1218">
        <f t="shared" si="8"/>
        <v>5.6880000000000015</v>
      </c>
      <c r="AL17" s="1218">
        <f t="shared" si="8"/>
        <v>6.9120000000000026</v>
      </c>
      <c r="AM17" s="1313">
        <f t="shared" si="8"/>
        <v>7.9800000000000022</v>
      </c>
      <c r="AN17" s="1218">
        <f t="shared" si="8"/>
        <v>5.22</v>
      </c>
      <c r="AO17" s="1218">
        <f t="shared" si="8"/>
        <v>6.3360000000000012</v>
      </c>
      <c r="AP17" s="1313">
        <f t="shared" si="8"/>
        <v>7.0799999999999983</v>
      </c>
    </row>
    <row r="18" spans="1:42" ht="11.25" customHeight="1" x14ac:dyDescent="0.2">
      <c r="A18" s="1100" t="s">
        <v>2267</v>
      </c>
      <c r="B18" s="1100" t="s">
        <v>2262</v>
      </c>
      <c r="C18" s="1147"/>
      <c r="D18" s="1107">
        <v>450</v>
      </c>
      <c r="E18" s="1107">
        <v>450</v>
      </c>
      <c r="F18" s="1107">
        <v>450</v>
      </c>
      <c r="G18" s="1107">
        <v>450</v>
      </c>
      <c r="H18" s="1149">
        <v>450</v>
      </c>
      <c r="I18" s="1149">
        <v>450</v>
      </c>
      <c r="J18" s="1149">
        <v>450</v>
      </c>
      <c r="K18" s="1149">
        <v>450</v>
      </c>
      <c r="L18" s="1149">
        <v>450</v>
      </c>
      <c r="M18" s="1149">
        <v>450</v>
      </c>
      <c r="N18" s="1149">
        <v>450</v>
      </c>
      <c r="O18" s="1149">
        <v>450</v>
      </c>
      <c r="P18" s="1149">
        <v>450</v>
      </c>
      <c r="Q18" s="1149">
        <v>450</v>
      </c>
      <c r="R18" s="1149">
        <v>450</v>
      </c>
      <c r="S18" s="1149">
        <v>450</v>
      </c>
      <c r="T18" s="1149">
        <v>450</v>
      </c>
      <c r="U18" s="1149">
        <v>450</v>
      </c>
      <c r="V18" s="1149">
        <v>450</v>
      </c>
      <c r="AB18" s="1190" t="s">
        <v>2353</v>
      </c>
      <c r="AC18" s="1218">
        <f t="shared" si="8"/>
        <v>1.6883999999999997</v>
      </c>
      <c r="AD18" s="1218">
        <f t="shared" si="8"/>
        <v>2.2069800000000002</v>
      </c>
      <c r="AE18" s="1218">
        <f t="shared" si="8"/>
        <v>3.8109599999999988</v>
      </c>
      <c r="AF18" s="1313">
        <f t="shared" si="8"/>
        <v>4.5827999999999998</v>
      </c>
      <c r="AG18" s="1218">
        <f t="shared" si="8"/>
        <v>5.7164399999999986</v>
      </c>
      <c r="AH18" s="1218">
        <f t="shared" si="8"/>
        <v>3.3285599999999995</v>
      </c>
      <c r="AI18" s="1218">
        <f t="shared" si="8"/>
        <v>4.1968799999999993</v>
      </c>
      <c r="AJ18" s="1313">
        <f t="shared" si="8"/>
        <v>5.0048999999999992</v>
      </c>
      <c r="AK18" s="1218">
        <f t="shared" si="8"/>
        <v>5.0290199999999992</v>
      </c>
      <c r="AL18" s="1218">
        <f t="shared" si="8"/>
        <v>6.4159199999999998</v>
      </c>
      <c r="AM18" s="1313">
        <f t="shared" si="8"/>
        <v>7.6580999999999984</v>
      </c>
      <c r="AN18" s="1218">
        <f t="shared" si="8"/>
        <v>3.4370999999999996</v>
      </c>
      <c r="AO18" s="1218">
        <f t="shared" si="8"/>
        <v>4.3415999999999997</v>
      </c>
      <c r="AP18" s="1313">
        <f t="shared" si="8"/>
        <v>5.1254999999999988</v>
      </c>
    </row>
    <row r="19" spans="1:42" ht="11.25" customHeight="1" x14ac:dyDescent="0.2">
      <c r="A19" s="1100" t="s">
        <v>2268</v>
      </c>
      <c r="B19" s="1100" t="s">
        <v>2262</v>
      </c>
      <c r="C19" s="1147"/>
      <c r="D19" s="1107">
        <v>120</v>
      </c>
      <c r="E19" s="1107">
        <v>120</v>
      </c>
      <c r="F19" s="1107">
        <v>120</v>
      </c>
      <c r="G19" s="1107">
        <v>120</v>
      </c>
      <c r="H19" s="1149">
        <v>120</v>
      </c>
      <c r="I19" s="1149">
        <v>120</v>
      </c>
      <c r="J19" s="1149">
        <v>120</v>
      </c>
      <c r="K19" s="1149">
        <v>120</v>
      </c>
      <c r="L19" s="1149">
        <v>120</v>
      </c>
      <c r="M19" s="1149">
        <v>120</v>
      </c>
      <c r="N19" s="1149">
        <v>120</v>
      </c>
      <c r="O19" s="1149">
        <v>120</v>
      </c>
      <c r="P19" s="1149">
        <v>120</v>
      </c>
      <c r="Q19" s="1149">
        <v>120</v>
      </c>
      <c r="R19" s="1149">
        <v>120</v>
      </c>
      <c r="S19" s="1149">
        <v>120</v>
      </c>
      <c r="T19" s="1149">
        <v>120</v>
      </c>
      <c r="U19" s="1149">
        <v>120</v>
      </c>
      <c r="V19" s="1149">
        <v>120</v>
      </c>
      <c r="AB19" s="1190" t="s">
        <v>2354</v>
      </c>
      <c r="AC19" s="1218">
        <f t="shared" si="8"/>
        <v>0.18359999999999954</v>
      </c>
      <c r="AD19" s="1198">
        <f t="shared" si="8"/>
        <v>9.7019999999999218E-2</v>
      </c>
      <c r="AE19" s="1198">
        <f t="shared" si="8"/>
        <v>0.98904000000000103</v>
      </c>
      <c r="AF19" s="1217">
        <f t="shared" si="8"/>
        <v>0.99719999999999853</v>
      </c>
      <c r="AG19" s="1218">
        <f t="shared" si="8"/>
        <v>0.11555999999999678</v>
      </c>
      <c r="AH19" s="1198">
        <f t="shared" si="8"/>
        <v>5.5439999999999934E-2</v>
      </c>
      <c r="AI19" s="1198">
        <f t="shared" si="8"/>
        <v>7.5120000000000076E-2</v>
      </c>
      <c r="AJ19" s="1217">
        <f t="shared" si="8"/>
        <v>9.5100000000000406E-2</v>
      </c>
      <c r="AK19" s="1218">
        <f t="shared" si="8"/>
        <v>0.65898000000000234</v>
      </c>
      <c r="AL19" s="1198">
        <f t="shared" si="8"/>
        <v>0.49608000000000274</v>
      </c>
      <c r="AM19" s="1217">
        <f t="shared" si="8"/>
        <v>0.32190000000000385</v>
      </c>
      <c r="AN19" s="1218">
        <f t="shared" si="8"/>
        <v>1.7829000000000002</v>
      </c>
      <c r="AO19" s="1198">
        <f t="shared" si="8"/>
        <v>1.9944000000000015</v>
      </c>
      <c r="AP19" s="1217">
        <f t="shared" si="8"/>
        <v>1.9544999999999995</v>
      </c>
    </row>
    <row r="20" spans="1:42" ht="11.25" customHeight="1" x14ac:dyDescent="0.2">
      <c r="A20" s="1101"/>
      <c r="B20" s="1101"/>
      <c r="C20" s="1101"/>
      <c r="D20" s="1314"/>
      <c r="E20" s="1314"/>
      <c r="F20" s="1314"/>
      <c r="G20" s="1314"/>
      <c r="H20" s="1315"/>
      <c r="I20" s="1315"/>
      <c r="J20" s="1315"/>
      <c r="K20" s="1315"/>
      <c r="L20" s="1315"/>
      <c r="M20" s="1315"/>
      <c r="N20" s="1315"/>
      <c r="O20" s="1315"/>
      <c r="P20" s="1315"/>
      <c r="Q20" s="1315"/>
      <c r="R20" s="1315"/>
      <c r="S20" s="1315"/>
      <c r="T20" s="1315"/>
      <c r="U20" s="1315"/>
      <c r="V20" s="1315"/>
      <c r="AB20" s="1190" t="s">
        <v>2355</v>
      </c>
      <c r="AC20" s="1225">
        <f t="shared" ref="AC20:AP20" si="9">AC18/AC17</f>
        <v>0.90192307692307716</v>
      </c>
      <c r="AD20" s="1225">
        <f t="shared" si="9"/>
        <v>0.95789062500000033</v>
      </c>
      <c r="AE20" s="1225">
        <f t="shared" si="9"/>
        <v>0.79394999999999982</v>
      </c>
      <c r="AF20" s="1316">
        <f t="shared" si="9"/>
        <v>0.82129032258064538</v>
      </c>
      <c r="AG20" s="1225">
        <f t="shared" si="9"/>
        <v>0.98018518518518571</v>
      </c>
      <c r="AH20" s="1225">
        <f t="shared" si="9"/>
        <v>0.98361702127659578</v>
      </c>
      <c r="AI20" s="1225">
        <f t="shared" si="9"/>
        <v>0.98241573033707863</v>
      </c>
      <c r="AJ20" s="1316">
        <f t="shared" si="9"/>
        <v>0.98135294117647054</v>
      </c>
      <c r="AK20" s="1225">
        <f t="shared" si="9"/>
        <v>0.88414556962025281</v>
      </c>
      <c r="AL20" s="1225">
        <f t="shared" si="9"/>
        <v>0.92822916666666633</v>
      </c>
      <c r="AM20" s="1316">
        <f t="shared" si="9"/>
        <v>0.95966165413533788</v>
      </c>
      <c r="AN20" s="1225">
        <f t="shared" si="9"/>
        <v>0.65844827586206889</v>
      </c>
      <c r="AO20" s="1225">
        <f t="shared" si="9"/>
        <v>0.68522727272727257</v>
      </c>
      <c r="AP20" s="1316">
        <f t="shared" si="9"/>
        <v>0.72394067796610173</v>
      </c>
    </row>
    <row r="21" spans="1:42" ht="11.25" customHeight="1" x14ac:dyDescent="0.2">
      <c r="A21" s="1100" t="s">
        <v>2269</v>
      </c>
      <c r="B21" s="1100" t="s">
        <v>2270</v>
      </c>
      <c r="C21" s="1101"/>
      <c r="D21" s="1182">
        <v>1.9</v>
      </c>
      <c r="E21" s="1183">
        <v>2.2999999999999998</v>
      </c>
      <c r="F21" s="1183">
        <v>4.8</v>
      </c>
      <c r="G21" s="1183">
        <v>5.6</v>
      </c>
      <c r="H21" s="1184">
        <v>5.8</v>
      </c>
      <c r="I21" s="1185">
        <v>3.4</v>
      </c>
      <c r="J21" s="1186">
        <v>4.3</v>
      </c>
      <c r="K21" s="1184">
        <v>5.0999999999999996</v>
      </c>
      <c r="L21" s="1185">
        <v>5.7</v>
      </c>
      <c r="M21" s="1186">
        <v>6.9</v>
      </c>
      <c r="N21" s="1184">
        <v>8</v>
      </c>
      <c r="O21" s="1185">
        <v>5.2</v>
      </c>
      <c r="P21" s="1186">
        <v>6.3</v>
      </c>
      <c r="Q21" s="1184">
        <v>7.1</v>
      </c>
      <c r="R21" s="1185">
        <v>1.7</v>
      </c>
      <c r="S21" s="1186">
        <v>1.9</v>
      </c>
      <c r="T21" s="1186">
        <v>2.1</v>
      </c>
      <c r="U21" s="1186">
        <v>2.2000000000000002</v>
      </c>
      <c r="V21" s="1184">
        <v>2.2999999999999998</v>
      </c>
      <c r="AB21" s="1190"/>
      <c r="AC21" s="1214"/>
      <c r="AF21" s="1213"/>
      <c r="AG21" s="1214"/>
      <c r="AJ21" s="1213"/>
      <c r="AK21" s="1214"/>
      <c r="AM21" s="1213"/>
      <c r="AN21" s="1214"/>
      <c r="AP21" s="1213"/>
    </row>
    <row r="22" spans="1:42" ht="11.25" customHeight="1" x14ac:dyDescent="0.2">
      <c r="A22" s="1100" t="s">
        <v>2273</v>
      </c>
      <c r="B22" s="1100" t="s">
        <v>2274</v>
      </c>
      <c r="C22" s="1101"/>
      <c r="D22" s="1317">
        <v>0.2</v>
      </c>
      <c r="E22" s="1125">
        <v>0.3</v>
      </c>
      <c r="F22" s="1125">
        <v>0.4</v>
      </c>
      <c r="G22" s="1125">
        <v>0.5</v>
      </c>
      <c r="H22" s="1318">
        <v>0.6</v>
      </c>
      <c r="I22" s="1319">
        <v>0.3</v>
      </c>
      <c r="J22" s="1320">
        <v>0.4</v>
      </c>
      <c r="K22" s="1318">
        <v>0.5</v>
      </c>
      <c r="L22" s="1319">
        <v>0.3</v>
      </c>
      <c r="M22" s="1320">
        <v>0.4</v>
      </c>
      <c r="N22" s="1318">
        <v>0.5</v>
      </c>
      <c r="O22" s="1319">
        <v>0.3</v>
      </c>
      <c r="P22" s="1320">
        <v>0.4</v>
      </c>
      <c r="Q22" s="1318">
        <v>0.5</v>
      </c>
      <c r="R22" s="1319">
        <v>0.2</v>
      </c>
      <c r="S22" s="1320">
        <v>0.3</v>
      </c>
      <c r="T22" s="1320">
        <v>0.4</v>
      </c>
      <c r="U22" s="1320">
        <v>0.5</v>
      </c>
      <c r="V22" s="1318">
        <v>0.6</v>
      </c>
      <c r="AB22" s="1190" t="s">
        <v>2356</v>
      </c>
      <c r="AC22" s="1218">
        <f t="shared" ref="AC22:AP22" si="10">D72</f>
        <v>17.952310732769277</v>
      </c>
      <c r="AD22" s="1216">
        <f t="shared" si="10"/>
        <v>17.952310732769277</v>
      </c>
      <c r="AE22" s="1216">
        <f t="shared" si="10"/>
        <v>17.952310732769277</v>
      </c>
      <c r="AF22" s="1216">
        <f t="shared" si="10"/>
        <v>17.952310732769277</v>
      </c>
      <c r="AG22" s="1216">
        <f t="shared" si="10"/>
        <v>13.842291097036892</v>
      </c>
      <c r="AH22" s="1216">
        <f t="shared" si="10"/>
        <v>13.842291097036892</v>
      </c>
      <c r="AI22" s="1216">
        <f t="shared" si="10"/>
        <v>13.842291097036892</v>
      </c>
      <c r="AJ22" s="1216">
        <f t="shared" si="10"/>
        <v>13.842291097036892</v>
      </c>
      <c r="AK22" s="1216">
        <f t="shared" si="10"/>
        <v>16.750216472477977</v>
      </c>
      <c r="AL22" s="1216">
        <f t="shared" si="10"/>
        <v>16.750216472477977</v>
      </c>
      <c r="AM22" s="1216">
        <f t="shared" si="10"/>
        <v>16.750216472477977</v>
      </c>
      <c r="AN22" s="1216">
        <f t="shared" si="10"/>
        <v>17.952310732769277</v>
      </c>
      <c r="AO22" s="1216">
        <f t="shared" si="10"/>
        <v>17.952310732769277</v>
      </c>
      <c r="AP22" s="1321">
        <f t="shared" si="10"/>
        <v>17.952310732769277</v>
      </c>
    </row>
    <row r="23" spans="1:42" ht="11.25" customHeight="1" x14ac:dyDescent="0.2">
      <c r="A23" s="1100" t="s">
        <v>2276</v>
      </c>
      <c r="B23" s="1100" t="s">
        <v>2277</v>
      </c>
      <c r="C23" s="1101"/>
      <c r="D23" s="1187">
        <v>0.24</v>
      </c>
      <c r="E23" s="1107">
        <v>0.36</v>
      </c>
      <c r="F23" s="1107">
        <v>0.48</v>
      </c>
      <c r="G23" s="1107">
        <v>0.6</v>
      </c>
      <c r="H23" s="1188">
        <v>0.72</v>
      </c>
      <c r="I23" s="1189">
        <v>0.36</v>
      </c>
      <c r="J23" s="1149">
        <v>0.48</v>
      </c>
      <c r="K23" s="1188">
        <v>0.6</v>
      </c>
      <c r="L23" s="1189">
        <v>0.36</v>
      </c>
      <c r="M23" s="1149">
        <v>0.48</v>
      </c>
      <c r="N23" s="1188">
        <v>0.6</v>
      </c>
      <c r="O23" s="1189">
        <v>0.36</v>
      </c>
      <c r="P23" s="1149">
        <v>0.48</v>
      </c>
      <c r="Q23" s="1188">
        <v>0.6</v>
      </c>
      <c r="R23" s="1189">
        <v>0.24</v>
      </c>
      <c r="S23" s="1149">
        <v>0.36</v>
      </c>
      <c r="T23" s="1149">
        <v>0.48</v>
      </c>
      <c r="U23" s="1149">
        <v>0.6</v>
      </c>
      <c r="V23" s="1188">
        <v>0.72</v>
      </c>
      <c r="AB23" s="1190" t="s">
        <v>2357</v>
      </c>
      <c r="AC23" s="1225">
        <f t="shared" ref="AC23:AM23" si="11">(AC22-AC13)/(AC14-AC13)</f>
        <v>0.99403884159615963</v>
      </c>
      <c r="AD23" s="1230">
        <f t="shared" si="11"/>
        <v>0.99403884159615963</v>
      </c>
      <c r="AE23" s="1230">
        <f t="shared" si="11"/>
        <v>0.99403884159615963</v>
      </c>
      <c r="AF23" s="1230">
        <f t="shared" si="11"/>
        <v>0.99403884159615963</v>
      </c>
      <c r="AG23" s="1230">
        <f t="shared" si="11"/>
        <v>0.48028638712961147</v>
      </c>
      <c r="AH23" s="1230">
        <f t="shared" si="11"/>
        <v>0.48028638712961147</v>
      </c>
      <c r="AI23" s="1230">
        <f t="shared" si="11"/>
        <v>0.48028638712961147</v>
      </c>
      <c r="AJ23" s="1231">
        <f t="shared" si="11"/>
        <v>0.48028638712961147</v>
      </c>
      <c r="AK23" s="1225">
        <f t="shared" si="11"/>
        <v>0.84377705905974709</v>
      </c>
      <c r="AL23" s="1225">
        <f t="shared" si="11"/>
        <v>0.84377705905974709</v>
      </c>
      <c r="AM23" s="1226">
        <f t="shared" si="11"/>
        <v>0.84377705905974709</v>
      </c>
      <c r="AN23" s="1224">
        <f>(AN22-AN13)/(AN14-AN13)</f>
        <v>1.5904621465538553</v>
      </c>
      <c r="AO23" s="1225">
        <f t="shared" ref="AO23:AP23" si="12">(AO22-AO13)/(AO14-AO13)</f>
        <v>1.5904621465538553</v>
      </c>
      <c r="AP23" s="1316">
        <f t="shared" si="12"/>
        <v>1.5904621465538553</v>
      </c>
    </row>
    <row r="24" spans="1:42" ht="11.25" customHeight="1" x14ac:dyDescent="0.2">
      <c r="A24" s="1100" t="s">
        <v>2280</v>
      </c>
      <c r="B24" s="1100" t="s">
        <v>2281</v>
      </c>
      <c r="C24" s="1101"/>
      <c r="D24" s="1322">
        <v>25</v>
      </c>
      <c r="E24" s="1165">
        <v>25</v>
      </c>
      <c r="F24" s="1165">
        <v>25</v>
      </c>
      <c r="G24" s="1165">
        <v>25</v>
      </c>
      <c r="H24" s="1200">
        <v>25</v>
      </c>
      <c r="I24" s="1199">
        <v>25</v>
      </c>
      <c r="J24" s="1166">
        <v>25</v>
      </c>
      <c r="K24" s="1200">
        <v>25</v>
      </c>
      <c r="L24" s="1199">
        <v>30</v>
      </c>
      <c r="M24" s="1166">
        <v>30</v>
      </c>
      <c r="N24" s="1200">
        <v>30</v>
      </c>
      <c r="O24" s="1199">
        <v>25</v>
      </c>
      <c r="P24" s="1166">
        <v>25</v>
      </c>
      <c r="Q24" s="1200">
        <v>25</v>
      </c>
      <c r="R24" s="1199">
        <v>25</v>
      </c>
      <c r="S24" s="1166">
        <v>25</v>
      </c>
      <c r="T24" s="1166">
        <v>25</v>
      </c>
      <c r="U24" s="1166">
        <v>25</v>
      </c>
      <c r="V24" s="1200">
        <v>25</v>
      </c>
      <c r="AC24" s="1214"/>
      <c r="AJ24" s="1213"/>
      <c r="AK24" s="1214"/>
      <c r="AL24" s="1214"/>
      <c r="AM24" s="1215"/>
      <c r="AN24" s="1212"/>
      <c r="AO24" s="1214"/>
      <c r="AP24" s="1323"/>
    </row>
    <row r="25" spans="1:42" ht="11.25" customHeight="1" x14ac:dyDescent="0.2">
      <c r="A25" s="1100" t="s">
        <v>2358</v>
      </c>
      <c r="B25" s="1100" t="s">
        <v>2257</v>
      </c>
      <c r="C25" s="1101"/>
      <c r="D25" s="1322">
        <v>65</v>
      </c>
      <c r="E25" s="1165">
        <v>65</v>
      </c>
      <c r="F25" s="1165">
        <v>65</v>
      </c>
      <c r="G25" s="1165">
        <v>65</v>
      </c>
      <c r="H25" s="1200">
        <v>50</v>
      </c>
      <c r="I25" s="1199">
        <v>50</v>
      </c>
      <c r="J25" s="1166">
        <v>50</v>
      </c>
      <c r="K25" s="1200">
        <v>50</v>
      </c>
      <c r="L25" s="1199">
        <v>45</v>
      </c>
      <c r="M25" s="1166">
        <v>45</v>
      </c>
      <c r="N25" s="1200">
        <v>45</v>
      </c>
      <c r="O25" s="1199">
        <v>65</v>
      </c>
      <c r="P25" s="1166">
        <v>65</v>
      </c>
      <c r="Q25" s="1200">
        <v>65</v>
      </c>
      <c r="R25" s="1199">
        <v>65</v>
      </c>
      <c r="S25" s="1166">
        <v>65</v>
      </c>
      <c r="T25" s="1166">
        <v>65</v>
      </c>
      <c r="U25" s="1166">
        <v>65</v>
      </c>
      <c r="V25" s="1200">
        <v>65</v>
      </c>
      <c r="AC25" s="1235">
        <f t="shared" ref="AC25:AP25" si="13">D58</f>
        <v>0.90192307692307716</v>
      </c>
      <c r="AD25" s="1232">
        <f t="shared" si="13"/>
        <v>0.95789062500000033</v>
      </c>
      <c r="AE25" s="1232">
        <f t="shared" si="13"/>
        <v>0.79394999999999982</v>
      </c>
      <c r="AF25" s="1232">
        <f t="shared" si="13"/>
        <v>0.82129032258064538</v>
      </c>
      <c r="AG25" s="1232">
        <f t="shared" si="13"/>
        <v>0.98018518518518571</v>
      </c>
      <c r="AH25" s="1232">
        <f t="shared" si="13"/>
        <v>0.98361702127659578</v>
      </c>
      <c r="AI25" s="1232">
        <f t="shared" si="13"/>
        <v>0.98241573033707863</v>
      </c>
      <c r="AJ25" s="1232">
        <f t="shared" si="13"/>
        <v>0.98135294117647054</v>
      </c>
      <c r="AK25" s="1232">
        <f t="shared" si="13"/>
        <v>0.88414556962025281</v>
      </c>
      <c r="AL25" s="1232">
        <f t="shared" si="13"/>
        <v>0.92822916666666633</v>
      </c>
      <c r="AM25" s="1232">
        <f t="shared" si="13"/>
        <v>0.95966165413533788</v>
      </c>
      <c r="AN25" s="1232">
        <f t="shared" si="13"/>
        <v>0.65844827586206889</v>
      </c>
      <c r="AO25" s="1232">
        <f t="shared" si="13"/>
        <v>0.68522727272727257</v>
      </c>
      <c r="AP25" s="1324">
        <f t="shared" si="13"/>
        <v>0.72394067796610173</v>
      </c>
    </row>
    <row r="26" spans="1:42" ht="11.25" customHeight="1" x14ac:dyDescent="0.2">
      <c r="A26" s="1100" t="s">
        <v>2359</v>
      </c>
      <c r="B26" s="1100" t="s">
        <v>2360</v>
      </c>
      <c r="C26" s="1101"/>
      <c r="D26" s="1187">
        <v>58</v>
      </c>
      <c r="E26" s="1107">
        <v>58</v>
      </c>
      <c r="F26" s="1107">
        <v>58</v>
      </c>
      <c r="G26" s="1107">
        <v>58</v>
      </c>
      <c r="H26" s="1188">
        <v>50.3</v>
      </c>
      <c r="I26" s="1189">
        <v>50.3</v>
      </c>
      <c r="J26" s="1149">
        <v>50.3</v>
      </c>
      <c r="K26" s="1188">
        <v>50.3</v>
      </c>
      <c r="L26" s="1189">
        <v>60.7</v>
      </c>
      <c r="M26" s="1149">
        <v>60.7</v>
      </c>
      <c r="N26" s="1188">
        <v>60.7</v>
      </c>
      <c r="O26" s="1189">
        <v>58</v>
      </c>
      <c r="P26" s="1149">
        <v>58</v>
      </c>
      <c r="Q26" s="1188">
        <v>58</v>
      </c>
      <c r="R26" s="1189">
        <v>58</v>
      </c>
      <c r="S26" s="1149">
        <v>58</v>
      </c>
      <c r="T26" s="1149">
        <v>58</v>
      </c>
      <c r="U26" s="1149">
        <v>58</v>
      </c>
      <c r="V26" s="1188">
        <v>58</v>
      </c>
      <c r="AC26" s="1210">
        <f t="shared" ref="AC26:AP26" si="14">D60</f>
        <v>0.06</v>
      </c>
      <c r="AD26" s="1208">
        <f t="shared" si="14"/>
        <v>7.0000000000000007E-2</v>
      </c>
      <c r="AE26" s="1208">
        <f t="shared" si="14"/>
        <v>0.14000000000000001</v>
      </c>
      <c r="AF26" s="1208">
        <f t="shared" si="14"/>
        <v>0.17</v>
      </c>
      <c r="AG26" s="1208">
        <f t="shared" si="14"/>
        <v>0.17</v>
      </c>
      <c r="AH26" s="1208">
        <f t="shared" si="14"/>
        <v>0.1</v>
      </c>
      <c r="AI26" s="1208">
        <f t="shared" si="14"/>
        <v>0.13</v>
      </c>
      <c r="AJ26" s="1208">
        <f t="shared" si="14"/>
        <v>0.15</v>
      </c>
      <c r="AK26" s="1208">
        <f t="shared" si="14"/>
        <v>0.17</v>
      </c>
      <c r="AL26" s="1208">
        <f t="shared" si="14"/>
        <v>0.21</v>
      </c>
      <c r="AM26" s="1208">
        <f t="shared" si="14"/>
        <v>0.24</v>
      </c>
      <c r="AN26" s="1208">
        <f t="shared" si="14"/>
        <v>0.25</v>
      </c>
      <c r="AO26" s="1208">
        <f t="shared" si="14"/>
        <v>0.3</v>
      </c>
      <c r="AP26" s="1325">
        <f t="shared" si="14"/>
        <v>0.34</v>
      </c>
    </row>
    <row r="27" spans="1:42" ht="11.25" customHeight="1" x14ac:dyDescent="0.2">
      <c r="A27" s="1100" t="s">
        <v>2282</v>
      </c>
      <c r="B27" s="1100" t="s">
        <v>2281</v>
      </c>
      <c r="C27" s="1101"/>
      <c r="D27" s="1322">
        <v>18</v>
      </c>
      <c r="E27" s="1165">
        <v>18.899999999999999</v>
      </c>
      <c r="F27" s="1165">
        <v>17.100000000000001</v>
      </c>
      <c r="G27" s="1165">
        <v>17.399999999999999</v>
      </c>
      <c r="H27" s="1200">
        <v>17.100000000000001</v>
      </c>
      <c r="I27" s="1199">
        <v>15.8</v>
      </c>
      <c r="J27" s="1166">
        <v>16.3</v>
      </c>
      <c r="K27" s="1200">
        <v>16.7</v>
      </c>
      <c r="L27" s="1199">
        <v>16.100000000000001</v>
      </c>
      <c r="M27" s="1166">
        <v>16.7</v>
      </c>
      <c r="N27" s="1200">
        <v>17.3</v>
      </c>
      <c r="O27" s="1199">
        <v>15.5</v>
      </c>
      <c r="P27" s="1166">
        <v>16</v>
      </c>
      <c r="Q27" s="1200">
        <v>16.5</v>
      </c>
      <c r="R27" s="1199">
        <v>18.600000000000001</v>
      </c>
      <c r="S27" s="1166">
        <v>19.899999999999999</v>
      </c>
      <c r="T27" s="1166">
        <v>20.7</v>
      </c>
      <c r="U27" s="1166">
        <v>21.4</v>
      </c>
      <c r="V27" s="1200">
        <v>21.8</v>
      </c>
      <c r="AC27" s="1214"/>
      <c r="AP27" s="1213"/>
    </row>
    <row r="28" spans="1:42" ht="11.25" customHeight="1" x14ac:dyDescent="0.2">
      <c r="A28" s="1100" t="s">
        <v>2361</v>
      </c>
      <c r="B28" s="1100" t="s">
        <v>2257</v>
      </c>
      <c r="C28" s="1101"/>
      <c r="D28" s="1187">
        <v>97</v>
      </c>
      <c r="E28" s="1107">
        <v>94</v>
      </c>
      <c r="F28" s="1107">
        <v>99</v>
      </c>
      <c r="G28" s="1107">
        <v>99</v>
      </c>
      <c r="H28" s="1188">
        <v>81</v>
      </c>
      <c r="I28" s="1189">
        <v>88</v>
      </c>
      <c r="J28" s="1149">
        <v>85</v>
      </c>
      <c r="K28" s="1188">
        <v>83</v>
      </c>
      <c r="L28" s="1189">
        <v>99</v>
      </c>
      <c r="M28" s="1149">
        <v>98</v>
      </c>
      <c r="N28" s="1188">
        <v>96</v>
      </c>
      <c r="O28" s="1189">
        <v>100</v>
      </c>
      <c r="P28" s="1149">
        <v>100</v>
      </c>
      <c r="Q28" s="1188">
        <v>100</v>
      </c>
      <c r="R28" s="1189">
        <v>95</v>
      </c>
      <c r="S28" s="1149">
        <v>89</v>
      </c>
      <c r="T28" s="1149">
        <v>85</v>
      </c>
      <c r="U28" s="1149">
        <v>81</v>
      </c>
      <c r="V28" s="1188">
        <v>78</v>
      </c>
      <c r="AC28" s="1214"/>
      <c r="AJ28" s="1213"/>
      <c r="AK28" s="1214"/>
      <c r="AL28" s="1214"/>
      <c r="AM28" s="1215"/>
      <c r="AN28" s="1212"/>
      <c r="AO28" s="1214"/>
      <c r="AP28" s="1323"/>
    </row>
    <row r="29" spans="1:42" ht="11.25" customHeight="1" x14ac:dyDescent="0.2">
      <c r="A29" s="1100" t="s">
        <v>2362</v>
      </c>
      <c r="B29" s="1100" t="s">
        <v>2360</v>
      </c>
      <c r="C29" s="1101"/>
      <c r="D29" s="1187">
        <v>50.2</v>
      </c>
      <c r="E29" s="1107">
        <v>51.6</v>
      </c>
      <c r="F29" s="1107">
        <v>48</v>
      </c>
      <c r="G29" s="1107">
        <v>48.7</v>
      </c>
      <c r="H29" s="1188">
        <v>42.2</v>
      </c>
      <c r="I29" s="1189">
        <v>40.9</v>
      </c>
      <c r="J29" s="1149">
        <v>41.4</v>
      </c>
      <c r="K29" s="1188">
        <v>41.8</v>
      </c>
      <c r="L29" s="1189">
        <v>44.9</v>
      </c>
      <c r="M29" s="1149">
        <v>46.3</v>
      </c>
      <c r="N29" s="1188">
        <v>47.4</v>
      </c>
      <c r="O29" s="1189">
        <v>43.5</v>
      </c>
      <c r="P29" s="1149">
        <v>44.8</v>
      </c>
      <c r="Q29" s="1188">
        <v>46.2</v>
      </c>
      <c r="R29" s="1189">
        <v>51.1</v>
      </c>
      <c r="S29" s="1149">
        <v>52.7</v>
      </c>
      <c r="T29" s="1149">
        <v>53.5</v>
      </c>
      <c r="U29" s="1149">
        <v>54.3</v>
      </c>
      <c r="V29" s="1188">
        <v>54.8</v>
      </c>
      <c r="AC29" s="1326">
        <f>AC20*(AC23)</f>
        <v>0.89654657059345955</v>
      </c>
      <c r="AD29" s="1326">
        <f t="shared" ref="AD29:AP29" si="15">AD20*(AD23)</f>
        <v>0.95218048725082172</v>
      </c>
      <c r="AE29" s="1326">
        <f t="shared" si="15"/>
        <v>0.78921713828527074</v>
      </c>
      <c r="AF29" s="1326">
        <f t="shared" si="15"/>
        <v>0.81639448087220101</v>
      </c>
      <c r="AG29" s="1326">
        <f t="shared" si="15"/>
        <v>0.470769601310562</v>
      </c>
      <c r="AH29" s="1326">
        <f t="shared" si="15"/>
        <v>0.47241786546812636</v>
      </c>
      <c r="AI29" s="1326">
        <f t="shared" si="15"/>
        <v>0.47184090178289412</v>
      </c>
      <c r="AJ29" s="1326">
        <f t="shared" si="15"/>
        <v>0.47133045861666517</v>
      </c>
      <c r="AK29" s="1326">
        <f t="shared" si="15"/>
        <v>0.74602174851488179</v>
      </c>
      <c r="AL29" s="1326">
        <f t="shared" si="15"/>
        <v>0.78321847638347952</v>
      </c>
      <c r="AM29" s="1327">
        <f t="shared" si="15"/>
        <v>0.80974048821872757</v>
      </c>
      <c r="AN29" s="1328">
        <f t="shared" si="15"/>
        <v>1.0472370582222712</v>
      </c>
      <c r="AO29" s="1326">
        <f t="shared" si="15"/>
        <v>1.089828039059062</v>
      </c>
      <c r="AP29" s="1329">
        <f t="shared" si="15"/>
        <v>1.1514002446556195</v>
      </c>
    </row>
    <row r="30" spans="1:42" ht="11.25" customHeight="1" x14ac:dyDescent="0.2">
      <c r="A30" s="1100" t="s">
        <v>2284</v>
      </c>
      <c r="B30" s="1100" t="s">
        <v>2285</v>
      </c>
      <c r="C30" s="1101"/>
      <c r="D30" s="1187">
        <v>0.68</v>
      </c>
      <c r="E30" s="1107">
        <v>1.03</v>
      </c>
      <c r="F30" s="1107">
        <v>1.37</v>
      </c>
      <c r="G30" s="1107">
        <v>1.71</v>
      </c>
      <c r="H30" s="1188">
        <v>2.0499999999999998</v>
      </c>
      <c r="I30" s="1189">
        <v>1.03</v>
      </c>
      <c r="J30" s="1149">
        <v>1.37</v>
      </c>
      <c r="K30" s="1188">
        <v>1.71</v>
      </c>
      <c r="L30" s="1189">
        <v>1.03</v>
      </c>
      <c r="M30" s="1149">
        <v>1.37</v>
      </c>
      <c r="N30" s="1188">
        <v>1.71</v>
      </c>
      <c r="O30" s="1189">
        <v>1.03</v>
      </c>
      <c r="P30" s="1149">
        <v>1.37</v>
      </c>
      <c r="Q30" s="1188">
        <v>1.71</v>
      </c>
      <c r="R30" s="1189">
        <v>0.68</v>
      </c>
      <c r="S30" s="1149">
        <v>1.03</v>
      </c>
      <c r="T30" s="1149">
        <v>1.37</v>
      </c>
      <c r="U30" s="1149">
        <v>1.71</v>
      </c>
      <c r="V30" s="1188">
        <v>2.0499999999999998</v>
      </c>
    </row>
    <row r="31" spans="1:42" ht="11.25" customHeight="1" x14ac:dyDescent="0.2">
      <c r="A31" s="1100" t="s">
        <v>2286</v>
      </c>
      <c r="B31" s="1100" t="s">
        <v>2287</v>
      </c>
      <c r="C31" s="1101"/>
      <c r="D31" s="1251">
        <v>6.7</v>
      </c>
      <c r="E31" s="1252">
        <v>13.4</v>
      </c>
      <c r="F31" s="1252">
        <v>21.9</v>
      </c>
      <c r="G31" s="1252">
        <v>32.1</v>
      </c>
      <c r="H31" s="1253">
        <v>43.8</v>
      </c>
      <c r="I31" s="1254">
        <v>13.4</v>
      </c>
      <c r="J31" s="1255">
        <v>21.9</v>
      </c>
      <c r="K31" s="1253">
        <v>32.1</v>
      </c>
      <c r="L31" s="1254">
        <v>13.4</v>
      </c>
      <c r="M31" s="1255">
        <v>21.9</v>
      </c>
      <c r="N31" s="1253">
        <v>32.1</v>
      </c>
      <c r="O31" s="1254">
        <v>13.4</v>
      </c>
      <c r="P31" s="1255">
        <v>21.9</v>
      </c>
      <c r="Q31" s="1253">
        <v>32.1</v>
      </c>
      <c r="R31" s="1254">
        <v>6.7</v>
      </c>
      <c r="S31" s="1255">
        <v>13.4</v>
      </c>
      <c r="T31" s="1255">
        <v>21.9</v>
      </c>
      <c r="U31" s="1255">
        <v>32.1</v>
      </c>
      <c r="V31" s="1253">
        <v>43.8</v>
      </c>
    </row>
    <row r="32" spans="1:42" ht="15.75" customHeight="1" x14ac:dyDescent="0.2">
      <c r="A32" s="1101"/>
      <c r="B32" s="1101"/>
      <c r="C32" s="1101"/>
      <c r="D32" s="1541" t="s">
        <v>2407</v>
      </c>
      <c r="E32" s="1552"/>
      <c r="F32" s="1552"/>
      <c r="G32" s="1552"/>
      <c r="H32" s="1552"/>
      <c r="I32" s="1552"/>
      <c r="J32" s="1552"/>
      <c r="K32" s="1552"/>
      <c r="L32" s="1552"/>
      <c r="M32" s="1552"/>
      <c r="N32" s="1553"/>
      <c r="O32" s="1544" t="s">
        <v>2366</v>
      </c>
      <c r="P32" s="1554"/>
      <c r="Q32" s="1555"/>
      <c r="R32" s="1547" t="s">
        <v>2408</v>
      </c>
      <c r="S32" s="1545"/>
      <c r="T32" s="1545"/>
      <c r="U32" s="1545"/>
      <c r="V32" s="1546"/>
    </row>
    <row r="33" spans="1:39" ht="11.25" customHeight="1" x14ac:dyDescent="0.2">
      <c r="A33" s="1100" t="s">
        <v>2289</v>
      </c>
      <c r="B33" s="1100" t="s">
        <v>2281</v>
      </c>
      <c r="C33" s="1147"/>
      <c r="D33" s="1330">
        <v>10</v>
      </c>
      <c r="E33" s="1330">
        <v>10</v>
      </c>
      <c r="F33" s="1330">
        <v>10</v>
      </c>
      <c r="G33" s="1330">
        <v>10</v>
      </c>
      <c r="H33" s="1331">
        <v>10</v>
      </c>
      <c r="I33" s="1331">
        <v>10</v>
      </c>
      <c r="J33" s="1331">
        <v>10</v>
      </c>
      <c r="K33" s="1331">
        <v>10</v>
      </c>
      <c r="L33" s="1331">
        <v>10</v>
      </c>
      <c r="M33" s="1331">
        <v>10</v>
      </c>
      <c r="N33" s="1331">
        <v>10</v>
      </c>
      <c r="O33" s="1149">
        <v>10</v>
      </c>
      <c r="P33" s="1149">
        <v>10</v>
      </c>
      <c r="Q33" s="1149">
        <v>10</v>
      </c>
      <c r="R33" s="1149">
        <v>10</v>
      </c>
      <c r="S33" s="1149">
        <v>10</v>
      </c>
      <c r="T33" s="1149">
        <v>10</v>
      </c>
      <c r="U33" s="1149">
        <v>10</v>
      </c>
      <c r="V33" s="1149">
        <v>10</v>
      </c>
      <c r="AK33" s="1105">
        <f t="array" ref="AK33:AL33">LINEST(LN(AC12:AP12),LN(AC23:AP23))</f>
        <v>2.7190564040878349</v>
      </c>
      <c r="AL33" s="1098">
        <v>-3.5031538403646536</v>
      </c>
      <c r="AM33" s="1105">
        <f>EXP(AL33)</f>
        <v>3.0102295720108439E-2</v>
      </c>
    </row>
    <row r="34" spans="1:39" ht="11.25" customHeight="1" x14ac:dyDescent="0.2">
      <c r="A34" s="1100" t="s">
        <v>2290</v>
      </c>
      <c r="B34" s="1100" t="s">
        <v>2281</v>
      </c>
      <c r="C34" s="1147"/>
      <c r="D34" s="1107">
        <v>18</v>
      </c>
      <c r="E34" s="1107">
        <v>18</v>
      </c>
      <c r="F34" s="1107">
        <v>18</v>
      </c>
      <c r="G34" s="1107">
        <v>18</v>
      </c>
      <c r="H34" s="1149">
        <v>18</v>
      </c>
      <c r="I34" s="1149">
        <v>18</v>
      </c>
      <c r="J34" s="1149">
        <v>18</v>
      </c>
      <c r="K34" s="1149">
        <v>18</v>
      </c>
      <c r="L34" s="1149">
        <v>18</v>
      </c>
      <c r="M34" s="1149">
        <v>18</v>
      </c>
      <c r="N34" s="1149">
        <v>18</v>
      </c>
      <c r="O34" s="1149">
        <v>15</v>
      </c>
      <c r="P34" s="1149">
        <v>15</v>
      </c>
      <c r="Q34" s="1149">
        <v>15</v>
      </c>
      <c r="R34" s="1149">
        <v>18</v>
      </c>
      <c r="S34" s="1149">
        <v>18</v>
      </c>
      <c r="T34" s="1149">
        <v>18</v>
      </c>
      <c r="U34" s="1149">
        <v>18</v>
      </c>
      <c r="V34" s="1149">
        <v>18</v>
      </c>
    </row>
    <row r="35" spans="1:39" ht="11.25" customHeight="1" x14ac:dyDescent="0.2">
      <c r="A35" s="1100" t="s">
        <v>2291</v>
      </c>
      <c r="B35" s="1100" t="s">
        <v>2292</v>
      </c>
      <c r="C35" s="1147"/>
      <c r="D35" s="1165">
        <v>0.06</v>
      </c>
      <c r="E35" s="1165">
        <v>7.0000000000000007E-2</v>
      </c>
      <c r="F35" s="1165">
        <v>0.14000000000000001</v>
      </c>
      <c r="G35" s="1165">
        <v>0.17</v>
      </c>
      <c r="H35" s="1166">
        <v>0.17</v>
      </c>
      <c r="I35" s="1166">
        <v>0.1</v>
      </c>
      <c r="J35" s="1166">
        <v>0.13</v>
      </c>
      <c r="K35" s="1166">
        <v>0.15</v>
      </c>
      <c r="L35" s="1166">
        <v>0.17</v>
      </c>
      <c r="M35" s="1166">
        <v>0.21</v>
      </c>
      <c r="N35" s="1166">
        <v>0.24</v>
      </c>
      <c r="O35" s="1166">
        <v>0.25</v>
      </c>
      <c r="P35" s="1166">
        <v>0.3</v>
      </c>
      <c r="Q35" s="1166">
        <v>0.34</v>
      </c>
      <c r="R35" s="1166">
        <v>0.05</v>
      </c>
      <c r="S35" s="1166">
        <v>0.06</v>
      </c>
      <c r="T35" s="1166">
        <v>7.0000000000000007E-2</v>
      </c>
      <c r="U35" s="1166">
        <v>7.0000000000000007E-2</v>
      </c>
      <c r="V35" s="1166">
        <v>0.08</v>
      </c>
    </row>
    <row r="36" spans="1:39" ht="11.25" customHeight="1" x14ac:dyDescent="0.2">
      <c r="A36" s="1100" t="s">
        <v>2293</v>
      </c>
      <c r="B36" s="1100" t="s">
        <v>2285</v>
      </c>
      <c r="C36" s="1147"/>
      <c r="D36" s="1107">
        <v>0.16</v>
      </c>
      <c r="E36" s="1107">
        <v>0.2</v>
      </c>
      <c r="F36" s="1107">
        <v>0.41</v>
      </c>
      <c r="G36" s="1107">
        <v>0.48</v>
      </c>
      <c r="H36" s="1149">
        <v>0.5</v>
      </c>
      <c r="I36" s="1149">
        <v>0.28999999999999998</v>
      </c>
      <c r="J36" s="1149">
        <v>0.37</v>
      </c>
      <c r="K36" s="1149">
        <v>0.44</v>
      </c>
      <c r="L36" s="1149">
        <v>0.49</v>
      </c>
      <c r="M36" s="1149">
        <v>0.6</v>
      </c>
      <c r="N36" s="1149">
        <v>0.68</v>
      </c>
      <c r="O36" s="1149">
        <v>0.72</v>
      </c>
      <c r="P36" s="1149">
        <v>0.87</v>
      </c>
      <c r="Q36" s="1149">
        <v>0.97</v>
      </c>
      <c r="R36" s="1149">
        <v>0.16</v>
      </c>
      <c r="S36" s="1149">
        <v>0.18</v>
      </c>
      <c r="T36" s="1149">
        <v>0.2</v>
      </c>
      <c r="U36" s="1149">
        <v>0.21</v>
      </c>
      <c r="V36" s="1149">
        <v>0.22</v>
      </c>
    </row>
    <row r="37" spans="1:39" ht="11.25" customHeight="1" x14ac:dyDescent="0.2">
      <c r="A37" s="1100" t="s">
        <v>2294</v>
      </c>
      <c r="B37" s="1100" t="s">
        <v>2295</v>
      </c>
      <c r="C37" s="1147"/>
      <c r="D37" s="1107">
        <v>1.3</v>
      </c>
      <c r="E37" s="1107">
        <v>1.6</v>
      </c>
      <c r="F37" s="1107">
        <v>8.1999999999999993</v>
      </c>
      <c r="G37" s="1107">
        <v>10.9</v>
      </c>
      <c r="H37" s="1149">
        <v>12</v>
      </c>
      <c r="I37" s="1149">
        <v>4.3</v>
      </c>
      <c r="J37" s="1149">
        <v>6.6</v>
      </c>
      <c r="K37" s="1149">
        <v>9.3000000000000007</v>
      </c>
      <c r="L37" s="1149">
        <v>11.5</v>
      </c>
      <c r="M37" s="1149">
        <v>16.600000000000001</v>
      </c>
      <c r="N37" s="1149">
        <v>21.6</v>
      </c>
      <c r="O37" s="1149">
        <v>23.8</v>
      </c>
      <c r="P37" s="1149">
        <v>34.299999999999997</v>
      </c>
      <c r="Q37" s="1149">
        <v>42.6</v>
      </c>
      <c r="R37" s="1149">
        <v>2.9</v>
      </c>
      <c r="S37" s="1149">
        <v>3.3</v>
      </c>
      <c r="T37" s="1149">
        <v>3.7</v>
      </c>
      <c r="U37" s="1149">
        <v>3.9</v>
      </c>
      <c r="V37" s="1149">
        <v>4</v>
      </c>
    </row>
    <row r="38" spans="1:39" ht="11.25" customHeight="1" x14ac:dyDescent="0.2">
      <c r="A38" s="1100" t="s">
        <v>2296</v>
      </c>
      <c r="B38" s="1100" t="s">
        <v>2297</v>
      </c>
      <c r="C38" s="1147"/>
      <c r="D38" s="1107" t="s">
        <v>2298</v>
      </c>
      <c r="E38" s="1107" t="s">
        <v>2298</v>
      </c>
      <c r="F38" s="1107" t="s">
        <v>2298</v>
      </c>
      <c r="G38" s="1107" t="s">
        <v>2298</v>
      </c>
      <c r="H38" s="1149" t="s">
        <v>2298</v>
      </c>
      <c r="I38" s="1149" t="s">
        <v>2298</v>
      </c>
      <c r="J38" s="1149" t="s">
        <v>2298</v>
      </c>
      <c r="K38" s="1149" t="s">
        <v>2298</v>
      </c>
      <c r="L38" s="1149" t="s">
        <v>2298</v>
      </c>
      <c r="M38" s="1149" t="s">
        <v>2298</v>
      </c>
      <c r="N38" s="1149" t="s">
        <v>2298</v>
      </c>
      <c r="O38" s="1149" t="s">
        <v>2298</v>
      </c>
      <c r="P38" s="1149" t="s">
        <v>2298</v>
      </c>
      <c r="Q38" s="1149" t="s">
        <v>2298</v>
      </c>
      <c r="R38" s="1149" t="s">
        <v>2298</v>
      </c>
      <c r="S38" s="1149" t="s">
        <v>2298</v>
      </c>
      <c r="T38" s="1149" t="s">
        <v>2298</v>
      </c>
      <c r="U38" s="1149" t="s">
        <v>2298</v>
      </c>
      <c r="V38" s="1149" t="s">
        <v>2298</v>
      </c>
    </row>
    <row r="39" spans="1:39" ht="11.25" customHeight="1" x14ac:dyDescent="0.2">
      <c r="A39" s="1100" t="s">
        <v>2299</v>
      </c>
      <c r="B39" s="1100" t="s">
        <v>2257</v>
      </c>
      <c r="C39" s="1147"/>
      <c r="D39" s="1110"/>
      <c r="E39" s="1110"/>
      <c r="F39" s="1110"/>
      <c r="G39" s="1110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</row>
    <row r="40" spans="1:39" ht="11.25" customHeight="1" x14ac:dyDescent="0.2">
      <c r="A40" s="1101"/>
      <c r="B40" s="1101" t="s">
        <v>487</v>
      </c>
      <c r="C40" s="1101"/>
      <c r="D40" s="1332">
        <f>1000*(D35/5/1000)/(PI()*0.044^2)*D39/1000/0.0012</f>
        <v>0</v>
      </c>
      <c r="E40" s="1332">
        <f>1000*E36*0.025/0.0012</f>
        <v>4166.666666666667</v>
      </c>
      <c r="F40" s="1333">
        <f t="shared" ref="F40:Q40" si="16">1000*F36*0.025/0.0012</f>
        <v>8541.6666666666679</v>
      </c>
      <c r="G40" s="1333">
        <f t="shared" si="16"/>
        <v>10000</v>
      </c>
      <c r="H40" s="1333">
        <f t="shared" si="16"/>
        <v>10416.666666666668</v>
      </c>
      <c r="I40" s="1333">
        <f t="shared" si="16"/>
        <v>6041.666666666667</v>
      </c>
      <c r="J40" s="1333">
        <f t="shared" si="16"/>
        <v>7708.3333333333339</v>
      </c>
      <c r="K40" s="1333">
        <f t="shared" si="16"/>
        <v>9166.6666666666679</v>
      </c>
      <c r="L40" s="1333">
        <f t="shared" si="16"/>
        <v>10208.333333333334</v>
      </c>
      <c r="M40" s="1333">
        <f t="shared" si="16"/>
        <v>12500.000000000002</v>
      </c>
      <c r="N40" s="1333">
        <f t="shared" si="16"/>
        <v>14166.666666666668</v>
      </c>
      <c r="O40" s="1333">
        <f t="shared" si="16"/>
        <v>15000.000000000002</v>
      </c>
      <c r="P40" s="1333">
        <f t="shared" si="16"/>
        <v>18125</v>
      </c>
      <c r="Q40" s="1333">
        <f t="shared" si="16"/>
        <v>20208.333333333336</v>
      </c>
      <c r="R40" s="1333"/>
      <c r="S40" s="1333"/>
      <c r="T40" s="1333"/>
      <c r="U40" s="1333"/>
      <c r="V40" s="1333"/>
    </row>
    <row r="41" spans="1:39" ht="11.25" customHeight="1" x14ac:dyDescent="0.2">
      <c r="A41" s="1100" t="s">
        <v>2300</v>
      </c>
      <c r="B41" s="1101"/>
      <c r="C41" s="1147"/>
      <c r="D41" s="1107">
        <v>4</v>
      </c>
      <c r="E41" s="1107">
        <v>4</v>
      </c>
      <c r="F41" s="1107">
        <v>4</v>
      </c>
      <c r="G41" s="1107">
        <v>4</v>
      </c>
      <c r="H41" s="1149">
        <v>4</v>
      </c>
      <c r="I41" s="1149">
        <v>4</v>
      </c>
      <c r="J41" s="1149">
        <v>4</v>
      </c>
      <c r="K41" s="1149">
        <v>4</v>
      </c>
      <c r="L41" s="1149">
        <v>4</v>
      </c>
      <c r="M41" s="1149">
        <v>4</v>
      </c>
      <c r="N41" s="1149">
        <v>4</v>
      </c>
      <c r="O41" s="1149">
        <v>4</v>
      </c>
      <c r="P41" s="1149">
        <v>4</v>
      </c>
      <c r="Q41" s="1149">
        <v>4</v>
      </c>
      <c r="R41" s="1149">
        <v>4</v>
      </c>
      <c r="S41" s="1149">
        <v>4</v>
      </c>
      <c r="T41" s="1149">
        <v>4</v>
      </c>
      <c r="U41" s="1149">
        <v>4</v>
      </c>
      <c r="V41" s="1149">
        <v>4</v>
      </c>
    </row>
    <row r="42" spans="1:39" ht="11.25" customHeight="1" x14ac:dyDescent="0.2">
      <c r="A42" s="1100" t="s">
        <v>2301</v>
      </c>
      <c r="B42" s="1100" t="s">
        <v>2262</v>
      </c>
      <c r="C42" s="1147"/>
      <c r="D42" s="1107">
        <v>2.5</v>
      </c>
      <c r="E42" s="1107">
        <v>2.5</v>
      </c>
      <c r="F42" s="1107">
        <v>2.5</v>
      </c>
      <c r="G42" s="1107">
        <v>2.5</v>
      </c>
      <c r="H42" s="1149">
        <v>2.5</v>
      </c>
      <c r="I42" s="1149">
        <v>2.5</v>
      </c>
      <c r="J42" s="1149">
        <v>2.5</v>
      </c>
      <c r="K42" s="1149">
        <v>2.5</v>
      </c>
      <c r="L42" s="1149">
        <v>2.5</v>
      </c>
      <c r="M42" s="1149">
        <v>2.5</v>
      </c>
      <c r="N42" s="1149">
        <v>2.5</v>
      </c>
      <c r="O42" s="1149">
        <v>2.5</v>
      </c>
      <c r="P42" s="1149">
        <v>2.5</v>
      </c>
      <c r="Q42" s="1149">
        <v>2.5</v>
      </c>
      <c r="R42" s="1149">
        <v>2.5</v>
      </c>
      <c r="S42" s="1149">
        <v>2.5</v>
      </c>
      <c r="T42" s="1149">
        <v>2.5</v>
      </c>
      <c r="U42" s="1149">
        <v>2.5</v>
      </c>
      <c r="V42" s="1149">
        <v>2.5</v>
      </c>
    </row>
    <row r="43" spans="1:39" ht="11.25" customHeight="1" x14ac:dyDescent="0.2">
      <c r="A43" s="1100" t="s">
        <v>2302</v>
      </c>
      <c r="B43" s="1100" t="s">
        <v>2303</v>
      </c>
      <c r="C43" s="1147"/>
      <c r="D43" s="1107">
        <v>3.9</v>
      </c>
      <c r="E43" s="1107">
        <v>3.9</v>
      </c>
      <c r="F43" s="1107">
        <v>3.9</v>
      </c>
      <c r="G43" s="1107">
        <v>3.9</v>
      </c>
      <c r="H43" s="1149">
        <v>3.9</v>
      </c>
      <c r="I43" s="1149">
        <v>3.9</v>
      </c>
      <c r="J43" s="1149">
        <v>3.9</v>
      </c>
      <c r="K43" s="1149">
        <v>3.9</v>
      </c>
      <c r="L43" s="1149">
        <v>3.9</v>
      </c>
      <c r="M43" s="1149">
        <v>3.9</v>
      </c>
      <c r="N43" s="1149">
        <v>3.9</v>
      </c>
      <c r="O43" s="1149">
        <v>3.9</v>
      </c>
      <c r="P43" s="1149">
        <v>3.9</v>
      </c>
      <c r="Q43" s="1149">
        <v>3.9</v>
      </c>
      <c r="R43" s="1149">
        <v>3.9</v>
      </c>
      <c r="S43" s="1149">
        <v>3.9</v>
      </c>
      <c r="T43" s="1149">
        <v>3.9</v>
      </c>
      <c r="U43" s="1149">
        <v>3.9</v>
      </c>
      <c r="V43" s="1149">
        <v>3.9</v>
      </c>
    </row>
    <row r="44" spans="1:39" ht="11.25" customHeight="1" x14ac:dyDescent="0.2">
      <c r="A44" s="1100" t="s">
        <v>2305</v>
      </c>
      <c r="B44" s="1100" t="s">
        <v>2306</v>
      </c>
      <c r="C44" s="1147"/>
      <c r="D44" s="1107">
        <v>16</v>
      </c>
      <c r="E44" s="1107">
        <v>16</v>
      </c>
      <c r="F44" s="1107">
        <v>16</v>
      </c>
      <c r="G44" s="1107">
        <v>16</v>
      </c>
      <c r="H44" s="1149">
        <v>16</v>
      </c>
      <c r="I44" s="1149">
        <v>16</v>
      </c>
      <c r="J44" s="1149">
        <v>16</v>
      </c>
      <c r="K44" s="1149">
        <v>16</v>
      </c>
      <c r="L44" s="1149">
        <v>16</v>
      </c>
      <c r="M44" s="1149">
        <v>16</v>
      </c>
      <c r="N44" s="1149">
        <v>16</v>
      </c>
      <c r="O44" s="1149">
        <v>16</v>
      </c>
      <c r="P44" s="1149">
        <v>16</v>
      </c>
      <c r="Q44" s="1149">
        <v>16</v>
      </c>
      <c r="R44" s="1149">
        <v>16</v>
      </c>
      <c r="S44" s="1149">
        <v>16</v>
      </c>
      <c r="T44" s="1149">
        <v>16</v>
      </c>
      <c r="U44" s="1149">
        <v>16</v>
      </c>
      <c r="V44" s="1149">
        <v>16</v>
      </c>
    </row>
    <row r="45" spans="1:39" ht="11.25" customHeight="1" x14ac:dyDescent="0.2">
      <c r="A45" s="1101"/>
      <c r="B45" s="1101"/>
      <c r="C45" s="1101"/>
      <c r="D45" s="1115"/>
      <c r="E45" s="1115"/>
      <c r="F45" s="1115"/>
      <c r="G45" s="1115"/>
      <c r="H45" s="1159"/>
      <c r="I45" s="1159"/>
      <c r="J45" s="1159"/>
      <c r="K45" s="1159"/>
      <c r="L45" s="1159"/>
      <c r="M45" s="1159"/>
      <c r="N45" s="1159"/>
      <c r="O45" s="1159"/>
      <c r="P45" s="1159"/>
      <c r="Q45" s="1159"/>
      <c r="R45" s="1159"/>
      <c r="S45" s="1159"/>
      <c r="T45" s="1159"/>
      <c r="U45" s="1159"/>
      <c r="V45" s="1159"/>
    </row>
    <row r="46" spans="1:39" ht="11.25" customHeight="1" x14ac:dyDescent="0.2">
      <c r="A46" s="1100" t="s">
        <v>2307</v>
      </c>
      <c r="B46" s="1101" t="s">
        <v>2308</v>
      </c>
      <c r="C46" s="1147"/>
      <c r="D46" s="1110">
        <v>8.8000000000000007</v>
      </c>
      <c r="E46" s="1110">
        <v>8.8000000000000007</v>
      </c>
      <c r="F46" s="1110">
        <v>8.8000000000000007</v>
      </c>
      <c r="G46" s="1110">
        <v>8.8000000000000007</v>
      </c>
      <c r="H46" s="1110">
        <v>8.8000000000000007</v>
      </c>
      <c r="I46" s="1110">
        <v>8.8000000000000007</v>
      </c>
      <c r="J46" s="1110">
        <v>8.8000000000000007</v>
      </c>
      <c r="K46" s="1110">
        <v>8.8000000000000007</v>
      </c>
      <c r="L46" s="1110">
        <v>8.8000000000000007</v>
      </c>
      <c r="M46" s="1110">
        <v>8.8000000000000007</v>
      </c>
      <c r="N46" s="1110">
        <v>8.8000000000000007</v>
      </c>
      <c r="O46" s="1110">
        <v>8.8000000000000007</v>
      </c>
      <c r="P46" s="1110">
        <v>8.8000000000000007</v>
      </c>
      <c r="Q46" s="1110">
        <v>8.8000000000000007</v>
      </c>
      <c r="R46" s="1110">
        <v>8.8000000000000007</v>
      </c>
      <c r="S46" s="1110">
        <v>8.8000000000000007</v>
      </c>
      <c r="T46" s="1110">
        <v>8.8000000000000007</v>
      </c>
      <c r="U46" s="1110">
        <v>8.8000000000000007</v>
      </c>
      <c r="V46" s="1110">
        <v>8.8000000000000007</v>
      </c>
    </row>
    <row r="47" spans="1:39" ht="11.25" customHeight="1" x14ac:dyDescent="0.2">
      <c r="A47" s="1100" t="s">
        <v>2310</v>
      </c>
      <c r="B47" s="1101" t="s">
        <v>2311</v>
      </c>
      <c r="C47" s="1147"/>
      <c r="D47" s="1110">
        <v>5</v>
      </c>
      <c r="E47" s="1110">
        <v>5</v>
      </c>
      <c r="F47" s="1110">
        <v>5</v>
      </c>
      <c r="G47" s="1110">
        <v>5</v>
      </c>
      <c r="H47" s="1110">
        <v>5</v>
      </c>
      <c r="I47" s="1110">
        <v>5</v>
      </c>
      <c r="J47" s="1110">
        <v>5</v>
      </c>
      <c r="K47" s="1110">
        <v>5</v>
      </c>
      <c r="L47" s="1110">
        <v>5</v>
      </c>
      <c r="M47" s="1110">
        <v>5</v>
      </c>
      <c r="N47" s="1110">
        <v>5</v>
      </c>
      <c r="O47" s="1110">
        <v>5</v>
      </c>
      <c r="P47" s="1110">
        <v>5</v>
      </c>
      <c r="Q47" s="1110">
        <v>5</v>
      </c>
      <c r="R47" s="1110">
        <v>5</v>
      </c>
      <c r="S47" s="1110">
        <v>5</v>
      </c>
      <c r="T47" s="1110">
        <v>5</v>
      </c>
      <c r="U47" s="1110">
        <v>5</v>
      </c>
      <c r="V47" s="1110">
        <v>5</v>
      </c>
    </row>
    <row r="48" spans="1:39" ht="11.25" customHeight="1" x14ac:dyDescent="0.2">
      <c r="A48" s="1100" t="s">
        <v>2312</v>
      </c>
      <c r="B48" s="1101" t="s">
        <v>2313</v>
      </c>
      <c r="C48" s="1147"/>
      <c r="D48" s="1110">
        <f>D35/D47</f>
        <v>1.2E-2</v>
      </c>
      <c r="E48" s="1110">
        <f t="shared" ref="E48:V48" si="17">E35/E47</f>
        <v>1.4000000000000002E-2</v>
      </c>
      <c r="F48" s="1110">
        <f t="shared" si="17"/>
        <v>2.8000000000000004E-2</v>
      </c>
      <c r="G48" s="1110">
        <f t="shared" si="17"/>
        <v>3.4000000000000002E-2</v>
      </c>
      <c r="H48" s="1110">
        <f t="shared" si="17"/>
        <v>3.4000000000000002E-2</v>
      </c>
      <c r="I48" s="1110">
        <f t="shared" si="17"/>
        <v>0.02</v>
      </c>
      <c r="J48" s="1110">
        <f t="shared" si="17"/>
        <v>2.6000000000000002E-2</v>
      </c>
      <c r="K48" s="1110">
        <f t="shared" si="17"/>
        <v>0.03</v>
      </c>
      <c r="L48" s="1110">
        <f t="shared" si="17"/>
        <v>3.4000000000000002E-2</v>
      </c>
      <c r="M48" s="1110">
        <f t="shared" si="17"/>
        <v>4.1999999999999996E-2</v>
      </c>
      <c r="N48" s="1110">
        <f t="shared" si="17"/>
        <v>4.8000000000000001E-2</v>
      </c>
      <c r="O48" s="1110">
        <f t="shared" si="17"/>
        <v>0.05</v>
      </c>
      <c r="P48" s="1110">
        <f t="shared" si="17"/>
        <v>0.06</v>
      </c>
      <c r="Q48" s="1110">
        <f t="shared" si="17"/>
        <v>6.8000000000000005E-2</v>
      </c>
      <c r="R48" s="1110">
        <f t="shared" si="17"/>
        <v>0.01</v>
      </c>
      <c r="S48" s="1110">
        <f t="shared" si="17"/>
        <v>1.2E-2</v>
      </c>
      <c r="T48" s="1110">
        <f t="shared" si="17"/>
        <v>1.4000000000000002E-2</v>
      </c>
      <c r="U48" s="1110">
        <f t="shared" si="17"/>
        <v>1.4000000000000002E-2</v>
      </c>
      <c r="V48" s="1110">
        <f t="shared" si="17"/>
        <v>1.6E-2</v>
      </c>
    </row>
    <row r="49" spans="1:22" ht="11.25" customHeight="1" x14ac:dyDescent="0.2">
      <c r="A49" s="1100" t="s">
        <v>2314</v>
      </c>
      <c r="B49" s="1101" t="s">
        <v>2315</v>
      </c>
      <c r="C49" s="1147"/>
      <c r="D49" s="1110">
        <f>PI()*(D46/2/1000)^2</f>
        <v>6.0821233773498395E-5</v>
      </c>
      <c r="E49" s="1110">
        <f t="shared" ref="E49:V49" si="18">PI()*(E46/2/1000)^2</f>
        <v>6.0821233773498395E-5</v>
      </c>
      <c r="F49" s="1110">
        <f t="shared" si="18"/>
        <v>6.0821233773498395E-5</v>
      </c>
      <c r="G49" s="1110">
        <f t="shared" si="18"/>
        <v>6.0821233773498395E-5</v>
      </c>
      <c r="H49" s="1110">
        <f t="shared" si="18"/>
        <v>6.0821233773498395E-5</v>
      </c>
      <c r="I49" s="1110">
        <f t="shared" si="18"/>
        <v>6.0821233773498395E-5</v>
      </c>
      <c r="J49" s="1110">
        <f t="shared" si="18"/>
        <v>6.0821233773498395E-5</v>
      </c>
      <c r="K49" s="1110">
        <f t="shared" si="18"/>
        <v>6.0821233773498395E-5</v>
      </c>
      <c r="L49" s="1110">
        <f t="shared" si="18"/>
        <v>6.0821233773498395E-5</v>
      </c>
      <c r="M49" s="1110">
        <f t="shared" si="18"/>
        <v>6.0821233773498395E-5</v>
      </c>
      <c r="N49" s="1110">
        <f t="shared" si="18"/>
        <v>6.0821233773498395E-5</v>
      </c>
      <c r="O49" s="1110">
        <f t="shared" si="18"/>
        <v>6.0821233773498395E-5</v>
      </c>
      <c r="P49" s="1110">
        <f t="shared" si="18"/>
        <v>6.0821233773498395E-5</v>
      </c>
      <c r="Q49" s="1110">
        <f t="shared" si="18"/>
        <v>6.0821233773498395E-5</v>
      </c>
      <c r="R49" s="1110">
        <f t="shared" si="18"/>
        <v>6.0821233773498395E-5</v>
      </c>
      <c r="S49" s="1110">
        <f t="shared" si="18"/>
        <v>6.0821233773498395E-5</v>
      </c>
      <c r="T49" s="1110">
        <f t="shared" si="18"/>
        <v>6.0821233773498395E-5</v>
      </c>
      <c r="U49" s="1110">
        <f t="shared" si="18"/>
        <v>6.0821233773498395E-5</v>
      </c>
      <c r="V49" s="1110">
        <f t="shared" si="18"/>
        <v>6.0821233773498395E-5</v>
      </c>
    </row>
    <row r="50" spans="1:22" ht="11.25" customHeight="1" x14ac:dyDescent="0.2">
      <c r="A50" s="1100" t="s">
        <v>2316</v>
      </c>
      <c r="B50" s="1101" t="s">
        <v>502</v>
      </c>
      <c r="C50" s="1147"/>
      <c r="D50" s="1110">
        <f>D48/1000/D49</f>
        <v>0.19729951622962233</v>
      </c>
      <c r="E50" s="1110">
        <f t="shared" ref="E50:V50" si="19">E48/1000/E49</f>
        <v>0.23018276893455941</v>
      </c>
      <c r="F50" s="1110">
        <f t="shared" si="19"/>
        <v>0.46036553786911882</v>
      </c>
      <c r="G50" s="1110">
        <f t="shared" si="19"/>
        <v>0.55901529598392996</v>
      </c>
      <c r="H50" s="1110">
        <f t="shared" si="19"/>
        <v>0.55901529598392996</v>
      </c>
      <c r="I50" s="1110">
        <f t="shared" si="19"/>
        <v>0.32883252704937055</v>
      </c>
      <c r="J50" s="1110">
        <f t="shared" si="19"/>
        <v>0.42748228516418174</v>
      </c>
      <c r="K50" s="1110">
        <f t="shared" si="19"/>
        <v>0.49324879057405574</v>
      </c>
      <c r="L50" s="1110">
        <f t="shared" si="19"/>
        <v>0.55901529598392996</v>
      </c>
      <c r="M50" s="1110">
        <f t="shared" si="19"/>
        <v>0.69054830680367807</v>
      </c>
      <c r="N50" s="1110">
        <f t="shared" si="19"/>
        <v>0.78919806491848932</v>
      </c>
      <c r="O50" s="1110">
        <f t="shared" si="19"/>
        <v>0.8220813176234264</v>
      </c>
      <c r="P50" s="1110">
        <f t="shared" si="19"/>
        <v>0.98649758114811148</v>
      </c>
      <c r="Q50" s="1110">
        <f t="shared" si="19"/>
        <v>1.1180305919678599</v>
      </c>
      <c r="R50" s="1110">
        <f t="shared" si="19"/>
        <v>0.16441626352468527</v>
      </c>
      <c r="S50" s="1110">
        <f t="shared" si="19"/>
        <v>0.19729951622962233</v>
      </c>
      <c r="T50" s="1110">
        <f t="shared" si="19"/>
        <v>0.23018276893455941</v>
      </c>
      <c r="U50" s="1110">
        <f t="shared" si="19"/>
        <v>0.23018276893455941</v>
      </c>
      <c r="V50" s="1110">
        <f t="shared" si="19"/>
        <v>0.26306602163949644</v>
      </c>
    </row>
    <row r="51" spans="1:22" ht="11.25" customHeight="1" x14ac:dyDescent="0.2">
      <c r="A51" s="1100" t="s">
        <v>2317</v>
      </c>
      <c r="B51" s="1100" t="s">
        <v>487</v>
      </c>
      <c r="C51" s="1147"/>
      <c r="D51" s="1131">
        <f>1000*D50*D46/1000/0.0012</f>
        <v>1446.8631190172307</v>
      </c>
      <c r="E51" s="1131">
        <f t="shared" ref="E51:Q51" si="20">1000*E50*E46/1000/0.0012</f>
        <v>1688.0069721867694</v>
      </c>
      <c r="F51" s="1131">
        <f t="shared" si="20"/>
        <v>3376.0139443735388</v>
      </c>
      <c r="G51" s="1131">
        <f t="shared" si="20"/>
        <v>4099.4455038821534</v>
      </c>
      <c r="H51" s="1131">
        <f t="shared" si="20"/>
        <v>4099.4455038821534</v>
      </c>
      <c r="I51" s="1131">
        <f t="shared" si="20"/>
        <v>2411.4385316953844</v>
      </c>
      <c r="J51" s="1131">
        <f t="shared" si="20"/>
        <v>3134.8700912040003</v>
      </c>
      <c r="K51" s="1131">
        <f t="shared" si="20"/>
        <v>3617.157797543076</v>
      </c>
      <c r="L51" s="1131">
        <f t="shared" si="20"/>
        <v>4099.4455038821534</v>
      </c>
      <c r="M51" s="1131">
        <f t="shared" si="20"/>
        <v>5064.0209165603064</v>
      </c>
      <c r="N51" s="1131">
        <f t="shared" si="20"/>
        <v>5787.4524760689228</v>
      </c>
      <c r="O51" s="1131">
        <f t="shared" si="20"/>
        <v>6028.5963292384613</v>
      </c>
      <c r="P51" s="1131">
        <f t="shared" si="20"/>
        <v>7234.3155950861519</v>
      </c>
      <c r="Q51" s="1131">
        <f t="shared" si="20"/>
        <v>8198.8910077643068</v>
      </c>
      <c r="R51" s="1131"/>
      <c r="S51" s="1131"/>
      <c r="T51" s="1131"/>
      <c r="U51" s="1131"/>
      <c r="V51" s="1131"/>
    </row>
    <row r="52" spans="1:22" ht="11.25" customHeight="1" x14ac:dyDescent="0.2">
      <c r="A52" s="1548" t="s">
        <v>2318</v>
      </c>
      <c r="B52" s="1548" t="s">
        <v>2319</v>
      </c>
      <c r="C52" s="1549"/>
      <c r="D52" s="1110"/>
      <c r="E52" s="1110"/>
      <c r="F52" s="1110"/>
      <c r="G52" s="1110"/>
      <c r="H52" s="1158"/>
      <c r="I52" s="1158"/>
      <c r="J52" s="1158"/>
      <c r="K52" s="1158"/>
      <c r="L52" s="1158"/>
      <c r="M52" s="1158"/>
      <c r="N52" s="1158"/>
      <c r="O52" s="1158"/>
      <c r="P52" s="1158"/>
      <c r="Q52" s="1158"/>
      <c r="R52" s="1158"/>
      <c r="S52" s="1158"/>
      <c r="T52" s="1158"/>
      <c r="U52" s="1158"/>
      <c r="V52" s="1158"/>
    </row>
    <row r="53" spans="1:22" ht="6.5" customHeight="1" x14ac:dyDescent="0.2">
      <c r="A53" s="1548"/>
      <c r="B53" s="1548"/>
      <c r="C53" s="1549"/>
      <c r="D53" s="1334"/>
      <c r="E53" s="1334"/>
      <c r="F53" s="1334"/>
      <c r="G53" s="1334"/>
    </row>
    <row r="54" spans="1:22" ht="16.5" customHeight="1" x14ac:dyDescent="0.2">
      <c r="A54" s="1530" t="s">
        <v>2320</v>
      </c>
      <c r="B54" s="1530"/>
      <c r="C54" s="1530"/>
      <c r="D54" s="1530"/>
      <c r="E54" s="1101"/>
      <c r="F54" s="1101"/>
      <c r="G54" s="1101"/>
    </row>
    <row r="55" spans="1:22" ht="14.25" customHeight="1" x14ac:dyDescent="0.2">
      <c r="A55" s="1551" t="s">
        <v>2409</v>
      </c>
      <c r="B55" s="1551"/>
      <c r="C55" s="1551"/>
      <c r="D55" s="1266">
        <f t="shared" ref="D55:Q55" si="21">D23*(D26-D29)</f>
        <v>1.8719999999999992</v>
      </c>
      <c r="E55" s="1266">
        <f t="shared" si="21"/>
        <v>2.3039999999999994</v>
      </c>
      <c r="F55" s="1266">
        <f t="shared" si="21"/>
        <v>4.8</v>
      </c>
      <c r="G55" s="1266">
        <f t="shared" si="21"/>
        <v>5.5799999999999983</v>
      </c>
      <c r="H55" s="1266">
        <f t="shared" si="21"/>
        <v>5.8319999999999954</v>
      </c>
      <c r="I55" s="1266">
        <f t="shared" si="21"/>
        <v>3.3839999999999995</v>
      </c>
      <c r="J55" s="1266">
        <f t="shared" si="21"/>
        <v>4.2719999999999994</v>
      </c>
      <c r="K55" s="1266">
        <f t="shared" si="21"/>
        <v>5.0999999999999996</v>
      </c>
      <c r="L55" s="1266">
        <f t="shared" si="21"/>
        <v>5.6880000000000015</v>
      </c>
      <c r="M55" s="1266">
        <f t="shared" si="21"/>
        <v>6.9120000000000026</v>
      </c>
      <c r="N55" s="1266">
        <f t="shared" si="21"/>
        <v>7.9800000000000022</v>
      </c>
      <c r="O55" s="1266">
        <f t="shared" si="21"/>
        <v>5.22</v>
      </c>
      <c r="P55" s="1266">
        <f t="shared" si="21"/>
        <v>6.3360000000000012</v>
      </c>
      <c r="Q55" s="1266">
        <f t="shared" si="21"/>
        <v>7.0799999999999983</v>
      </c>
      <c r="R55" s="1098" t="s">
        <v>2352</v>
      </c>
    </row>
    <row r="56" spans="1:22" ht="14.25" customHeight="1" x14ac:dyDescent="0.2">
      <c r="A56" s="1550" t="s">
        <v>2410</v>
      </c>
      <c r="B56" s="1550"/>
      <c r="C56" s="1335"/>
      <c r="D56" s="1127">
        <f t="shared" ref="D56:Q56" si="22">D23*1.005*(D24-D27)</f>
        <v>1.6883999999999997</v>
      </c>
      <c r="E56" s="1127">
        <f t="shared" si="22"/>
        <v>2.2069800000000002</v>
      </c>
      <c r="F56" s="1127">
        <f t="shared" si="22"/>
        <v>3.8109599999999988</v>
      </c>
      <c r="G56" s="1127">
        <f t="shared" si="22"/>
        <v>4.5827999999999998</v>
      </c>
      <c r="H56" s="1127">
        <f t="shared" si="22"/>
        <v>5.7164399999999986</v>
      </c>
      <c r="I56" s="1127">
        <f t="shared" si="22"/>
        <v>3.3285599999999995</v>
      </c>
      <c r="J56" s="1127">
        <f t="shared" si="22"/>
        <v>4.1968799999999993</v>
      </c>
      <c r="K56" s="1127">
        <f t="shared" si="22"/>
        <v>5.0048999999999992</v>
      </c>
      <c r="L56" s="1127">
        <f t="shared" si="22"/>
        <v>5.0290199999999992</v>
      </c>
      <c r="M56" s="1127">
        <f t="shared" si="22"/>
        <v>6.4159199999999998</v>
      </c>
      <c r="N56" s="1127">
        <f t="shared" si="22"/>
        <v>7.6580999999999984</v>
      </c>
      <c r="O56" s="1127">
        <f t="shared" si="22"/>
        <v>3.4370999999999996</v>
      </c>
      <c r="P56" s="1127">
        <f t="shared" si="22"/>
        <v>4.3415999999999997</v>
      </c>
      <c r="Q56" s="1127">
        <f t="shared" si="22"/>
        <v>5.1254999999999988</v>
      </c>
      <c r="R56" s="1098" t="s">
        <v>2370</v>
      </c>
    </row>
    <row r="57" spans="1:22" ht="14.25" customHeight="1" x14ac:dyDescent="0.2">
      <c r="A57" s="1551" t="s">
        <v>2411</v>
      </c>
      <c r="B57" s="1551"/>
      <c r="C57" s="1551"/>
      <c r="D57" s="1127">
        <f>D55-D56</f>
        <v>0.18359999999999954</v>
      </c>
      <c r="E57" s="1127">
        <f t="shared" ref="E57:Q57" si="23">E55-E56</f>
        <v>9.7019999999999218E-2</v>
      </c>
      <c r="F57" s="1127">
        <f t="shared" si="23"/>
        <v>0.98904000000000103</v>
      </c>
      <c r="G57" s="1127">
        <f t="shared" si="23"/>
        <v>0.99719999999999853</v>
      </c>
      <c r="H57" s="1127">
        <f t="shared" si="23"/>
        <v>0.11555999999999678</v>
      </c>
      <c r="I57" s="1127">
        <f t="shared" si="23"/>
        <v>5.5439999999999934E-2</v>
      </c>
      <c r="J57" s="1127">
        <f t="shared" si="23"/>
        <v>7.5120000000000076E-2</v>
      </c>
      <c r="K57" s="1127">
        <f t="shared" si="23"/>
        <v>9.5100000000000406E-2</v>
      </c>
      <c r="L57" s="1127">
        <f t="shared" si="23"/>
        <v>0.65898000000000234</v>
      </c>
      <c r="M57" s="1127">
        <f t="shared" si="23"/>
        <v>0.49608000000000274</v>
      </c>
      <c r="N57" s="1127">
        <f t="shared" si="23"/>
        <v>0.32190000000000385</v>
      </c>
      <c r="O57" s="1127">
        <f t="shared" si="23"/>
        <v>1.7829000000000002</v>
      </c>
      <c r="P57" s="1127">
        <f t="shared" si="23"/>
        <v>1.9944000000000015</v>
      </c>
      <c r="Q57" s="1127">
        <f t="shared" si="23"/>
        <v>1.9544999999999995</v>
      </c>
      <c r="R57" s="1098" t="s">
        <v>2354</v>
      </c>
    </row>
    <row r="58" spans="1:22" ht="14.25" customHeight="1" x14ac:dyDescent="0.2">
      <c r="A58" s="1550" t="s">
        <v>2412</v>
      </c>
      <c r="B58" s="1550"/>
      <c r="C58" s="1335"/>
      <c r="D58" s="1268">
        <f>D56/D55</f>
        <v>0.90192307692307716</v>
      </c>
      <c r="E58" s="1268">
        <f t="shared" ref="E58:Q58" si="24">E56/E55</f>
        <v>0.95789062500000033</v>
      </c>
      <c r="F58" s="1268">
        <f t="shared" si="24"/>
        <v>0.79394999999999982</v>
      </c>
      <c r="G58" s="1268">
        <f t="shared" si="24"/>
        <v>0.82129032258064538</v>
      </c>
      <c r="H58" s="1268">
        <f t="shared" si="24"/>
        <v>0.98018518518518571</v>
      </c>
      <c r="I58" s="1268">
        <f t="shared" si="24"/>
        <v>0.98361702127659578</v>
      </c>
      <c r="J58" s="1268">
        <f t="shared" si="24"/>
        <v>0.98241573033707863</v>
      </c>
      <c r="K58" s="1268">
        <f t="shared" si="24"/>
        <v>0.98135294117647054</v>
      </c>
      <c r="L58" s="1268">
        <f t="shared" si="24"/>
        <v>0.88414556962025281</v>
      </c>
      <c r="M58" s="1268">
        <f t="shared" si="24"/>
        <v>0.92822916666666633</v>
      </c>
      <c r="N58" s="1268">
        <f t="shared" si="24"/>
        <v>0.95966165413533788</v>
      </c>
      <c r="O58" s="1268">
        <f t="shared" si="24"/>
        <v>0.65844827586206889</v>
      </c>
      <c r="P58" s="1268">
        <f t="shared" si="24"/>
        <v>0.68522727272727257</v>
      </c>
      <c r="Q58" s="1268">
        <f t="shared" si="24"/>
        <v>0.72394067796610173</v>
      </c>
    </row>
    <row r="59" spans="1:22" ht="14.25" customHeight="1" x14ac:dyDescent="0.2">
      <c r="A59" s="1551" t="s">
        <v>2413</v>
      </c>
      <c r="B59" s="1551"/>
      <c r="C59" s="1551"/>
    </row>
    <row r="60" spans="1:22" ht="14.25" customHeight="1" x14ac:dyDescent="0.2">
      <c r="A60" s="1550" t="s">
        <v>2414</v>
      </c>
      <c r="B60" s="1550"/>
      <c r="C60" s="1335"/>
      <c r="D60" s="1099">
        <f>D35</f>
        <v>0.06</v>
      </c>
      <c r="E60" s="1099">
        <f t="shared" ref="E60:Q60" si="25">E35</f>
        <v>7.0000000000000007E-2</v>
      </c>
      <c r="F60" s="1099">
        <f t="shared" si="25"/>
        <v>0.14000000000000001</v>
      </c>
      <c r="G60" s="1099">
        <f t="shared" si="25"/>
        <v>0.17</v>
      </c>
      <c r="H60" s="1099">
        <f t="shared" si="25"/>
        <v>0.17</v>
      </c>
      <c r="I60" s="1099">
        <f t="shared" si="25"/>
        <v>0.1</v>
      </c>
      <c r="J60" s="1099">
        <f t="shared" si="25"/>
        <v>0.13</v>
      </c>
      <c r="K60" s="1099">
        <f t="shared" si="25"/>
        <v>0.15</v>
      </c>
      <c r="L60" s="1099">
        <f t="shared" si="25"/>
        <v>0.17</v>
      </c>
      <c r="M60" s="1099">
        <f t="shared" si="25"/>
        <v>0.21</v>
      </c>
      <c r="N60" s="1099">
        <f t="shared" si="25"/>
        <v>0.24</v>
      </c>
      <c r="O60" s="1099">
        <f t="shared" si="25"/>
        <v>0.25</v>
      </c>
      <c r="P60" s="1099">
        <f t="shared" si="25"/>
        <v>0.3</v>
      </c>
      <c r="Q60" s="1099">
        <f t="shared" si="25"/>
        <v>0.34</v>
      </c>
      <c r="R60" s="1098" t="s">
        <v>2375</v>
      </c>
    </row>
    <row r="61" spans="1:22" ht="14.25" customHeight="1" x14ac:dyDescent="0.2">
      <c r="A61" s="1551" t="s">
        <v>2415</v>
      </c>
      <c r="B61" s="1551"/>
      <c r="C61" s="1551"/>
      <c r="D61" s="1150"/>
      <c r="E61" s="1101"/>
      <c r="F61" s="1101"/>
      <c r="G61" s="1101"/>
    </row>
    <row r="62" spans="1:22" ht="14" customHeight="1" x14ac:dyDescent="0.2">
      <c r="A62" s="1550" t="s">
        <v>2416</v>
      </c>
      <c r="B62" s="1550"/>
      <c r="C62" s="1335"/>
      <c r="D62" s="1269">
        <v>0.2</v>
      </c>
      <c r="E62" s="1270">
        <v>0.3</v>
      </c>
      <c r="F62" s="1270">
        <v>0.4</v>
      </c>
      <c r="G62" s="1270">
        <v>0.5</v>
      </c>
      <c r="H62" s="1271">
        <v>0.6</v>
      </c>
      <c r="I62" s="1272">
        <v>0.3</v>
      </c>
      <c r="J62" s="1273">
        <v>0.4</v>
      </c>
      <c r="K62" s="1271">
        <v>0.5</v>
      </c>
      <c r="L62" s="1272">
        <v>0.3</v>
      </c>
      <c r="M62" s="1273">
        <v>0.4</v>
      </c>
      <c r="N62" s="1271">
        <v>0.5</v>
      </c>
      <c r="O62" s="1272">
        <v>0.3</v>
      </c>
      <c r="P62" s="1273">
        <v>0.4</v>
      </c>
      <c r="Q62" s="1271">
        <v>0.5</v>
      </c>
    </row>
    <row r="63" spans="1:22" ht="13.5" customHeight="1" x14ac:dyDescent="0.2">
      <c r="A63" s="1153"/>
      <c r="B63" s="1153"/>
      <c r="C63" s="1153"/>
      <c r="D63" s="1274">
        <f t="shared" ref="D63:Q63" si="26">D21</f>
        <v>1.9</v>
      </c>
      <c r="E63" s="1274">
        <f t="shared" si="26"/>
        <v>2.2999999999999998</v>
      </c>
      <c r="F63" s="1274">
        <f t="shared" si="26"/>
        <v>4.8</v>
      </c>
      <c r="G63" s="1274">
        <f t="shared" si="26"/>
        <v>5.6</v>
      </c>
      <c r="H63" s="1274">
        <f t="shared" si="26"/>
        <v>5.8</v>
      </c>
      <c r="I63" s="1274">
        <f t="shared" si="26"/>
        <v>3.4</v>
      </c>
      <c r="J63" s="1274">
        <f t="shared" si="26"/>
        <v>4.3</v>
      </c>
      <c r="K63" s="1274">
        <f t="shared" si="26"/>
        <v>5.0999999999999996</v>
      </c>
      <c r="L63" s="1274">
        <f t="shared" si="26"/>
        <v>5.7</v>
      </c>
      <c r="M63" s="1274">
        <f t="shared" si="26"/>
        <v>6.9</v>
      </c>
      <c r="N63" s="1274">
        <f t="shared" si="26"/>
        <v>8</v>
      </c>
      <c r="O63" s="1274">
        <f t="shared" si="26"/>
        <v>5.2</v>
      </c>
      <c r="P63" s="1274">
        <f t="shared" si="26"/>
        <v>6.3</v>
      </c>
      <c r="Q63" s="1274">
        <f t="shared" si="26"/>
        <v>7.1</v>
      </c>
      <c r="R63" s="1153"/>
      <c r="S63" s="1153"/>
      <c r="T63" s="1153"/>
      <c r="U63" s="1153"/>
      <c r="V63" s="1153"/>
    </row>
    <row r="64" spans="1:22" ht="13.5" customHeight="1" x14ac:dyDescent="0.2">
      <c r="A64" s="1153" t="s">
        <v>2326</v>
      </c>
      <c r="B64" s="1153" t="s">
        <v>2238</v>
      </c>
      <c r="C64" s="1153"/>
      <c r="D64" s="1171">
        <f>1.293*273.15/(D24+273.15)</f>
        <v>1.1845814187489518</v>
      </c>
      <c r="E64" s="1171">
        <f t="shared" ref="E64:Q64" si="27">1.293*273.15/(E24+273.15)</f>
        <v>1.1845814187489518</v>
      </c>
      <c r="F64" s="1171">
        <f t="shared" si="27"/>
        <v>1.1845814187489518</v>
      </c>
      <c r="G64" s="1171">
        <f t="shared" si="27"/>
        <v>1.1845814187489518</v>
      </c>
      <c r="H64" s="1171">
        <f t="shared" si="27"/>
        <v>1.1845814187489518</v>
      </c>
      <c r="I64" s="1171">
        <f t="shared" si="27"/>
        <v>1.1845814187489518</v>
      </c>
      <c r="J64" s="1171">
        <f t="shared" si="27"/>
        <v>1.1845814187489518</v>
      </c>
      <c r="K64" s="1171">
        <f t="shared" si="27"/>
        <v>1.1845814187489518</v>
      </c>
      <c r="L64" s="1171">
        <f t="shared" si="27"/>
        <v>1.1650435428005936</v>
      </c>
      <c r="M64" s="1171">
        <f t="shared" si="27"/>
        <v>1.1650435428005936</v>
      </c>
      <c r="N64" s="1171">
        <f t="shared" si="27"/>
        <v>1.1650435428005936</v>
      </c>
      <c r="O64" s="1171">
        <f t="shared" si="27"/>
        <v>1.1845814187489518</v>
      </c>
      <c r="P64" s="1171">
        <f t="shared" si="27"/>
        <v>1.1845814187489518</v>
      </c>
      <c r="Q64" s="1171">
        <f t="shared" si="27"/>
        <v>1.1845814187489518</v>
      </c>
      <c r="R64" s="1153"/>
      <c r="S64" s="1153"/>
      <c r="T64" s="1153"/>
      <c r="U64" s="1153"/>
      <c r="V64" s="1153"/>
    </row>
    <row r="65" spans="1:39" ht="13.5" customHeight="1" x14ac:dyDescent="0.2">
      <c r="A65" s="1153" t="s">
        <v>2327</v>
      </c>
      <c r="B65" s="1153" t="s">
        <v>2238</v>
      </c>
      <c r="C65" s="1153"/>
      <c r="D65" s="1174">
        <f>1.293*273.15/(D27+273.15)</f>
        <v>1.2130618238021638</v>
      </c>
      <c r="E65" s="1174">
        <f t="shared" ref="E65:Q65" si="28">1.293*273.15/(E27+273.15)</f>
        <v>1.2093235747303543</v>
      </c>
      <c r="F65" s="1174">
        <f t="shared" si="28"/>
        <v>1.2168232558139533</v>
      </c>
      <c r="G65" s="1174">
        <f t="shared" si="28"/>
        <v>1.2155668559628292</v>
      </c>
      <c r="H65" s="1174">
        <f t="shared" si="28"/>
        <v>1.2168232558139533</v>
      </c>
      <c r="I65" s="1174">
        <f t="shared" si="28"/>
        <v>1.2222978023879563</v>
      </c>
      <c r="J65" s="1174">
        <f t="shared" si="28"/>
        <v>1.2201863879771979</v>
      </c>
      <c r="K65" s="1174">
        <f t="shared" si="28"/>
        <v>1.2185025012937727</v>
      </c>
      <c r="L65" s="1174">
        <f t="shared" si="28"/>
        <v>1.221030077787381</v>
      </c>
      <c r="M65" s="1174">
        <f t="shared" si="28"/>
        <v>1.2185025012937727</v>
      </c>
      <c r="N65" s="1174">
        <f t="shared" si="28"/>
        <v>1.215985367533138</v>
      </c>
      <c r="O65" s="1174">
        <f t="shared" si="28"/>
        <v>1.2235681621340724</v>
      </c>
      <c r="P65" s="1174">
        <f t="shared" si="28"/>
        <v>1.2214523603665917</v>
      </c>
      <c r="Q65" s="1174">
        <f t="shared" si="28"/>
        <v>1.2193438632832729</v>
      </c>
      <c r="R65" s="1153"/>
      <c r="S65" s="1153"/>
      <c r="T65" s="1153"/>
      <c r="U65" s="1153"/>
      <c r="V65" s="1153"/>
    </row>
    <row r="66" spans="1:39" ht="13.5" customHeight="1" x14ac:dyDescent="0.2">
      <c r="A66" s="1101" t="s">
        <v>2378</v>
      </c>
      <c r="B66" s="1098" t="s">
        <v>496</v>
      </c>
      <c r="C66" s="1153"/>
      <c r="D66" s="1277">
        <f>D24-D34</f>
        <v>7</v>
      </c>
      <c r="E66" s="1277">
        <f t="shared" ref="E66:Q66" si="29">E24-E34</f>
        <v>7</v>
      </c>
      <c r="F66" s="1277">
        <f t="shared" si="29"/>
        <v>7</v>
      </c>
      <c r="G66" s="1277">
        <f t="shared" si="29"/>
        <v>7</v>
      </c>
      <c r="H66" s="1277">
        <f t="shared" si="29"/>
        <v>7</v>
      </c>
      <c r="I66" s="1277">
        <f t="shared" si="29"/>
        <v>7</v>
      </c>
      <c r="J66" s="1277">
        <f t="shared" si="29"/>
        <v>7</v>
      </c>
      <c r="K66" s="1277">
        <f t="shared" si="29"/>
        <v>7</v>
      </c>
      <c r="L66" s="1277">
        <f t="shared" si="29"/>
        <v>12</v>
      </c>
      <c r="M66" s="1277">
        <f t="shared" si="29"/>
        <v>12</v>
      </c>
      <c r="N66" s="1277">
        <f t="shared" si="29"/>
        <v>12</v>
      </c>
      <c r="O66" s="1277">
        <f t="shared" si="29"/>
        <v>10</v>
      </c>
      <c r="P66" s="1277">
        <f t="shared" si="29"/>
        <v>10</v>
      </c>
      <c r="Q66" s="1277">
        <f t="shared" si="29"/>
        <v>10</v>
      </c>
      <c r="R66" s="1153"/>
      <c r="S66" s="1153"/>
      <c r="T66" s="1153"/>
      <c r="U66" s="1153"/>
      <c r="V66" s="1153"/>
    </row>
    <row r="67" spans="1:39" ht="13.5" customHeight="1" x14ac:dyDescent="0.2">
      <c r="A67" s="1101" t="s">
        <v>2379</v>
      </c>
      <c r="B67" s="1153" t="s">
        <v>496</v>
      </c>
      <c r="C67" s="1153"/>
      <c r="D67" s="1277">
        <f>D27-D33</f>
        <v>8</v>
      </c>
      <c r="E67" s="1277">
        <f t="shared" ref="E67:Q67" si="30">E27-E33</f>
        <v>8.8999999999999986</v>
      </c>
      <c r="F67" s="1277">
        <f t="shared" si="30"/>
        <v>7.1000000000000014</v>
      </c>
      <c r="G67" s="1277">
        <f t="shared" si="30"/>
        <v>7.3999999999999986</v>
      </c>
      <c r="H67" s="1277">
        <f t="shared" si="30"/>
        <v>7.1000000000000014</v>
      </c>
      <c r="I67" s="1277">
        <f t="shared" si="30"/>
        <v>5.8000000000000007</v>
      </c>
      <c r="J67" s="1277">
        <f t="shared" si="30"/>
        <v>6.3000000000000007</v>
      </c>
      <c r="K67" s="1277">
        <f t="shared" si="30"/>
        <v>6.6999999999999993</v>
      </c>
      <c r="L67" s="1277">
        <f t="shared" si="30"/>
        <v>6.1000000000000014</v>
      </c>
      <c r="M67" s="1277">
        <f t="shared" si="30"/>
        <v>6.6999999999999993</v>
      </c>
      <c r="N67" s="1277">
        <f t="shared" si="30"/>
        <v>7.3000000000000007</v>
      </c>
      <c r="O67" s="1277">
        <f t="shared" si="30"/>
        <v>5.5</v>
      </c>
      <c r="P67" s="1277">
        <f t="shared" si="30"/>
        <v>6</v>
      </c>
      <c r="Q67" s="1277">
        <f t="shared" si="30"/>
        <v>6.5</v>
      </c>
      <c r="R67" s="1153"/>
      <c r="S67" s="1153"/>
      <c r="T67" s="1153"/>
      <c r="U67" s="1153"/>
      <c r="V67" s="1153"/>
    </row>
    <row r="68" spans="1:39" ht="13.5" customHeight="1" x14ac:dyDescent="0.2">
      <c r="A68" s="1153" t="s">
        <v>2380</v>
      </c>
      <c r="B68" s="1153" t="s">
        <v>496</v>
      </c>
      <c r="C68" s="1153"/>
      <c r="D68" s="1279">
        <f>(D66-D67)/LN(D66/D67)</f>
        <v>7.4888756894186175</v>
      </c>
      <c r="E68" s="1279">
        <f t="shared" ref="E68:Q68" si="31">(E66-E67)/LN(E66/E67)</f>
        <v>7.9120141490708846</v>
      </c>
      <c r="F68" s="1279">
        <f t="shared" si="31"/>
        <v>7.0498817951047856</v>
      </c>
      <c r="G68" s="1279">
        <f t="shared" si="31"/>
        <v>7.1981477669545928</v>
      </c>
      <c r="H68" s="1279">
        <f t="shared" si="31"/>
        <v>7.0498817951047856</v>
      </c>
      <c r="I68" s="1279">
        <f t="shared" si="31"/>
        <v>6.3812058512118321</v>
      </c>
      <c r="J68" s="1279">
        <f t="shared" si="31"/>
        <v>6.6438551067209355</v>
      </c>
      <c r="K68" s="1279">
        <f t="shared" si="31"/>
        <v>6.848904969449757</v>
      </c>
      <c r="L68" s="1279">
        <f t="shared" si="31"/>
        <v>8.7198405282042089</v>
      </c>
      <c r="M68" s="1279">
        <f t="shared" si="31"/>
        <v>9.0940425050081988</v>
      </c>
      <c r="N68" s="1279">
        <f t="shared" si="31"/>
        <v>9.4561258585245938</v>
      </c>
      <c r="O68" s="1279">
        <f t="shared" si="31"/>
        <v>7.5271353133251084</v>
      </c>
      <c r="P68" s="1279">
        <f t="shared" si="31"/>
        <v>7.8304607558848698</v>
      </c>
      <c r="Q68" s="1280">
        <f t="shared" si="31"/>
        <v>8.1247418810100456</v>
      </c>
      <c r="R68" s="1153"/>
      <c r="S68" s="1153"/>
      <c r="T68" s="1153"/>
      <c r="U68" s="1153"/>
      <c r="V68" s="1153"/>
    </row>
    <row r="69" spans="1:39" ht="13.5" customHeight="1" x14ac:dyDescent="0.2">
      <c r="A69" s="1153" t="s">
        <v>2329</v>
      </c>
      <c r="B69" s="1153" t="s">
        <v>496</v>
      </c>
      <c r="C69" s="1153"/>
      <c r="D69" s="1281">
        <f>AVERAGE(D24,D27)-AVERAGE(D33:D34)</f>
        <v>7.5</v>
      </c>
      <c r="E69" s="1281">
        <f t="shared" ref="E69:Q69" si="32">AVERAGE(E24,E27)-AVERAGE(E33:E34)</f>
        <v>7.9499999999999993</v>
      </c>
      <c r="F69" s="1281">
        <f t="shared" si="32"/>
        <v>7.0500000000000007</v>
      </c>
      <c r="G69" s="1281">
        <f t="shared" si="32"/>
        <v>7.1999999999999993</v>
      </c>
      <c r="H69" s="1281">
        <f t="shared" si="32"/>
        <v>7.0500000000000007</v>
      </c>
      <c r="I69" s="1281">
        <f t="shared" si="32"/>
        <v>6.3999999999999986</v>
      </c>
      <c r="J69" s="1281">
        <f t="shared" si="32"/>
        <v>6.6499999999999986</v>
      </c>
      <c r="K69" s="1281">
        <f t="shared" si="32"/>
        <v>6.8500000000000014</v>
      </c>
      <c r="L69" s="1281">
        <f t="shared" si="32"/>
        <v>9.0500000000000007</v>
      </c>
      <c r="M69" s="1281">
        <f t="shared" si="32"/>
        <v>9.3500000000000014</v>
      </c>
      <c r="N69" s="1282">
        <f t="shared" si="32"/>
        <v>9.6499999999999986</v>
      </c>
      <c r="O69" s="1281">
        <f t="shared" si="32"/>
        <v>7.75</v>
      </c>
      <c r="P69" s="1281">
        <f t="shared" si="32"/>
        <v>8</v>
      </c>
      <c r="Q69" s="1282">
        <f t="shared" si="32"/>
        <v>8.25</v>
      </c>
      <c r="R69" s="1153"/>
      <c r="S69" s="1153"/>
      <c r="T69" s="1153"/>
      <c r="U69" s="1153"/>
      <c r="V69" s="1153"/>
    </row>
    <row r="70" spans="1:39" ht="13.5" customHeight="1" x14ac:dyDescent="0.2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  <c r="L70" s="1153"/>
      <c r="M70" s="1153"/>
      <c r="N70" s="1153"/>
      <c r="O70" s="1153"/>
      <c r="P70" s="1153"/>
      <c r="Q70" s="1153"/>
      <c r="R70" s="1153"/>
      <c r="S70" s="1153"/>
      <c r="T70" s="1153"/>
      <c r="U70" s="1153"/>
      <c r="V70" s="1153"/>
    </row>
    <row r="71" spans="1:39" ht="13.5" customHeight="1" x14ac:dyDescent="0.2">
      <c r="A71" s="1153" t="s">
        <v>2381</v>
      </c>
      <c r="B71" s="1153"/>
      <c r="C71" s="1153"/>
      <c r="D71" s="1283">
        <f>AVERAGE(D33:D34)</f>
        <v>14</v>
      </c>
      <c r="E71" s="1284">
        <f t="shared" ref="E71:Q71" si="33">AVERAGE(E33:E34)</f>
        <v>14</v>
      </c>
      <c r="F71" s="1284">
        <f t="shared" si="33"/>
        <v>14</v>
      </c>
      <c r="G71" s="1284">
        <f t="shared" si="33"/>
        <v>14</v>
      </c>
      <c r="H71" s="1284">
        <f t="shared" si="33"/>
        <v>14</v>
      </c>
      <c r="I71" s="1284">
        <f t="shared" si="33"/>
        <v>14</v>
      </c>
      <c r="J71" s="1284">
        <f t="shared" si="33"/>
        <v>14</v>
      </c>
      <c r="K71" s="1285">
        <f t="shared" si="33"/>
        <v>14</v>
      </c>
      <c r="L71" s="1283">
        <f t="shared" si="33"/>
        <v>14</v>
      </c>
      <c r="M71" s="1284">
        <f t="shared" si="33"/>
        <v>14</v>
      </c>
      <c r="N71" s="1285">
        <f t="shared" si="33"/>
        <v>14</v>
      </c>
      <c r="O71" s="1283">
        <f t="shared" si="33"/>
        <v>12.5</v>
      </c>
      <c r="P71" s="1284">
        <f t="shared" si="33"/>
        <v>12.5</v>
      </c>
      <c r="Q71" s="1285">
        <f t="shared" si="33"/>
        <v>12.5</v>
      </c>
      <c r="R71" s="1153"/>
      <c r="S71" s="1153"/>
      <c r="T71" s="1153"/>
      <c r="U71" s="1153"/>
      <c r="V71" s="1153"/>
    </row>
    <row r="72" spans="1:39" ht="13.5" customHeight="1" x14ac:dyDescent="0.2">
      <c r="A72" s="1153" t="s">
        <v>2382</v>
      </c>
      <c r="B72" s="1153"/>
      <c r="C72" s="1153"/>
      <c r="D72" s="1281">
        <f>D77/D78</f>
        <v>17.952310732769277</v>
      </c>
      <c r="E72" s="1286">
        <f t="shared" ref="E72:Q72" si="34">E77/E78</f>
        <v>17.952310732769277</v>
      </c>
      <c r="F72" s="1286">
        <f t="shared" si="34"/>
        <v>17.952310732769277</v>
      </c>
      <c r="G72" s="1286">
        <f t="shared" si="34"/>
        <v>17.952310732769277</v>
      </c>
      <c r="H72" s="1286">
        <f t="shared" si="34"/>
        <v>13.842291097036892</v>
      </c>
      <c r="I72" s="1286">
        <f t="shared" si="34"/>
        <v>13.842291097036892</v>
      </c>
      <c r="J72" s="1286">
        <f t="shared" si="34"/>
        <v>13.842291097036892</v>
      </c>
      <c r="K72" s="1287">
        <f t="shared" si="34"/>
        <v>13.842291097036892</v>
      </c>
      <c r="L72" s="1281">
        <f t="shared" si="34"/>
        <v>16.750216472477977</v>
      </c>
      <c r="M72" s="1286">
        <f t="shared" si="34"/>
        <v>16.750216472477977</v>
      </c>
      <c r="N72" s="1287">
        <f t="shared" si="34"/>
        <v>16.750216472477977</v>
      </c>
      <c r="O72" s="1281">
        <f t="shared" si="34"/>
        <v>17.952310732769277</v>
      </c>
      <c r="P72" s="1286">
        <f t="shared" si="34"/>
        <v>17.952310732769277</v>
      </c>
      <c r="Q72" s="1287">
        <f t="shared" si="34"/>
        <v>17.952310732769277</v>
      </c>
      <c r="R72" s="1153"/>
      <c r="S72" s="1153"/>
      <c r="T72" s="1153"/>
      <c r="U72" s="1153"/>
      <c r="V72" s="1153"/>
    </row>
    <row r="73" spans="1:39" ht="13.5" customHeight="1" x14ac:dyDescent="0.2">
      <c r="A73" s="1153"/>
      <c r="D73" s="1336"/>
      <c r="E73" s="1337"/>
      <c r="F73" s="1337"/>
      <c r="G73" s="1337"/>
      <c r="H73" s="1337"/>
      <c r="I73" s="1337"/>
      <c r="J73" s="1337"/>
      <c r="K73" s="1337"/>
      <c r="L73" s="1337"/>
      <c r="M73" s="1337"/>
      <c r="N73" s="1337"/>
      <c r="O73" s="1337"/>
      <c r="P73" s="1337"/>
      <c r="Q73" s="1338"/>
      <c r="R73" s="1153"/>
      <c r="S73" s="1153"/>
      <c r="T73" s="1153"/>
      <c r="U73" s="1153"/>
      <c r="V73" s="1153"/>
    </row>
    <row r="74" spans="1:39" ht="13.5" customHeight="1" x14ac:dyDescent="0.2">
      <c r="A74" s="1153"/>
      <c r="E74" s="1153"/>
      <c r="F74" s="1153"/>
      <c r="G74" s="1153"/>
      <c r="H74" s="1153"/>
      <c r="I74" s="1153"/>
      <c r="J74" s="1153"/>
      <c r="K74" s="1153"/>
      <c r="L74" s="1153"/>
      <c r="M74" s="1153"/>
      <c r="N74" s="1153"/>
      <c r="O74" s="1153"/>
      <c r="P74" s="1153"/>
      <c r="Q74" s="1153"/>
      <c r="R74" s="1153"/>
      <c r="S74" s="1153"/>
      <c r="T74" s="1153"/>
      <c r="U74" s="1153"/>
      <c r="V74" s="1153"/>
      <c r="AD74" s="1098">
        <f t="array" ref="AD74:AE74">LINEST(LN(D31:Q31),LN(D22:Q22))</f>
        <v>1.7095261012783656</v>
      </c>
      <c r="AE74" s="1098">
        <v>4.6533694937023951</v>
      </c>
      <c r="AF74" s="1098">
        <f>EXP(AE74)</f>
        <v>104.93797839694815</v>
      </c>
      <c r="AK74" s="1105">
        <f t="array" ref="AK74:AL74">LINEST(LN(D37:Q37),LN(D35:Q35))</f>
        <v>2.0217323192461518</v>
      </c>
      <c r="AL74" s="1098">
        <v>5.9948075434376573</v>
      </c>
      <c r="AM74" s="1105">
        <f>EXP(AL74)</f>
        <v>401.33943614951659</v>
      </c>
    </row>
    <row r="75" spans="1:39" ht="13.5" customHeight="1" x14ac:dyDescent="0.2">
      <c r="A75" s="1153"/>
      <c r="E75" s="1153"/>
      <c r="F75" s="1153"/>
      <c r="G75" s="1153"/>
      <c r="H75" s="1153"/>
      <c r="I75" s="1153"/>
      <c r="J75" s="1153"/>
      <c r="K75" s="1153"/>
      <c r="L75" s="1153"/>
      <c r="M75" s="1153"/>
      <c r="N75" s="1153"/>
      <c r="O75" s="1153"/>
      <c r="P75" s="1153"/>
      <c r="Q75" s="1153"/>
      <c r="R75" s="1153"/>
      <c r="S75" s="1153"/>
      <c r="T75" s="1153"/>
      <c r="U75" s="1153"/>
      <c r="V75" s="1153"/>
    </row>
    <row r="76" spans="1:39" ht="13.5" customHeight="1" x14ac:dyDescent="0.2">
      <c r="A76" s="1153"/>
      <c r="B76" s="1153"/>
      <c r="C76" s="1153" t="s">
        <v>2384</v>
      </c>
      <c r="D76" s="1153">
        <f>LN(D25/100)+(17.27*D24)/(237.7+D24)</f>
        <v>1.2127267907975345</v>
      </c>
      <c r="E76" s="1153">
        <f t="shared" ref="E76:Q76" si="35">LN(E25/100)+(17.27*E24)/(237.7+E24)</f>
        <v>1.2127267907975345</v>
      </c>
      <c r="F76" s="1153">
        <f t="shared" si="35"/>
        <v>1.2127267907975345</v>
      </c>
      <c r="G76" s="1153">
        <f t="shared" si="35"/>
        <v>1.2127267907975345</v>
      </c>
      <c r="H76" s="1153">
        <f t="shared" si="35"/>
        <v>0.95036252633004337</v>
      </c>
      <c r="I76" s="1153">
        <f t="shared" si="35"/>
        <v>0.95036252633004337</v>
      </c>
      <c r="J76" s="1153">
        <f t="shared" si="35"/>
        <v>0.95036252633004337</v>
      </c>
      <c r="K76" s="1153">
        <f t="shared" si="35"/>
        <v>0.95036252633004337</v>
      </c>
      <c r="L76" s="1153">
        <f t="shared" si="35"/>
        <v>1.136867724028773</v>
      </c>
      <c r="M76" s="1153">
        <f t="shared" si="35"/>
        <v>1.136867724028773</v>
      </c>
      <c r="N76" s="1153">
        <f t="shared" si="35"/>
        <v>1.136867724028773</v>
      </c>
      <c r="O76" s="1153">
        <f t="shared" si="35"/>
        <v>1.2127267907975345</v>
      </c>
      <c r="P76" s="1153">
        <f t="shared" si="35"/>
        <v>1.2127267907975345</v>
      </c>
      <c r="Q76" s="1153">
        <f t="shared" si="35"/>
        <v>1.2127267907975345</v>
      </c>
      <c r="R76" s="1153"/>
      <c r="S76" s="1153"/>
      <c r="T76" s="1153"/>
      <c r="U76" s="1153"/>
      <c r="V76" s="1153"/>
    </row>
    <row r="77" spans="1:39" ht="13.5" customHeight="1" x14ac:dyDescent="0.2">
      <c r="B77" s="1153"/>
      <c r="C77" s="1153"/>
      <c r="D77" s="1153">
        <f>237.7*D76</f>
        <v>288.26515817257393</v>
      </c>
      <c r="E77" s="1153">
        <f t="shared" ref="E77:Q77" si="36">237.7*E76</f>
        <v>288.26515817257393</v>
      </c>
      <c r="F77" s="1153">
        <f t="shared" si="36"/>
        <v>288.26515817257393</v>
      </c>
      <c r="G77" s="1153">
        <f t="shared" si="36"/>
        <v>288.26515817257393</v>
      </c>
      <c r="H77" s="1153">
        <f t="shared" si="36"/>
        <v>225.90117250865129</v>
      </c>
      <c r="I77" s="1153">
        <f t="shared" si="36"/>
        <v>225.90117250865129</v>
      </c>
      <c r="J77" s="1153">
        <f t="shared" si="36"/>
        <v>225.90117250865129</v>
      </c>
      <c r="K77" s="1153">
        <f t="shared" si="36"/>
        <v>225.90117250865129</v>
      </c>
      <c r="L77" s="1153">
        <f t="shared" si="36"/>
        <v>270.23345800163935</v>
      </c>
      <c r="M77" s="1153">
        <f t="shared" si="36"/>
        <v>270.23345800163935</v>
      </c>
      <c r="N77" s="1153">
        <f t="shared" si="36"/>
        <v>270.23345800163935</v>
      </c>
      <c r="O77" s="1153">
        <f t="shared" si="36"/>
        <v>288.26515817257393</v>
      </c>
      <c r="P77" s="1153">
        <f t="shared" si="36"/>
        <v>288.26515817257393</v>
      </c>
      <c r="Q77" s="1153">
        <f t="shared" si="36"/>
        <v>288.26515817257393</v>
      </c>
    </row>
    <row r="78" spans="1:39" ht="13.5" customHeight="1" x14ac:dyDescent="0.2">
      <c r="B78" s="1153"/>
      <c r="C78" s="1153"/>
      <c r="D78" s="1153">
        <f>17.27-D76</f>
        <v>16.057273209202464</v>
      </c>
      <c r="E78" s="1153">
        <f t="shared" ref="E78:Q78" si="37">17.27-E76</f>
        <v>16.057273209202464</v>
      </c>
      <c r="F78" s="1153">
        <f t="shared" si="37"/>
        <v>16.057273209202464</v>
      </c>
      <c r="G78" s="1153">
        <f t="shared" si="37"/>
        <v>16.057273209202464</v>
      </c>
      <c r="H78" s="1153">
        <f t="shared" si="37"/>
        <v>16.319637473669957</v>
      </c>
      <c r="I78" s="1153">
        <f t="shared" si="37"/>
        <v>16.319637473669957</v>
      </c>
      <c r="J78" s="1153">
        <f t="shared" si="37"/>
        <v>16.319637473669957</v>
      </c>
      <c r="K78" s="1153">
        <f t="shared" si="37"/>
        <v>16.319637473669957</v>
      </c>
      <c r="L78" s="1153">
        <f t="shared" si="37"/>
        <v>16.133132275971228</v>
      </c>
      <c r="M78" s="1153">
        <f t="shared" si="37"/>
        <v>16.133132275971228</v>
      </c>
      <c r="N78" s="1153">
        <f t="shared" si="37"/>
        <v>16.133132275971228</v>
      </c>
      <c r="O78" s="1153">
        <f t="shared" si="37"/>
        <v>16.057273209202464</v>
      </c>
      <c r="P78" s="1153">
        <f t="shared" si="37"/>
        <v>16.057273209202464</v>
      </c>
      <c r="Q78" s="1153">
        <f t="shared" si="37"/>
        <v>16.057273209202464</v>
      </c>
    </row>
    <row r="79" spans="1:39" ht="13.5" customHeight="1" x14ac:dyDescent="0.2"/>
    <row r="80" spans="1:39" ht="13.5" customHeight="1" x14ac:dyDescent="0.2"/>
    <row r="81" spans="2:60" ht="13.5" customHeight="1" x14ac:dyDescent="0.2">
      <c r="D81" s="1105" t="s">
        <v>2385</v>
      </c>
    </row>
    <row r="82" spans="2:60" ht="13.5" customHeight="1" x14ac:dyDescent="0.2">
      <c r="D82" s="1099" t="s">
        <v>289</v>
      </c>
      <c r="E82" s="1099" t="s">
        <v>2253</v>
      </c>
      <c r="F82" s="1099" t="s">
        <v>2386</v>
      </c>
      <c r="G82" s="1099" t="s">
        <v>47</v>
      </c>
      <c r="H82" s="1099" t="s">
        <v>2288</v>
      </c>
      <c r="V82" s="1105" t="s">
        <v>2231</v>
      </c>
      <c r="W82" s="1099"/>
      <c r="X82" s="1099"/>
      <c r="Y82" s="1099"/>
      <c r="Z82" s="1099"/>
    </row>
    <row r="83" spans="2:60" ht="13.5" customHeight="1" x14ac:dyDescent="0.2">
      <c r="D83" s="1099">
        <f>$K$62</f>
        <v>0.5</v>
      </c>
      <c r="E83" s="1145">
        <f>$K$69</f>
        <v>6.8500000000000014</v>
      </c>
      <c r="F83" s="1145">
        <f>$K$68</f>
        <v>6.848904969449757</v>
      </c>
      <c r="G83" s="1099">
        <f>$K$63</f>
        <v>5.0999999999999996</v>
      </c>
      <c r="H83" s="1099">
        <f>$K$35</f>
        <v>0.15</v>
      </c>
      <c r="J83" s="1105">
        <f t="array" ref="J83:K83">LINEST(LN(G83:G85),LN(E83:E85))</f>
        <v>1.7715691820205597</v>
      </c>
      <c r="K83" s="1098">
        <v>-1.7774824903779709</v>
      </c>
      <c r="L83" s="1105">
        <f>EXP(K83)</f>
        <v>0.16906323027775871</v>
      </c>
      <c r="V83" s="1099"/>
      <c r="W83" s="1099"/>
      <c r="X83" s="1099"/>
      <c r="Y83" s="1099"/>
      <c r="Z83" s="1099"/>
    </row>
    <row r="84" spans="2:60" ht="13.5" customHeight="1" x14ac:dyDescent="0.25">
      <c r="D84" s="1099">
        <f>$G$62</f>
        <v>0.5</v>
      </c>
      <c r="E84" s="1145">
        <f>$G$69</f>
        <v>7.1999999999999993</v>
      </c>
      <c r="F84" s="1145">
        <f>$G$68</f>
        <v>7.1981477669545928</v>
      </c>
      <c r="G84" s="1099">
        <f>$G$63</f>
        <v>5.6</v>
      </c>
      <c r="H84" s="1099">
        <f>$G$35</f>
        <v>0.17</v>
      </c>
      <c r="V84" s="1098" t="s">
        <v>485</v>
      </c>
      <c r="W84" s="1099"/>
      <c r="X84" s="1112">
        <f>'C5 Jäähdytys'!E13</f>
        <v>500</v>
      </c>
      <c r="Y84" s="1099" t="s">
        <v>13</v>
      </c>
      <c r="Z84" s="1098" t="s">
        <v>2387</v>
      </c>
      <c r="AA84" s="1099" t="s">
        <v>2234</v>
      </c>
      <c r="AC84" s="1098" t="s">
        <v>2235</v>
      </c>
      <c r="AE84" s="1098" t="s">
        <v>2388</v>
      </c>
      <c r="AG84" s="1098" t="s">
        <v>2389</v>
      </c>
      <c r="AM84" s="1098" t="s">
        <v>2437</v>
      </c>
    </row>
    <row r="85" spans="2:60" ht="13.5" customHeight="1" x14ac:dyDescent="0.25">
      <c r="D85" s="1099">
        <f>$Q$62</f>
        <v>0.5</v>
      </c>
      <c r="E85" s="1145">
        <f>$Q$69</f>
        <v>8.25</v>
      </c>
      <c r="F85" s="1145">
        <f>$Q$68</f>
        <v>8.1247418810100456</v>
      </c>
      <c r="G85" s="1099">
        <f>$Q$63</f>
        <v>7.1</v>
      </c>
      <c r="H85" s="1099">
        <f>$Q$35</f>
        <v>0.34</v>
      </c>
      <c r="V85" s="1098" t="s">
        <v>2237</v>
      </c>
      <c r="W85" s="1099"/>
      <c r="X85" s="1112">
        <f>'C5 Jäähdytys'!E14</f>
        <v>25</v>
      </c>
      <c r="Y85" s="1099" t="s">
        <v>230</v>
      </c>
      <c r="Z85" s="1288">
        <f>'C5 Jäähdytys'!E15</f>
        <v>65</v>
      </c>
      <c r="AA85" s="1099">
        <f>1.293*273.15/(X85+273.15)</f>
        <v>1.1845814187489518</v>
      </c>
      <c r="AB85" s="1098" t="s">
        <v>2238</v>
      </c>
      <c r="AC85" s="1098">
        <f>1005+0.2*X85</f>
        <v>1010</v>
      </c>
      <c r="AD85" s="1098" t="s">
        <v>2239</v>
      </c>
      <c r="AE85" s="1098">
        <f>LN(Z85/100)+(17.27*X85)/(237.7+X85)</f>
        <v>1.2127267907975345</v>
      </c>
      <c r="AG85" s="1098">
        <f>0.622*(Z85/100*6.112*EXP((17.67*X85)/(X85+243.5)))/(1013.25-(Z85/100*6.112*EXP((17.67*X85)/(X85+243.5))))</f>
        <v>1.2900585465042545E-2</v>
      </c>
      <c r="AH85" s="1098" t="s">
        <v>2390</v>
      </c>
      <c r="AM85" s="1346">
        <f>$AF$74*(X84/1000)^($AD$74)</f>
        <v>32.085887653595307</v>
      </c>
      <c r="AN85" s="1098" t="s">
        <v>14</v>
      </c>
    </row>
    <row r="86" spans="2:60" ht="13.5" customHeight="1" x14ac:dyDescent="0.25">
      <c r="B86" s="1289" t="s">
        <v>2391</v>
      </c>
      <c r="C86" s="1290"/>
      <c r="D86" s="1291">
        <f>$N$62</f>
        <v>0.5</v>
      </c>
      <c r="E86" s="1292">
        <f>$N$69</f>
        <v>9.6499999999999986</v>
      </c>
      <c r="F86" s="1292">
        <f>$N$68</f>
        <v>9.4561258585245938</v>
      </c>
      <c r="G86" s="1291">
        <f>$N$63</f>
        <v>8</v>
      </c>
      <c r="H86" s="1291">
        <f>$N$36</f>
        <v>0.68</v>
      </c>
      <c r="V86" s="1098" t="s">
        <v>2241</v>
      </c>
      <c r="W86" s="1099"/>
      <c r="X86" s="1112">
        <f>'C5 Jäähdytys'!E16</f>
        <v>17</v>
      </c>
      <c r="Y86" s="1099" t="s">
        <v>230</v>
      </c>
      <c r="Z86" s="1117">
        <f>AG89*100</f>
        <v>85.596277677513697</v>
      </c>
      <c r="AA86" s="1099">
        <f>1.293*273.15/(X86+273.15)</f>
        <v>1.2172426331207995</v>
      </c>
      <c r="AB86" s="1098" t="s">
        <v>2238</v>
      </c>
      <c r="AC86" s="1098">
        <f>1005+0.2*X86</f>
        <v>1008.4</v>
      </c>
      <c r="AD86" s="1098" t="s">
        <v>2239</v>
      </c>
      <c r="AG86" s="1098">
        <f>0.622*(Z86/100*6.112*EXP((17.67*X86)/(X86+243.5)))/(1013.25-(Z86/100*6.112*EXP((17.67*X86)/(X86+243.5))))</f>
        <v>1.0343609912842408E-2</v>
      </c>
      <c r="AH86" s="1098" t="s">
        <v>2390</v>
      </c>
      <c r="AI86" s="1098" t="s">
        <v>2392</v>
      </c>
    </row>
    <row r="87" spans="2:60" ht="13.5" customHeight="1" x14ac:dyDescent="0.2">
      <c r="Z87" s="1145">
        <v>98.6</v>
      </c>
      <c r="AG87" s="1098">
        <f>AG85*(1-AG93)</f>
        <v>1.0343609912842409E-2</v>
      </c>
      <c r="AH87" s="1098" t="s">
        <v>2390</v>
      </c>
      <c r="AI87" s="1098" t="s">
        <v>2393</v>
      </c>
    </row>
    <row r="88" spans="2:60" ht="13.5" customHeight="1" x14ac:dyDescent="0.2">
      <c r="D88" s="1105" t="s">
        <v>2394</v>
      </c>
      <c r="V88" s="1098" t="s">
        <v>2245</v>
      </c>
      <c r="W88" s="1099"/>
      <c r="X88" s="1099"/>
      <c r="Y88" s="1099"/>
      <c r="Z88" s="1099"/>
      <c r="AG88" s="1098">
        <f>(AG87*1013.25/(AG87+0.622))/(6.112*EXP(17.67*X86/(X86+243.5)))</f>
        <v>0.85596277677513699</v>
      </c>
      <c r="BH88" s="1098" t="s">
        <v>2417</v>
      </c>
    </row>
    <row r="89" spans="2:60" ht="13.5" customHeight="1" x14ac:dyDescent="0.25">
      <c r="D89" s="1099" t="s">
        <v>289</v>
      </c>
      <c r="E89" s="1099" t="s">
        <v>2253</v>
      </c>
      <c r="F89" s="1099" t="s">
        <v>2386</v>
      </c>
      <c r="G89" s="1099" t="s">
        <v>47</v>
      </c>
      <c r="H89" s="1099" t="s">
        <v>2288</v>
      </c>
      <c r="V89" s="1099" t="s">
        <v>2247</v>
      </c>
      <c r="W89" s="1099"/>
      <c r="X89" s="1112">
        <f>'C5 Jäähdytys'!E21</f>
        <v>7</v>
      </c>
      <c r="Y89" s="1099" t="s">
        <v>230</v>
      </c>
      <c r="Z89" s="1099"/>
      <c r="AG89" s="1098">
        <f>IF(AG88&gt;0.986,0.986,AG88)</f>
        <v>0.85596277677513699</v>
      </c>
    </row>
    <row r="90" spans="2:60" ht="17" x14ac:dyDescent="0.25">
      <c r="D90" s="1099">
        <f>$J$62</f>
        <v>0.4</v>
      </c>
      <c r="E90" s="1145">
        <f>$J$69</f>
        <v>6.6499999999999986</v>
      </c>
      <c r="F90" s="1145">
        <f>$J$68</f>
        <v>6.6438551067209355</v>
      </c>
      <c r="G90" s="1099">
        <f>$J$63</f>
        <v>4.3</v>
      </c>
      <c r="H90" s="1099">
        <f>$J$35</f>
        <v>0.13</v>
      </c>
      <c r="J90" s="1105">
        <f t="array" ref="J90:K90">LINEST(LN(G90:G92),LN(E90:E92))</f>
        <v>2.0800610123605257</v>
      </c>
      <c r="K90" s="1098">
        <v>-2.4869733196317156</v>
      </c>
      <c r="L90" s="1105">
        <f>EXP(K90)</f>
        <v>8.3161288687333218E-2</v>
      </c>
      <c r="V90" s="1099" t="s">
        <v>2251</v>
      </c>
      <c r="W90" s="1099"/>
      <c r="X90" s="1112">
        <f>'C5 Jäähdytys'!E22</f>
        <v>12</v>
      </c>
      <c r="Y90" s="1099" t="s">
        <v>230</v>
      </c>
      <c r="Z90" s="1099"/>
      <c r="AA90" s="1098" t="s">
        <v>2253</v>
      </c>
      <c r="AB90" s="1293">
        <f>AVERAGE(X85:X86)-AVERAGE(X89:X90)</f>
        <v>11.5</v>
      </c>
    </row>
    <row r="91" spans="2:60" x14ac:dyDescent="0.2">
      <c r="D91" s="1099">
        <f>$F$62</f>
        <v>0.4</v>
      </c>
      <c r="E91" s="1145">
        <f>$F$69</f>
        <v>7.0500000000000007</v>
      </c>
      <c r="F91" s="1145">
        <f>$F$68</f>
        <v>7.0498817951047856</v>
      </c>
      <c r="G91" s="1099">
        <f>$F$63</f>
        <v>4.8</v>
      </c>
      <c r="H91" s="1099">
        <f>$F$35</f>
        <v>0.14000000000000001</v>
      </c>
      <c r="V91" s="1099" t="s">
        <v>2395</v>
      </c>
      <c r="X91" s="1099">
        <f>X85-X90</f>
        <v>13</v>
      </c>
      <c r="AA91" s="1098" t="s">
        <v>2386</v>
      </c>
      <c r="AB91" s="1293">
        <f>IF(X91=X92,X91,(X91-X92)/LN(X91/X92))</f>
        <v>11.434484060125204</v>
      </c>
    </row>
    <row r="92" spans="2:60" x14ac:dyDescent="0.2">
      <c r="D92" s="1099">
        <f>$P$62</f>
        <v>0.4</v>
      </c>
      <c r="E92" s="1145">
        <f>$P$69</f>
        <v>8</v>
      </c>
      <c r="F92" s="1145">
        <f>$P$68</f>
        <v>7.8304607558848698</v>
      </c>
      <c r="G92" s="1099">
        <f>$P$63</f>
        <v>6.3</v>
      </c>
      <c r="H92" s="1099">
        <f>$P$35</f>
        <v>0.3</v>
      </c>
      <c r="V92" s="1099" t="s">
        <v>2396</v>
      </c>
      <c r="X92" s="1099">
        <f>X86-X89</f>
        <v>10</v>
      </c>
      <c r="AC92" s="1098" t="s">
        <v>91</v>
      </c>
      <c r="AD92" s="1245">
        <v>2</v>
      </c>
    </row>
    <row r="93" spans="2:60" ht="17" x14ac:dyDescent="0.25">
      <c r="B93" s="1289" t="s">
        <v>2391</v>
      </c>
      <c r="D93" s="1291">
        <f>$M$62</f>
        <v>0.4</v>
      </c>
      <c r="E93" s="1292">
        <f>$M$69</f>
        <v>9.3500000000000014</v>
      </c>
      <c r="F93" s="1292">
        <f>$M$68</f>
        <v>9.0940425050081988</v>
      </c>
      <c r="G93" s="1291">
        <f>$M$63</f>
        <v>6.9</v>
      </c>
      <c r="H93" s="1291">
        <f>$M$36</f>
        <v>0.6</v>
      </c>
      <c r="V93" s="1099" t="s">
        <v>2382</v>
      </c>
      <c r="W93" s="1099" t="s">
        <v>2237</v>
      </c>
      <c r="X93" s="1117">
        <f>(237.7*AE85)/(17.27-AE85)</f>
        <v>17.952310732769277</v>
      </c>
      <c r="Y93" s="1099" t="s">
        <v>230</v>
      </c>
      <c r="AA93" s="1098" t="s">
        <v>2397</v>
      </c>
      <c r="AD93" s="1294">
        <f>IF(X93&lt;X89,0,(X93-X89)/(X90-X89))</f>
        <v>2.1904621465538554</v>
      </c>
      <c r="AE93" s="1360">
        <f>IF(AD93&gt;AD92,AD92,AD93)</f>
        <v>2</v>
      </c>
      <c r="AG93" s="1295">
        <f>AM33*AE93^AK33</f>
        <v>0.198206163520944</v>
      </c>
      <c r="AH93" s="1098" t="s">
        <v>2398</v>
      </c>
    </row>
    <row r="95" spans="2:60" x14ac:dyDescent="0.2">
      <c r="D95" s="1105" t="s">
        <v>2399</v>
      </c>
      <c r="V95" s="1098" t="s">
        <v>2400</v>
      </c>
      <c r="W95" s="1099"/>
      <c r="X95" s="1113">
        <f>X84/1000*AVERAGE(AA85:AA86)*AVERAGE(AC85:AC86)*(X85-X86)/1000</f>
        <v>4.847841666293907</v>
      </c>
      <c r="Y95" s="1099" t="s">
        <v>2259</v>
      </c>
      <c r="Z95" s="1099"/>
      <c r="AA95" s="1098" t="s">
        <v>2354</v>
      </c>
      <c r="AB95" s="1113">
        <f>X84/1000*AVERAGE(AA85:AA86)*(AG85-AG86)*2500</f>
        <v>3.8383783633232684</v>
      </c>
      <c r="AC95" s="1098" t="s">
        <v>2259</v>
      </c>
    </row>
    <row r="96" spans="2:60" x14ac:dyDescent="0.2">
      <c r="D96" s="1099" t="s">
        <v>289</v>
      </c>
      <c r="E96" s="1099" t="s">
        <v>2253</v>
      </c>
      <c r="F96" s="1099" t="s">
        <v>2386</v>
      </c>
      <c r="G96" s="1099" t="s">
        <v>47</v>
      </c>
      <c r="H96" s="1099" t="s">
        <v>2288</v>
      </c>
      <c r="V96" s="1098" t="s">
        <v>2401</v>
      </c>
      <c r="X96" s="1123">
        <f>X95+AB97</f>
        <v>8.686220029617175</v>
      </c>
      <c r="Y96" s="1098" t="s">
        <v>2259</v>
      </c>
      <c r="Z96" s="1099"/>
      <c r="AA96" s="1098" t="s">
        <v>2354</v>
      </c>
      <c r="AB96" s="1113">
        <f>X84/1000*AVERAGE(AA85:AA86)*(AG85-AG87)*2500</f>
        <v>3.8383783633232662</v>
      </c>
      <c r="AC96" s="1098" t="s">
        <v>2259</v>
      </c>
    </row>
    <row r="97" spans="2:36" x14ac:dyDescent="0.2">
      <c r="D97" s="1099">
        <f>$I$62</f>
        <v>0.3</v>
      </c>
      <c r="E97" s="1145">
        <f>$I$69</f>
        <v>6.3999999999999986</v>
      </c>
      <c r="F97" s="1145">
        <f>$I$68</f>
        <v>6.3812058512118321</v>
      </c>
      <c r="G97" s="1099">
        <f>$I$63</f>
        <v>3.4</v>
      </c>
      <c r="H97" s="1099">
        <f>$I$35</f>
        <v>0.1</v>
      </c>
      <c r="J97" s="1105">
        <f t="array" ref="J97:K97">LINEST(LN(G97:G99),LN(E97:E99))</f>
        <v>2.219930093763224</v>
      </c>
      <c r="K97" s="1098">
        <v>-2.8970763401827329</v>
      </c>
      <c r="L97" s="1105">
        <f>EXP(K97)</f>
        <v>5.5184324626624683E-2</v>
      </c>
      <c r="V97" s="1098" t="s">
        <v>2260</v>
      </c>
      <c r="W97" s="1099"/>
      <c r="X97" s="1117">
        <f>(X96/$L$106)^(1/$J$106)</f>
        <v>9.1833560246304309</v>
      </c>
      <c r="Y97" s="1099" t="s">
        <v>496</v>
      </c>
      <c r="Z97" s="1099"/>
      <c r="AA97" s="1098" t="s">
        <v>21</v>
      </c>
      <c r="AB97" s="1123">
        <f>IF(X93&gt;X90,AB95,AB96)</f>
        <v>3.8383783633232684</v>
      </c>
      <c r="AC97" s="1098" t="s">
        <v>2259</v>
      </c>
    </row>
    <row r="98" spans="2:36" x14ac:dyDescent="0.2">
      <c r="D98" s="1099">
        <f>$O$62</f>
        <v>0.3</v>
      </c>
      <c r="E98" s="1145">
        <f>$O$69</f>
        <v>7.75</v>
      </c>
      <c r="F98" s="1145">
        <f>$O$68</f>
        <v>7.5271353133251084</v>
      </c>
      <c r="G98" s="1099">
        <f>$O$63</f>
        <v>5.2</v>
      </c>
      <c r="H98" s="1099">
        <f>$O$35</f>
        <v>0.25</v>
      </c>
    </row>
    <row r="99" spans="2:36" x14ac:dyDescent="0.2">
      <c r="D99" s="1099">
        <f>$O$62</f>
        <v>0.3</v>
      </c>
      <c r="E99" s="1145">
        <f>$O$69</f>
        <v>7.75</v>
      </c>
      <c r="F99" s="1145">
        <f>$O$68</f>
        <v>7.5271353133251084</v>
      </c>
      <c r="G99" s="1099">
        <f>$O$63</f>
        <v>5.2</v>
      </c>
      <c r="H99" s="1099">
        <f>$O$35</f>
        <v>0.25</v>
      </c>
    </row>
    <row r="100" spans="2:36" x14ac:dyDescent="0.2">
      <c r="B100" s="1289" t="s">
        <v>2391</v>
      </c>
      <c r="D100" s="1291">
        <f>$L$62</f>
        <v>0.3</v>
      </c>
      <c r="E100" s="1292">
        <f>$L$69</f>
        <v>9.0500000000000007</v>
      </c>
      <c r="F100" s="1292">
        <f>$L$68</f>
        <v>8.7198405282042089</v>
      </c>
      <c r="G100" s="1291">
        <f>$L$63</f>
        <v>5.7</v>
      </c>
      <c r="H100" s="1291">
        <f>$L$36</f>
        <v>0.49</v>
      </c>
      <c r="V100" s="1098" t="s">
        <v>2264</v>
      </c>
      <c r="W100" s="1099"/>
      <c r="X100" s="1099"/>
      <c r="Y100" s="1099"/>
      <c r="Z100" s="1099"/>
      <c r="AA100" s="1098" t="s">
        <v>2265</v>
      </c>
      <c r="AB100" s="1099"/>
      <c r="AC100" s="1099"/>
      <c r="AD100" s="1099"/>
      <c r="AG100" s="1098" t="s">
        <v>2402</v>
      </c>
    </row>
    <row r="101" spans="2:36" ht="17" x14ac:dyDescent="0.25">
      <c r="V101" s="1099" t="s">
        <v>2247</v>
      </c>
      <c r="X101" s="1296">
        <f>X89</f>
        <v>7</v>
      </c>
      <c r="Y101" s="1099" t="s">
        <v>230</v>
      </c>
      <c r="AA101" s="1099" t="s">
        <v>2247</v>
      </c>
      <c r="AB101" s="1099"/>
      <c r="AC101" s="1297">
        <f>X85+X86-X90-2*X97</f>
        <v>11.633287950739138</v>
      </c>
      <c r="AD101" s="1099" t="s">
        <v>230</v>
      </c>
      <c r="AG101" s="1099" t="s">
        <v>2247</v>
      </c>
      <c r="AI101" s="1296">
        <f>X89</f>
        <v>7</v>
      </c>
      <c r="AJ101" s="1099" t="s">
        <v>230</v>
      </c>
    </row>
    <row r="102" spans="2:36" ht="17" x14ac:dyDescent="0.25">
      <c r="V102" s="1099" t="s">
        <v>2251</v>
      </c>
      <c r="W102" s="1099"/>
      <c r="X102" s="1298">
        <f>X85+X86-X89-2*X97</f>
        <v>16.633287950739138</v>
      </c>
      <c r="Y102" s="1099" t="s">
        <v>230</v>
      </c>
      <c r="Z102" s="1099"/>
      <c r="AA102" s="1099" t="s">
        <v>2251</v>
      </c>
      <c r="AC102" s="1296">
        <f>X90</f>
        <v>12</v>
      </c>
      <c r="AD102" s="1099" t="s">
        <v>230</v>
      </c>
      <c r="AF102" s="1299"/>
      <c r="AG102" s="1099" t="s">
        <v>2251</v>
      </c>
      <c r="AI102" s="1296">
        <f>X90</f>
        <v>12</v>
      </c>
      <c r="AJ102" s="1099" t="s">
        <v>230</v>
      </c>
    </row>
    <row r="103" spans="2:36" x14ac:dyDescent="0.2">
      <c r="D103" s="1105" t="s">
        <v>2403</v>
      </c>
      <c r="N103" s="1134" t="s">
        <v>2253</v>
      </c>
      <c r="O103" s="1135" t="s">
        <v>289</v>
      </c>
      <c r="P103" s="1136" t="s">
        <v>47</v>
      </c>
      <c r="V103" s="1099" t="s">
        <v>498</v>
      </c>
      <c r="W103" s="1099"/>
      <c r="X103" s="1122">
        <f>X96/(X102-X89)/4.186</f>
        <v>0.21540563496108853</v>
      </c>
      <c r="Y103" s="1099" t="s">
        <v>13</v>
      </c>
      <c r="Z103" s="1099"/>
      <c r="AA103" s="1099" t="s">
        <v>498</v>
      </c>
      <c r="AB103" s="1099"/>
      <c r="AC103" s="1300">
        <f>X96/(X90-AC101)/4.186</f>
        <v>5.6585664746343358</v>
      </c>
      <c r="AD103" s="1099" t="s">
        <v>13</v>
      </c>
      <c r="AG103" s="1099" t="s">
        <v>498</v>
      </c>
      <c r="AH103" s="1099"/>
      <c r="AI103" s="1301">
        <f>X96/(X90-X89)/4.186</f>
        <v>0.41501290155839349</v>
      </c>
      <c r="AJ103" s="1099" t="s">
        <v>13</v>
      </c>
    </row>
    <row r="104" spans="2:36" x14ac:dyDescent="0.2">
      <c r="N104" s="1139">
        <v>14</v>
      </c>
      <c r="O104" s="1140">
        <f>D83</f>
        <v>0.5</v>
      </c>
      <c r="P104" s="1302">
        <f>$L$83*N104^$J$83</f>
        <v>18.134027475388788</v>
      </c>
      <c r="V104" s="1099" t="s">
        <v>499</v>
      </c>
      <c r="W104" s="1099"/>
      <c r="X104" s="1122">
        <f>$AM$74*X103^$AK$74</f>
        <v>18.01092783263805</v>
      </c>
      <c r="Y104" s="1099" t="s">
        <v>500</v>
      </c>
      <c r="Z104" s="1099"/>
      <c r="AA104" s="1099" t="s">
        <v>499</v>
      </c>
      <c r="AB104" s="1099"/>
      <c r="AC104" s="1122">
        <f>$AM$74*AC103^$AK$74</f>
        <v>13343.898713454468</v>
      </c>
      <c r="AD104" s="1099" t="s">
        <v>500</v>
      </c>
      <c r="AG104" s="1099" t="s">
        <v>499</v>
      </c>
      <c r="AH104" s="1099"/>
      <c r="AI104" s="1122">
        <f>$AM$74*AI103^$AK$74</f>
        <v>67.816383280998451</v>
      </c>
      <c r="AJ104" s="1099" t="s">
        <v>500</v>
      </c>
    </row>
    <row r="105" spans="2:36" x14ac:dyDescent="0.2">
      <c r="D105" s="1099" t="s">
        <v>289</v>
      </c>
      <c r="E105" s="1099" t="s">
        <v>2253</v>
      </c>
      <c r="F105" s="1099" t="s">
        <v>2386</v>
      </c>
      <c r="G105" s="1099" t="s">
        <v>47</v>
      </c>
      <c r="H105" s="1099"/>
      <c r="N105" s="1141">
        <v>14</v>
      </c>
      <c r="O105" s="1099">
        <f>D90</f>
        <v>0.4</v>
      </c>
      <c r="P105" s="1302">
        <f>$L$90*N105^$J$90</f>
        <v>20.134342538186655</v>
      </c>
      <c r="W105" s="1098" t="s">
        <v>2253</v>
      </c>
      <c r="X105" s="1145">
        <f>AVERAGE(X85:X86)-AVERAGE(X102,X89)</f>
        <v>9.1833560246304309</v>
      </c>
      <c r="Y105" s="1099"/>
      <c r="Z105" s="1099"/>
      <c r="AB105" s="1098" t="s">
        <v>2253</v>
      </c>
      <c r="AC105" s="1145">
        <f>AVERAGE(X85:X86)-AVERAGE(AC101,X90)</f>
        <v>9.1833560246304309</v>
      </c>
    </row>
    <row r="106" spans="2:36" x14ac:dyDescent="0.2">
      <c r="D106" s="1099">
        <f>X84/1000</f>
        <v>0.5</v>
      </c>
      <c r="E106" s="1145">
        <f>N104</f>
        <v>14</v>
      </c>
      <c r="F106" s="1145"/>
      <c r="G106" s="1155">
        <f>P107*D106^N107</f>
        <v>18.661881757111551</v>
      </c>
      <c r="H106" s="1099"/>
      <c r="J106" s="1105">
        <f t="array" ref="J106:K106">LINEST(LN(G106:G108),LN(E106:E108))</f>
        <v>1.8136337461399157</v>
      </c>
      <c r="K106" s="1098">
        <v>-1.8598003962208254</v>
      </c>
      <c r="L106" s="1105">
        <f>EXP(K106)</f>
        <v>0.15570370631466784</v>
      </c>
      <c r="N106" s="1142">
        <v>14</v>
      </c>
      <c r="O106" s="1143">
        <f>D97</f>
        <v>0.3</v>
      </c>
      <c r="P106" s="1303">
        <f>$L$97*N106^$J$97</f>
        <v>19.325905407568257</v>
      </c>
      <c r="X106" s="1145">
        <f>X85-X102</f>
        <v>8.3667120492608618</v>
      </c>
    </row>
    <row r="107" spans="2:36" x14ac:dyDescent="0.2">
      <c r="D107" s="1099">
        <f>D106</f>
        <v>0.5</v>
      </c>
      <c r="E107" s="1145">
        <f>N110</f>
        <v>11</v>
      </c>
      <c r="F107" s="1145"/>
      <c r="G107" s="1155">
        <f>P113*D107^N113</f>
        <v>12.050466709140974</v>
      </c>
      <c r="H107" s="1099"/>
      <c r="N107" s="1105">
        <f t="array" ref="N107:O107">LINEST(LN(P104:P106),LN(O104:O106))</f>
        <v>-0.1120134590459721</v>
      </c>
      <c r="O107" s="1098">
        <v>2.8488412214448164</v>
      </c>
      <c r="P107" s="1105">
        <f>EXP(O107)</f>
        <v>17.26776073196006</v>
      </c>
      <c r="X107" s="1099">
        <f>X86-X101</f>
        <v>10</v>
      </c>
    </row>
    <row r="108" spans="2:36" x14ac:dyDescent="0.2">
      <c r="D108" s="1099">
        <f>D107</f>
        <v>0.5</v>
      </c>
      <c r="E108" s="1145">
        <f>N116</f>
        <v>7</v>
      </c>
      <c r="F108" s="1145"/>
      <c r="G108" s="1155">
        <f>P119*D108^N119</f>
        <v>5.3088111275115848</v>
      </c>
      <c r="H108" s="1099"/>
      <c r="X108" s="1127">
        <f>(X106-X107)/LN(X106/X107)</f>
        <v>9.1590976599083618</v>
      </c>
    </row>
    <row r="109" spans="2:36" x14ac:dyDescent="0.2">
      <c r="N109" s="1134" t="s">
        <v>2253</v>
      </c>
      <c r="O109" s="1135" t="s">
        <v>289</v>
      </c>
      <c r="P109" s="1136" t="s">
        <v>47</v>
      </c>
    </row>
    <row r="110" spans="2:36" x14ac:dyDescent="0.2">
      <c r="N110" s="1139">
        <v>11</v>
      </c>
      <c r="O110" s="1140">
        <f>O104</f>
        <v>0.5</v>
      </c>
      <c r="P110" s="1302">
        <f>$L$83*N110^$J$83</f>
        <v>11.829008671379444</v>
      </c>
      <c r="V110" s="1098" t="s">
        <v>2271</v>
      </c>
      <c r="X110" s="1099">
        <v>5</v>
      </c>
      <c r="Y110" s="1098" t="s">
        <v>2272</v>
      </c>
      <c r="AA110" s="1098" t="s">
        <v>2271</v>
      </c>
      <c r="AC110" s="1099">
        <v>5</v>
      </c>
      <c r="AD110" s="1098" t="s">
        <v>2272</v>
      </c>
      <c r="AG110" s="1098" t="s">
        <v>2271</v>
      </c>
      <c r="AI110" s="1099">
        <v>5</v>
      </c>
      <c r="AJ110" s="1098" t="s">
        <v>2272</v>
      </c>
    </row>
    <row r="111" spans="2:36" x14ac:dyDescent="0.2">
      <c r="N111" s="1141">
        <v>11</v>
      </c>
      <c r="O111" s="1099">
        <f>O105</f>
        <v>0.4</v>
      </c>
      <c r="P111" s="1302">
        <f>$L$90*N111^$J$90</f>
        <v>12.192184711363431</v>
      </c>
      <c r="V111" s="1098" t="s">
        <v>498</v>
      </c>
      <c r="X111" s="1099">
        <f>X103/X110</f>
        <v>4.3081126992217708E-2</v>
      </c>
      <c r="Y111" s="1098" t="s">
        <v>502</v>
      </c>
      <c r="AA111" s="1098" t="s">
        <v>498</v>
      </c>
      <c r="AC111" s="1099">
        <f>AC103/AC110</f>
        <v>1.1317132949268671</v>
      </c>
      <c r="AD111" s="1098" t="s">
        <v>502</v>
      </c>
      <c r="AG111" s="1098" t="s">
        <v>498</v>
      </c>
      <c r="AI111" s="1099">
        <f>AI103/AI110</f>
        <v>8.3002580311678703E-2</v>
      </c>
      <c r="AJ111" s="1098" t="s">
        <v>502</v>
      </c>
    </row>
    <row r="112" spans="2:36" x14ac:dyDescent="0.2">
      <c r="N112" s="1142">
        <v>11</v>
      </c>
      <c r="O112" s="1143">
        <f>O106</f>
        <v>0.3</v>
      </c>
      <c r="P112" s="1303">
        <f>$L$97*N112^$J$97</f>
        <v>11.314482446871287</v>
      </c>
      <c r="V112" s="1098" t="s">
        <v>2278</v>
      </c>
      <c r="X112" s="1127">
        <f>9.52-2*0.36</f>
        <v>8.7999999999999989</v>
      </c>
      <c r="Y112" s="1098" t="s">
        <v>2279</v>
      </c>
      <c r="AA112" s="1098" t="s">
        <v>2278</v>
      </c>
      <c r="AC112" s="1127">
        <f>9.52-2*0.36</f>
        <v>8.7999999999999989</v>
      </c>
      <c r="AD112" s="1098" t="s">
        <v>2279</v>
      </c>
      <c r="AG112" s="1098" t="s">
        <v>2278</v>
      </c>
      <c r="AI112" s="1127">
        <f>9.52-2*0.36</f>
        <v>8.7999999999999989</v>
      </c>
      <c r="AJ112" s="1098" t="s">
        <v>2279</v>
      </c>
    </row>
    <row r="113" spans="14:36" x14ac:dyDescent="0.2">
      <c r="N113" s="1105">
        <f t="array" ref="N113:O113">LINEST(LN(P110:P112),LN(O110:O112))</f>
        <v>9.5203735824834226E-2</v>
      </c>
      <c r="O113" s="1098">
        <v>2.5550935913014374</v>
      </c>
      <c r="P113" s="1105">
        <f>EXP(O113)</f>
        <v>12.872504355582034</v>
      </c>
      <c r="V113" s="1098" t="s">
        <v>501</v>
      </c>
      <c r="X113" s="1099">
        <f>X111/1000/(PI()*(X112/1000/2)^2)</f>
        <v>0.70832379284929003</v>
      </c>
      <c r="Y113" s="1098" t="s">
        <v>502</v>
      </c>
      <c r="AA113" s="1098" t="s">
        <v>501</v>
      </c>
      <c r="AC113" s="1099">
        <f>AC111/1000/(PI()*(AC112/1000/2)^2)</f>
        <v>18.60720713330857</v>
      </c>
      <c r="AD113" s="1098" t="s">
        <v>502</v>
      </c>
      <c r="AG113" s="1098" t="s">
        <v>501</v>
      </c>
      <c r="AI113" s="1099">
        <f>AI111/1000/(PI()*(AI112/1000/2)^2)</f>
        <v>1.3646974117753823</v>
      </c>
      <c r="AJ113" s="1098" t="s">
        <v>502</v>
      </c>
    </row>
    <row r="114" spans="14:36" x14ac:dyDescent="0.2">
      <c r="V114" s="1098" t="s">
        <v>2283</v>
      </c>
      <c r="X114" s="1131">
        <f>1000*X113*X112/1000/0.0012</f>
        <v>5194.3744808947931</v>
      </c>
      <c r="AA114" s="1098" t="s">
        <v>2283</v>
      </c>
      <c r="AC114" s="1131">
        <f>1000*AC113*AC112/1000/0.0012</f>
        <v>136452.85231092951</v>
      </c>
      <c r="AG114" s="1098" t="s">
        <v>2283</v>
      </c>
      <c r="AI114" s="1131">
        <f>1000*AI113*AI112/1000/0.0012</f>
        <v>10007.781019686136</v>
      </c>
    </row>
    <row r="115" spans="14:36" x14ac:dyDescent="0.2">
      <c r="N115" s="1134" t="s">
        <v>2253</v>
      </c>
      <c r="O115" s="1135" t="s">
        <v>289</v>
      </c>
      <c r="P115" s="1136" t="s">
        <v>47</v>
      </c>
    </row>
    <row r="116" spans="14:36" x14ac:dyDescent="0.2">
      <c r="N116" s="1139">
        <v>7</v>
      </c>
      <c r="O116" s="1144">
        <f>O110</f>
        <v>0.5</v>
      </c>
      <c r="P116" s="1302">
        <f>$L$83*N116^$J$83</f>
        <v>5.3112752190570047</v>
      </c>
    </row>
    <row r="117" spans="14:36" x14ac:dyDescent="0.2">
      <c r="N117" s="1141">
        <v>7</v>
      </c>
      <c r="O117" s="1145">
        <f>O111</f>
        <v>0.4</v>
      </c>
      <c r="P117" s="1302">
        <f>$L$90*N117^$J$90</f>
        <v>4.7618607940612341</v>
      </c>
    </row>
    <row r="118" spans="14:36" x14ac:dyDescent="0.2">
      <c r="N118" s="1142">
        <v>7</v>
      </c>
      <c r="O118" s="1146">
        <f>O112</f>
        <v>0.3</v>
      </c>
      <c r="P118" s="1303">
        <f>$L$97*N118^$J$97</f>
        <v>4.1483396069164753</v>
      </c>
    </row>
    <row r="119" spans="14:36" x14ac:dyDescent="0.2">
      <c r="N119" s="1105">
        <f t="array" ref="N119:O119">LINEST(LN(P116:P118),LN(O116:O118))</f>
        <v>0.48356951235528217</v>
      </c>
      <c r="O119" s="1098">
        <v>2.0045527611558565</v>
      </c>
      <c r="P119" s="1105">
        <f>EXP(O119)</f>
        <v>7.4227734016894731</v>
      </c>
    </row>
  </sheetData>
  <mergeCells count="16">
    <mergeCell ref="AC2:AP2"/>
    <mergeCell ref="D32:N32"/>
    <mergeCell ref="O32:Q32"/>
    <mergeCell ref="R32:V32"/>
    <mergeCell ref="A52:A53"/>
    <mergeCell ref="B52:B53"/>
    <mergeCell ref="C52:C53"/>
    <mergeCell ref="A60:B60"/>
    <mergeCell ref="A61:C61"/>
    <mergeCell ref="A62:B62"/>
    <mergeCell ref="A54:D54"/>
    <mergeCell ref="A55:C55"/>
    <mergeCell ref="A56:B56"/>
    <mergeCell ref="A57:C57"/>
    <mergeCell ref="A58:B58"/>
    <mergeCell ref="A59:C59"/>
  </mergeCells>
  <conditionalFormatting sqref="D51:Q51">
    <cfRule type="cellIs" dxfId="11" priority="1" operator="between">
      <formula>2500</formula>
      <formula>4000</formula>
    </cfRule>
    <cfRule type="cellIs" dxfId="10" priority="2" operator="lessThan">
      <formula>2500</formula>
    </cfRule>
    <cfRule type="cellIs" dxfId="9" priority="3" operator="greaterThan">
      <formula>4000</formula>
    </cfRule>
  </conditionalFormatting>
  <conditionalFormatting sqref="X114">
    <cfRule type="cellIs" dxfId="8" priority="7" operator="between">
      <formula>2500</formula>
      <formula>4000</formula>
    </cfRule>
    <cfRule type="cellIs" dxfId="7" priority="8" operator="lessThan">
      <formula>2500</formula>
    </cfRule>
    <cfRule type="cellIs" dxfId="6" priority="9" operator="greaterThan">
      <formula>4000</formula>
    </cfRule>
  </conditionalFormatting>
  <conditionalFormatting sqref="AC114">
    <cfRule type="cellIs" dxfId="5" priority="10" operator="between">
      <formula>2500</formula>
      <formula>4000</formula>
    </cfRule>
    <cfRule type="cellIs" dxfId="4" priority="11" operator="lessThan">
      <formula>2500</formula>
    </cfRule>
    <cfRule type="cellIs" dxfId="3" priority="12" operator="greaterThan">
      <formula>4000</formula>
    </cfRule>
  </conditionalFormatting>
  <conditionalFormatting sqref="AI114">
    <cfRule type="cellIs" dxfId="2" priority="4" operator="between">
      <formula>2500</formula>
      <formula>4000</formula>
    </cfRule>
    <cfRule type="cellIs" dxfId="1" priority="5" operator="lessThan">
      <formula>2500</formula>
    </cfRule>
    <cfRule type="cellIs" dxfId="0" priority="6" operator="greaterThan">
      <formula>4000</formula>
    </cfRule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8"/>
  <sheetViews>
    <sheetView topLeftCell="A21" zoomScaleNormal="100" workbookViewId="0">
      <selection activeCell="B126" sqref="B126"/>
    </sheetView>
  </sheetViews>
  <sheetFormatPr baseColWidth="10" defaultColWidth="8.83203125" defaultRowHeight="13" x14ac:dyDescent="0.15"/>
  <cols>
    <col min="2" max="2" width="12.5" customWidth="1"/>
    <col min="3" max="3" width="10.83203125" customWidth="1"/>
    <col min="4" max="4" width="149.6640625" customWidth="1"/>
    <col min="5" max="5" width="8.5" customWidth="1"/>
    <col min="6" max="6" width="12.33203125" customWidth="1"/>
    <col min="7" max="7" width="42.1640625" customWidth="1"/>
  </cols>
  <sheetData>
    <row r="5" spans="2:7" x14ac:dyDescent="0.1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x14ac:dyDescent="0.15">
      <c r="B6" s="97">
        <v>43454</v>
      </c>
      <c r="C6" s="12" t="s">
        <v>111</v>
      </c>
      <c r="D6" s="514" t="s">
        <v>112</v>
      </c>
      <c r="E6" s="12" t="s">
        <v>110</v>
      </c>
      <c r="F6" s="109">
        <v>43454</v>
      </c>
      <c r="G6" s="34" t="s">
        <v>126</v>
      </c>
    </row>
    <row r="7" spans="2:7" x14ac:dyDescent="0.15">
      <c r="B7" s="97">
        <v>43476</v>
      </c>
      <c r="C7" s="105" t="s">
        <v>128</v>
      </c>
      <c r="D7" s="514" t="s">
        <v>122</v>
      </c>
      <c r="E7" s="12" t="s">
        <v>110</v>
      </c>
      <c r="F7" s="106">
        <v>43476</v>
      </c>
      <c r="G7" s="96" t="s">
        <v>127</v>
      </c>
    </row>
    <row r="8" spans="2:7" x14ac:dyDescent="0.15">
      <c r="B8" s="97">
        <v>43497</v>
      </c>
      <c r="C8" s="12" t="s">
        <v>137</v>
      </c>
      <c r="D8" s="514" t="s">
        <v>138</v>
      </c>
      <c r="E8" s="12" t="s">
        <v>110</v>
      </c>
      <c r="F8" s="106">
        <v>43497</v>
      </c>
      <c r="G8" s="96" t="s">
        <v>201</v>
      </c>
    </row>
    <row r="9" spans="2:7" x14ac:dyDescent="0.15">
      <c r="B9" s="97">
        <v>43514</v>
      </c>
      <c r="C9" s="105" t="s">
        <v>198</v>
      </c>
      <c r="D9" s="514" t="s">
        <v>200</v>
      </c>
      <c r="E9" s="12" t="s">
        <v>110</v>
      </c>
      <c r="F9" s="106">
        <v>43514</v>
      </c>
      <c r="G9" s="96" t="s">
        <v>204</v>
      </c>
    </row>
    <row r="10" spans="2:7" x14ac:dyDescent="0.15">
      <c r="B10" s="97">
        <v>43521</v>
      </c>
      <c r="C10" s="12" t="s">
        <v>295</v>
      </c>
      <c r="D10" s="514" t="s">
        <v>296</v>
      </c>
      <c r="E10" s="12" t="s">
        <v>110</v>
      </c>
      <c r="F10" s="106">
        <v>43521</v>
      </c>
      <c r="G10" s="96" t="s">
        <v>340</v>
      </c>
    </row>
    <row r="11" spans="2:7" x14ac:dyDescent="0.15">
      <c r="B11" s="97">
        <v>43542</v>
      </c>
      <c r="C11" s="105" t="s">
        <v>343</v>
      </c>
      <c r="D11" s="514" t="s">
        <v>345</v>
      </c>
      <c r="E11" s="12" t="s">
        <v>110</v>
      </c>
      <c r="F11" s="106">
        <v>43542</v>
      </c>
      <c r="G11" s="96" t="s">
        <v>344</v>
      </c>
    </row>
    <row r="12" spans="2:7" x14ac:dyDescent="0.15">
      <c r="B12" s="97">
        <v>43630</v>
      </c>
      <c r="C12" s="105" t="s">
        <v>349</v>
      </c>
      <c r="D12" s="514" t="s">
        <v>350</v>
      </c>
      <c r="E12" s="12" t="s">
        <v>110</v>
      </c>
      <c r="F12" s="106">
        <v>43630</v>
      </c>
      <c r="G12" s="96" t="s">
        <v>351</v>
      </c>
    </row>
    <row r="13" spans="2:7" x14ac:dyDescent="0.15">
      <c r="B13" s="97">
        <v>43634</v>
      </c>
      <c r="C13" s="105" t="s">
        <v>353</v>
      </c>
      <c r="D13" s="514" t="s">
        <v>352</v>
      </c>
      <c r="E13" s="12" t="s">
        <v>110</v>
      </c>
      <c r="F13" s="106">
        <v>43634</v>
      </c>
      <c r="G13" s="96" t="s">
        <v>354</v>
      </c>
    </row>
    <row r="14" spans="2:7" x14ac:dyDescent="0.15">
      <c r="B14" s="97">
        <v>43787</v>
      </c>
      <c r="C14" s="105" t="s">
        <v>356</v>
      </c>
      <c r="D14" s="514" t="s">
        <v>357</v>
      </c>
      <c r="E14" s="12" t="s">
        <v>110</v>
      </c>
      <c r="F14" s="106">
        <v>43788</v>
      </c>
      <c r="G14" s="96" t="s">
        <v>361</v>
      </c>
    </row>
    <row r="15" spans="2:7" x14ac:dyDescent="0.15">
      <c r="B15" s="97">
        <v>43802</v>
      </c>
      <c r="C15" s="105" t="s">
        <v>396</v>
      </c>
      <c r="D15" s="514" t="s">
        <v>397</v>
      </c>
      <c r="E15" s="12" t="s">
        <v>110</v>
      </c>
      <c r="F15" s="106">
        <v>43803</v>
      </c>
      <c r="G15" s="96" t="s">
        <v>398</v>
      </c>
    </row>
    <row r="16" spans="2:7" x14ac:dyDescent="0.15">
      <c r="B16" s="97">
        <v>44223</v>
      </c>
      <c r="C16" s="105" t="s">
        <v>399</v>
      </c>
      <c r="D16" s="514" t="s">
        <v>400</v>
      </c>
      <c r="E16" s="12" t="s">
        <v>110</v>
      </c>
      <c r="F16" s="106">
        <v>44245</v>
      </c>
      <c r="G16" s="96" t="s">
        <v>401</v>
      </c>
    </row>
    <row r="17" spans="2:7" x14ac:dyDescent="0.15">
      <c r="B17" s="97">
        <v>44330</v>
      </c>
      <c r="C17" s="12" t="s">
        <v>403</v>
      </c>
      <c r="D17" s="514" t="s">
        <v>551</v>
      </c>
      <c r="E17" s="12" t="s">
        <v>110</v>
      </c>
      <c r="F17" s="106">
        <v>44330</v>
      </c>
      <c r="G17" s="96" t="s">
        <v>552</v>
      </c>
    </row>
    <row r="18" spans="2:7" x14ac:dyDescent="0.15">
      <c r="B18" s="97">
        <v>44344</v>
      </c>
      <c r="C18" s="105" t="s">
        <v>558</v>
      </c>
      <c r="D18" s="514" t="s">
        <v>559</v>
      </c>
      <c r="E18" s="12" t="s">
        <v>573</v>
      </c>
      <c r="F18" s="106">
        <v>44344</v>
      </c>
      <c r="G18" s="96" t="s">
        <v>574</v>
      </c>
    </row>
    <row r="19" spans="2:7" x14ac:dyDescent="0.15">
      <c r="B19" s="97">
        <v>44358</v>
      </c>
      <c r="C19" s="105" t="s">
        <v>579</v>
      </c>
      <c r="D19" s="514" t="s">
        <v>580</v>
      </c>
      <c r="E19" s="12" t="s">
        <v>110</v>
      </c>
      <c r="F19" s="106">
        <v>44358</v>
      </c>
      <c r="G19" s="96" t="s">
        <v>581</v>
      </c>
    </row>
    <row r="20" spans="2:7" x14ac:dyDescent="0.15">
      <c r="B20" s="97">
        <v>44396</v>
      </c>
      <c r="C20" s="105" t="s">
        <v>582</v>
      </c>
      <c r="D20" s="514" t="s">
        <v>583</v>
      </c>
      <c r="E20" s="12" t="s">
        <v>110</v>
      </c>
      <c r="F20" s="106" t="s">
        <v>608</v>
      </c>
      <c r="G20" s="96" t="s">
        <v>584</v>
      </c>
    </row>
    <row r="21" spans="2:7" x14ac:dyDescent="0.15">
      <c r="B21" s="97">
        <v>44402</v>
      </c>
      <c r="C21" s="105" t="s">
        <v>617</v>
      </c>
      <c r="D21" s="514" t="s">
        <v>618</v>
      </c>
      <c r="E21" s="12" t="s">
        <v>110</v>
      </c>
      <c r="F21" s="106">
        <v>44402</v>
      </c>
      <c r="G21" s="96" t="s">
        <v>619</v>
      </c>
    </row>
    <row r="22" spans="2:7" x14ac:dyDescent="0.15">
      <c r="B22" s="97">
        <v>44991</v>
      </c>
      <c r="C22" s="105" t="s">
        <v>969</v>
      </c>
      <c r="D22" s="514" t="s">
        <v>970</v>
      </c>
      <c r="E22" s="12" t="s">
        <v>971</v>
      </c>
      <c r="F22" s="106">
        <v>44991</v>
      </c>
      <c r="G22" s="96" t="s">
        <v>985</v>
      </c>
    </row>
    <row r="23" spans="2:7" x14ac:dyDescent="0.15">
      <c r="B23" s="97">
        <v>44994</v>
      </c>
      <c r="C23" s="588" t="s">
        <v>1097</v>
      </c>
      <c r="D23" s="514" t="s">
        <v>1098</v>
      </c>
      <c r="E23" s="12" t="s">
        <v>1096</v>
      </c>
      <c r="F23" s="106">
        <v>44998</v>
      </c>
      <c r="G23" s="96" t="s">
        <v>1099</v>
      </c>
    </row>
    <row r="24" spans="2:7" x14ac:dyDescent="0.15">
      <c r="B24" s="97">
        <v>45232</v>
      </c>
      <c r="C24" s="105" t="s">
        <v>1154</v>
      </c>
      <c r="D24" s="514" t="s">
        <v>1196</v>
      </c>
      <c r="E24" s="12" t="s">
        <v>110</v>
      </c>
      <c r="F24" s="106">
        <v>45233</v>
      </c>
      <c r="G24" s="96" t="s">
        <v>1158</v>
      </c>
    </row>
    <row r="25" spans="2:7" x14ac:dyDescent="0.15">
      <c r="B25" s="97">
        <v>45240</v>
      </c>
      <c r="C25" s="105" t="s">
        <v>1197</v>
      </c>
      <c r="D25" s="514" t="s">
        <v>2040</v>
      </c>
      <c r="E25" s="12" t="s">
        <v>110</v>
      </c>
      <c r="F25" s="106">
        <v>45240</v>
      </c>
      <c r="G25" s="96" t="s">
        <v>1198</v>
      </c>
    </row>
    <row r="26" spans="2:7" x14ac:dyDescent="0.15">
      <c r="B26" s="97">
        <v>45335</v>
      </c>
      <c r="C26" s="105" t="s">
        <v>1203</v>
      </c>
      <c r="D26" s="514" t="s">
        <v>1202</v>
      </c>
      <c r="E26" s="12" t="s">
        <v>110</v>
      </c>
      <c r="F26" s="106">
        <v>45335</v>
      </c>
      <c r="G26" s="96" t="s">
        <v>1207</v>
      </c>
    </row>
    <row r="27" spans="2:7" x14ac:dyDescent="0.15">
      <c r="B27" s="97">
        <v>45365</v>
      </c>
      <c r="C27" s="105" t="s">
        <v>1280</v>
      </c>
      <c r="D27" s="514" t="s">
        <v>1332</v>
      </c>
      <c r="E27" s="12" t="s">
        <v>110</v>
      </c>
      <c r="F27" s="106">
        <v>45365</v>
      </c>
      <c r="G27" s="96" t="s">
        <v>1954</v>
      </c>
    </row>
    <row r="28" spans="2:7" ht="26" x14ac:dyDescent="0.15">
      <c r="B28" s="97">
        <v>45545</v>
      </c>
      <c r="C28" s="390">
        <v>6.1</v>
      </c>
      <c r="D28" s="1007" t="s">
        <v>1958</v>
      </c>
      <c r="E28" s="12" t="s">
        <v>110</v>
      </c>
      <c r="F28" s="106">
        <v>45545</v>
      </c>
      <c r="G28" s="96" t="s">
        <v>1955</v>
      </c>
    </row>
    <row r="29" spans="2:7" ht="31.5" customHeight="1" x14ac:dyDescent="0.15">
      <c r="B29" s="97">
        <v>45590</v>
      </c>
      <c r="C29" s="105" t="s">
        <v>2124</v>
      </c>
      <c r="D29" s="1007" t="s">
        <v>2126</v>
      </c>
      <c r="E29" s="12" t="s">
        <v>110</v>
      </c>
      <c r="F29" s="106">
        <v>45590</v>
      </c>
      <c r="G29" s="988" t="s">
        <v>2125</v>
      </c>
    </row>
    <row r="30" spans="2:7" ht="32.5" customHeight="1" x14ac:dyDescent="0.15">
      <c r="B30" s="97">
        <v>45624</v>
      </c>
      <c r="C30" s="105" t="s">
        <v>2148</v>
      </c>
      <c r="D30" s="1007" t="s">
        <v>2214</v>
      </c>
      <c r="E30" s="12" t="s">
        <v>2213</v>
      </c>
      <c r="F30" s="106">
        <v>45624</v>
      </c>
      <c r="G30" s="988" t="s">
        <v>2195</v>
      </c>
    </row>
    <row r="31" spans="2:7" ht="15" customHeight="1" x14ac:dyDescent="0.15">
      <c r="B31" s="97">
        <v>45635</v>
      </c>
      <c r="C31" s="105" t="s">
        <v>2220</v>
      </c>
      <c r="D31" s="1007" t="s">
        <v>2221</v>
      </c>
      <c r="E31" s="12" t="s">
        <v>110</v>
      </c>
      <c r="F31" s="106">
        <v>45635</v>
      </c>
      <c r="G31" s="988" t="s">
        <v>2222</v>
      </c>
    </row>
    <row r="32" spans="2:7" x14ac:dyDescent="0.15">
      <c r="B32" s="97">
        <v>45674</v>
      </c>
      <c r="C32" s="105" t="s">
        <v>2223</v>
      </c>
      <c r="D32" s="1007" t="s">
        <v>2228</v>
      </c>
      <c r="E32" s="12" t="s">
        <v>2213</v>
      </c>
      <c r="F32" s="106">
        <v>45674</v>
      </c>
      <c r="G32" s="988" t="s">
        <v>2224</v>
      </c>
    </row>
    <row r="33" spans="2:7" x14ac:dyDescent="0.15">
      <c r="B33" s="97">
        <v>45685</v>
      </c>
      <c r="C33" s="105" t="s">
        <v>2604</v>
      </c>
      <c r="D33" s="1007" t="s">
        <v>2605</v>
      </c>
      <c r="E33" s="12" t="s">
        <v>110</v>
      </c>
      <c r="F33" s="106">
        <v>45687</v>
      </c>
      <c r="G33" s="988" t="s">
        <v>2606</v>
      </c>
    </row>
    <row r="34" spans="2:7" x14ac:dyDescent="0.15">
      <c r="B34" s="97"/>
      <c r="C34" s="105"/>
      <c r="D34" s="1007"/>
      <c r="E34" s="12"/>
      <c r="F34" s="106"/>
      <c r="G34" s="988"/>
    </row>
    <row r="35" spans="2:7" x14ac:dyDescent="0.15">
      <c r="B35" s="12"/>
      <c r="C35" s="12"/>
      <c r="D35" s="514"/>
      <c r="E35" s="12"/>
      <c r="F35" s="96"/>
      <c r="G35" s="96"/>
    </row>
    <row r="36" spans="2:7" x14ac:dyDescent="0.15">
      <c r="B36" s="12"/>
      <c r="C36" s="12"/>
      <c r="D36" s="514"/>
      <c r="E36" s="12"/>
      <c r="F36" s="96"/>
      <c r="G36" s="96"/>
    </row>
    <row r="37" spans="2:7" x14ac:dyDescent="0.15">
      <c r="B37" s="12"/>
      <c r="C37" s="12"/>
      <c r="D37" s="514"/>
      <c r="E37" s="12"/>
      <c r="F37" s="96"/>
      <c r="G37" s="96"/>
    </row>
    <row r="38" spans="2:7" x14ac:dyDescent="0.15">
      <c r="B38" s="14"/>
      <c r="C38" s="14"/>
      <c r="D38" s="851"/>
      <c r="E38" s="14"/>
      <c r="F38" s="46"/>
      <c r="G38" s="46"/>
    </row>
  </sheetData>
  <phoneticPr fontId="9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86E1-5E4B-4ABA-9C06-EC03555E6170}">
  <dimension ref="A1:S125"/>
  <sheetViews>
    <sheetView topLeftCell="D1" zoomScaleNormal="100" workbookViewId="0">
      <selection activeCell="B126" sqref="B126"/>
    </sheetView>
  </sheetViews>
  <sheetFormatPr baseColWidth="10" defaultColWidth="8.83203125" defaultRowHeight="13" x14ac:dyDescent="0.15"/>
  <cols>
    <col min="1" max="8" width="30.83203125" customWidth="1"/>
    <col min="9" max="9" width="53.33203125" customWidth="1"/>
    <col min="10" max="19" width="30.83203125" customWidth="1"/>
  </cols>
  <sheetData>
    <row r="1" spans="1:19" s="872" customFormat="1" ht="15" x14ac:dyDescent="0.2">
      <c r="A1" s="873" t="s">
        <v>1959</v>
      </c>
      <c r="B1" s="873" t="s">
        <v>1960</v>
      </c>
      <c r="C1" s="873" t="s">
        <v>2593</v>
      </c>
      <c r="D1" s="873" t="s">
        <v>2049</v>
      </c>
      <c r="E1" s="873" t="s">
        <v>2050</v>
      </c>
      <c r="F1" s="873" t="s">
        <v>2051</v>
      </c>
      <c r="G1" s="888" t="s">
        <v>2052</v>
      </c>
      <c r="H1" s="894" t="s">
        <v>2053</v>
      </c>
      <c r="I1" s="1090" t="s">
        <v>2054</v>
      </c>
      <c r="J1" s="894" t="s">
        <v>2055</v>
      </c>
      <c r="K1" s="891" t="s">
        <v>2056</v>
      </c>
      <c r="L1" s="873" t="s">
        <v>2057</v>
      </c>
      <c r="M1" s="873" t="s">
        <v>2058</v>
      </c>
      <c r="N1" s="873" t="s">
        <v>2059</v>
      </c>
      <c r="O1" s="873" t="s">
        <v>2060</v>
      </c>
      <c r="P1" s="873" t="s">
        <v>1993</v>
      </c>
      <c r="Q1" s="873" t="s">
        <v>1995</v>
      </c>
      <c r="R1" s="873" t="s">
        <v>1996</v>
      </c>
      <c r="S1" s="873" t="s">
        <v>2001</v>
      </c>
    </row>
    <row r="2" spans="1:19" ht="71" x14ac:dyDescent="0.2">
      <c r="A2" s="874" t="str">
        <f t="shared" ref="A2:G2" si="0">A29</f>
        <v>2 = C = Commercial AHU, LTO-Vastavirtasiirrin</v>
      </c>
      <c r="B2" s="875" t="str">
        <f t="shared" si="0"/>
        <v>005, 500dm³/s…1800m³/h   (Kone: Airfi Model C5 Electric, 230VAC 50Hz 16A, max ottoteho 2 kW  /  Airfi Model C5 Water, 230VAC 50Hz 16A, max ottoteho 2 kW )</v>
      </c>
      <c r="C2" s="874" t="str">
        <f t="shared" si="0"/>
        <v>1 = R = oikea (jäteilma oikeassa reunassa huoltosuunnasta katsoen), Vakiotoimitus, jos ei muuta pyydetty</v>
      </c>
      <c r="D2" s="874" t="str">
        <f t="shared" si="0"/>
        <v>1 = Airfi automatiikka, valmiina mm. ModBus RTU/TCP . Monipuoliset kytkentä mahdollisuudet jne… Vakiotoimitus jos ei muuta pyydetty.</v>
      </c>
      <c r="E2" s="874" t="str">
        <f t="shared" si="0"/>
        <v>5 = ISO ePM10 50% (M5 taso)</v>
      </c>
      <c r="F2" s="874" t="str">
        <f t="shared" si="0"/>
        <v>5 = ISO ePM10 50%,  (Vakiotoimitus C-koneissa, jos ei valittu muuta) (aiempi luokitus M5-taso)</v>
      </c>
      <c r="G2" s="889" t="str">
        <f t="shared" si="0"/>
        <v>11 = Electric, Jälkilämmityspaketti 1: Sulakekoko 400VAC 3x16A, max ottoteho 7,2 kW - Oma jälkilämmityksen syöttö (malleihin C5)</v>
      </c>
      <c r="H2" s="1019" t="str">
        <f>IF(OR($G$12=1,$G$12=2),H40,IF($G$12=3,H51,H62))</f>
        <v>1 = Electric, Vakiona valitun teholuokan mukaiset varusteet (Huom! Electric malleissa jälkilämmityksen oma sähkönsyöttö)</v>
      </c>
      <c r="I2" s="895" t="str">
        <f t="shared" ref="I2:P2" si="1">I29</f>
        <v xml:space="preserve">0 = ei sisäistä jäähdytystä. Vakiotoimitus jos ei muuta pyydetty. </v>
      </c>
      <c r="J2" s="1019" t="str">
        <f t="shared" si="1"/>
        <v>0 = Ei jäähdytyksen toimilaitteita tai venttiileitä. Vakiotoimitus jos ei muuta pyydetty.</v>
      </c>
      <c r="K2" s="892" t="str">
        <f t="shared" si="1"/>
        <v>0 = Ei suodatinvahteja.  Vakiotoimitus jos ei muuta pyydetty.</v>
      </c>
      <c r="L2" s="874" t="str">
        <f t="shared" si="1"/>
        <v>0 = Ei vakiopainesäätöä. Vakiotoimitus jos ei muuta pyydetty.</v>
      </c>
      <c r="M2" s="876" t="str">
        <f t="shared" si="1"/>
        <v xml:space="preserve">0 = Ei ilmamäärämittausta. Vakiotoimitus jos ei muuta pyydetty. </v>
      </c>
      <c r="N2" s="874" t="str">
        <f t="shared" si="1"/>
        <v>0 = Ei  sulkupeltejä eikä toimilaitteita jäte- ja ulkoilmalle. Vakiotoimitus jos ei muuta pyydetty.</v>
      </c>
      <c r="O2" s="1017" t="str">
        <f t="shared" si="1"/>
        <v xml:space="preserve">0 = Ei sensoreita. Vakiotoimitus jos ei muuta pyydetty. </v>
      </c>
      <c r="P2" s="874" t="str">
        <f t="shared" si="1"/>
        <v>0 = Ei energiamittareita. Vakiotoimitus jos ei muuta pyydetty.</v>
      </c>
      <c r="Q2" s="1017" t="str">
        <f>IF($D$12=1,Q40,Q51)</f>
        <v>8 = Mille Wire (vakiona toimituksessa C-sarjan koneissa 1 kpl)</v>
      </c>
      <c r="R2" s="1017" t="str">
        <f>R29</f>
        <v>00 = Oletus (ei valittu),  Vakiotoimitus jos ei muuta pyydetty)</v>
      </c>
      <c r="S2" s="874" t="str">
        <f>S29</f>
        <v>1 = Erikseen selvitetty toiminto, dokumentaatio vaaditaan liitteeksi.</v>
      </c>
    </row>
    <row r="3" spans="1:19" ht="113" x14ac:dyDescent="0.2">
      <c r="A3" s="874"/>
      <c r="B3" s="875" t="str">
        <f t="shared" ref="B3:B4" si="2">B30</f>
        <v>0xx, xxxdm³/s…xxxxm³/h (Future version)</v>
      </c>
      <c r="C3" s="874" t="str">
        <f>C30</f>
        <v>2 = L  = vasen (jäteilma vasemmassa reunassa huoltosuunnasta katsoen)</v>
      </c>
      <c r="D3" s="874" t="str">
        <f>D30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" s="874" t="str">
        <f t="shared" ref="E3:G4" si="3">E30</f>
        <v>6 = ISO ePM1 65%,  (Vakiotoimitus C-koneissa, jos ei valittu muuta) (aiempi luokitus F7 taso)</v>
      </c>
      <c r="F3" s="874" t="str">
        <f t="shared" si="3"/>
        <v>6 = ISO ePM1 65% (F7-taso)</v>
      </c>
      <c r="G3" s="889" t="str">
        <f t="shared" si="3"/>
        <v>12 = Electric, Jälkilämmityspaketti 2: Sulakekoko 400VAC 3x25A, max ottoteho 14,4 kW - Oma jälkilämmityksen syöttö (malleihin C5, Cxx),  Vakiotoimitus konekoossa C5 Electric jos ei muuta pyydetty</v>
      </c>
      <c r="H3" s="1019" t="str">
        <f t="shared" ref="H3:H4" si="4">IF(OR($G$12=1,$G$12=2),H41,IF($G$12=3,H52,H63))</f>
        <v>1 = Electric, Vakiona valitun teholuokan mukaiset varusteet (Huom! Electric malleissa jälkilämmityksen oma sähkönsyöttö)</v>
      </c>
      <c r="I3" s="895" t="str">
        <f t="shared" ref="I3:I5" si="5">I30</f>
        <v>1 = Jäähdytys neste, patteriteho 1 ,esim. 7/12 - 10/15 (mitoita ohjelmassa). Vakiotoimitus C-sarjassa jos valittu jäähdytyspatteri ja ei muuta pyydetty</v>
      </c>
      <c r="J3" s="1019" t="str">
        <f>IF($I$12=2,J52,IF($I$12=3,J63,J41))</f>
        <v>0 = Ei jäähdytyksen toimilaitteita tai venttiileitä. Vakiotoimitus jos ei muuta pyydetty.</v>
      </c>
      <c r="K3" s="892" t="str">
        <f t="shared" ref="K3:K5" si="6">K30</f>
        <v xml:space="preserve">1 = Suodatinvahti tulo </v>
      </c>
      <c r="L3" s="874" t="str">
        <f>L30</f>
        <v>1 = Vakiopainesäätö tulo ja poisto (vakiopainesäädön mittauspisteet letkutetaan työmaalla)</v>
      </c>
      <c r="M3" s="876" t="str">
        <f>M30</f>
        <v>1 = Toim. alk. Q2/2025 - Ilmavirtamittaus tulo- ja poistoilmavirralle</v>
      </c>
      <c r="N3" s="874" t="str">
        <f t="shared" ref="N3:N9" si="7">N30</f>
        <v>1 = Sulkupellit sekä jousipalautteiset toimilaitteet (1kpl ulkoilma + 1 kpl jäteilma), valmiiksi tehtaalla sähköisesti kytketty . CAT4 luokka.</v>
      </c>
      <c r="O3" s="1017" t="str">
        <f>IF($D$12=1,O41,O52)</f>
        <v>1 = RH - lähetin</v>
      </c>
      <c r="P3" s="874" t="str">
        <f t="shared" ref="P3:P4" si="8">P30</f>
        <v>1 = Energiamittari käyttösähkö (puhallinenergia ja automaatio)</v>
      </c>
      <c r="Q3" s="1017"/>
      <c r="R3" s="1017" t="str">
        <f>IF($D$12=1,R41,R52)</f>
        <v>01 =Uno White</v>
      </c>
      <c r="S3" s="874" t="str">
        <f t="shared" ref="S3:S4" si="9">S30</f>
        <v>2 = Lisäaikapainike  (asennus ja johdotus SU)</v>
      </c>
    </row>
    <row r="4" spans="1:19" ht="70" x14ac:dyDescent="0.15">
      <c r="A4" s="874"/>
      <c r="B4" s="875" t="str">
        <f t="shared" si="2"/>
        <v>0xx, xxxdm³/s…xxxxm³/h (Future version)</v>
      </c>
      <c r="C4" s="874"/>
      <c r="D4" s="874"/>
      <c r="E4" s="874" t="str">
        <f t="shared" si="3"/>
        <v>7 = ISO ePM1 85% (F8/F9 taso)</v>
      </c>
      <c r="F4" s="874" t="str">
        <f t="shared" si="3"/>
        <v>7 = ISO ePM1 85% (F8/F9 taso)</v>
      </c>
      <c r="G4" s="889" t="str">
        <f t="shared" si="3"/>
        <v>61 = Water-  soveltuu esim. 50/30 vedelle (mitoita ohjelmassa), Vakiotoimitus mallissa C5 Water jos ei muuta pyydetty</v>
      </c>
      <c r="H4" s="1019" t="str">
        <f t="shared" si="4"/>
        <v>1 = Electric, Vakiona valitun teholuokan mukaiset varusteet (Huom! Electric malleissa jälkilämmityksen oma sähkönsyöttö)</v>
      </c>
      <c r="I4" s="895" t="str">
        <f t="shared" si="5"/>
        <v>2 = Jäähdytys neste , patteriteho 2. esim. 10/18 -kaukokylmä/maajärjestelmä  (mitoita ohjelmassa)</v>
      </c>
      <c r="J4" s="1019" t="str">
        <f>IF($I$12=2,J53,IF($I$12=3,J64,J42))</f>
        <v>0 = Ei jäähdytyksen toimilaitteita tai venttiileitä. Vakiotoimitus jos ei muuta pyydetty.</v>
      </c>
      <c r="K4" s="892" t="str">
        <f t="shared" si="6"/>
        <v>2 = Suodatinvahti poisto</v>
      </c>
      <c r="L4" s="874"/>
      <c r="M4" s="874"/>
      <c r="N4" s="874" t="str">
        <f t="shared" si="7"/>
        <v>2 = Sulkupellit sekä jousipalautteiset toimilaitteet (1kpl Ulkoilma + 1 kpl jäteilma), valmiiksi tehtaalla sähköisesti kytketty . Eristetyt säleet , CAT 4 luokka.</v>
      </c>
      <c r="O4" s="1017" t="str">
        <f t="shared" ref="O4:O6" si="10">IF($D$12=1,O42,O53)</f>
        <v>2 = CO2 - lähetin</v>
      </c>
      <c r="P4" s="874" t="str">
        <f t="shared" si="8"/>
        <v>2 = Energiamittari käyttösähkö  (puhallinenergia ja automaatio) ja lisäksi sähkökoneessa erillinen jälkilämmityksen energian kulutusmittaus.</v>
      </c>
      <c r="Q4" s="1017"/>
      <c r="R4" s="1017" t="str">
        <f t="shared" ref="R4:R6" si="11">IF($D$12=1,R42,R53)</f>
        <v>03 =Sento White</v>
      </c>
      <c r="S4" s="874" t="str">
        <f t="shared" si="9"/>
        <v>9 = Toimitus listauksen mukaisesti</v>
      </c>
    </row>
    <row r="5" spans="1:19" ht="42" x14ac:dyDescent="0.15">
      <c r="A5" s="874"/>
      <c r="B5" s="874"/>
      <c r="C5" s="879"/>
      <c r="D5" s="874"/>
      <c r="E5" s="874"/>
      <c r="F5" s="874"/>
      <c r="G5" s="889" t="str">
        <f t="shared" ref="G5" si="12">G32</f>
        <v>62 = Water- matalille lämpötiloille, esim. 35/25 - 35/30 (mitoita ohjelmassa)</v>
      </c>
      <c r="H5" s="1019">
        <f>IF(OR($G$12=1,$G$12=2),H43,IF($G$12=3,H54,H65))</f>
        <v>0</v>
      </c>
      <c r="I5" s="895" t="str">
        <f t="shared" si="5"/>
        <v>7 = Jäähdytys suorahöyrystyspatteri DX-1,   (mitoita ohjelmassa), toimitus sisältää patterin, ei toimilaitteita</v>
      </c>
      <c r="J5" s="1019"/>
      <c r="K5" s="892" t="str">
        <f t="shared" si="6"/>
        <v>3 = Suodatinvahti tulo ja poisto</v>
      </c>
      <c r="L5" s="874"/>
      <c r="M5" s="874"/>
      <c r="N5" s="874" t="str">
        <f t="shared" si="7"/>
        <v>3 = Sulkupelti sekä jousipalautteinen toimilaite Ulkoilma (1kpl) , valmiiksi tehtaalla sähköisesti kytketty . Eristetyt säleet , CAT 4 luokka.</v>
      </c>
      <c r="O5" s="1017" t="str">
        <f t="shared" si="10"/>
        <v>3 = RH + CO2 - lähetin</v>
      </c>
      <c r="P5" s="874"/>
      <c r="Q5" s="1017"/>
      <c r="R5" s="1017" t="str">
        <f t="shared" si="11"/>
        <v>04 = Sento Black</v>
      </c>
      <c r="S5" s="874"/>
    </row>
    <row r="6" spans="1:19" ht="56" x14ac:dyDescent="0.15">
      <c r="A6" s="874"/>
      <c r="B6" s="874"/>
      <c r="C6" s="874"/>
      <c r="D6" s="874"/>
      <c r="E6" s="874"/>
      <c r="F6" s="874"/>
      <c r="G6" s="889"/>
      <c r="H6" s="1019">
        <f>IF(OR($G$12=1,$G$12=2),H44,IF($G$12=3,H55,H66))</f>
        <v>0</v>
      </c>
      <c r="I6" s="895"/>
      <c r="J6" s="1019"/>
      <c r="K6" s="892"/>
      <c r="L6" s="874"/>
      <c r="M6" s="874"/>
      <c r="N6" s="874" t="str">
        <f t="shared" si="7"/>
        <v>4 = Sulkupelti sekä jousipalautteinen toimilaite Jäteilma (1kpl), valmiiksi tehtaalla sähköisesti kytketty . Eristetyt säleet , CAT 4 luokka.</v>
      </c>
      <c r="O6" s="1017" t="str">
        <f t="shared" si="10"/>
        <v>5 = Toim. alk. 3/2025 , Airfi Multisensor (vain Airfi automatiikassa) ,  säätimeltä valitaan mitä suuretta käytetään.</v>
      </c>
      <c r="P6" s="874"/>
      <c r="Q6" s="1017"/>
      <c r="R6" s="1017" t="str">
        <f t="shared" si="11"/>
        <v xml:space="preserve">07 =Mille Wifi </v>
      </c>
      <c r="S6" s="874"/>
    </row>
    <row r="7" spans="1:19" ht="41.25" customHeight="1" x14ac:dyDescent="0.15">
      <c r="A7" s="874"/>
      <c r="B7" s="874"/>
      <c r="C7" s="874"/>
      <c r="D7" s="874"/>
      <c r="E7" s="874"/>
      <c r="F7" s="874"/>
      <c r="G7" s="889"/>
      <c r="H7" s="1019">
        <f>IF(OR($G$12=1,$G$12=2),H45,IF($G$12=3,H56,H67))</f>
        <v>0</v>
      </c>
      <c r="I7" s="895"/>
      <c r="J7" s="1019"/>
      <c r="K7" s="892"/>
      <c r="L7" s="874"/>
      <c r="M7" s="874"/>
      <c r="N7" s="874" t="str">
        <f t="shared" si="7"/>
        <v>5 = Sulkupellit (1kpl Ulkoilma + 1 kpl jäteilma), EI TOIMILAITTEITA.  CAT 4 luokka.</v>
      </c>
      <c r="O7" s="1017"/>
      <c r="P7" s="874"/>
      <c r="Q7" s="1017"/>
      <c r="R7" s="1017"/>
      <c r="S7" s="874"/>
    </row>
    <row r="8" spans="1:19" ht="41.25" customHeight="1" x14ac:dyDescent="0.15">
      <c r="A8" s="874"/>
      <c r="B8" s="874"/>
      <c r="C8" s="874"/>
      <c r="D8" s="874"/>
      <c r="E8" s="874"/>
      <c r="F8" s="874"/>
      <c r="G8" s="889"/>
      <c r="H8" s="1019"/>
      <c r="I8" s="895"/>
      <c r="J8" s="1019"/>
      <c r="K8" s="892"/>
      <c r="L8" s="874"/>
      <c r="M8" s="874"/>
      <c r="N8" s="874" t="str">
        <f t="shared" si="7"/>
        <v>6 = Sulkupelti Ulkoilma (1kpl), EI TOIMILAITETTA.  CAT 4 luokka.</v>
      </c>
      <c r="O8" s="1017"/>
      <c r="P8" s="874"/>
      <c r="Q8" s="1017"/>
      <c r="R8" s="1017"/>
      <c r="S8" s="874"/>
    </row>
    <row r="9" spans="1:19" ht="41.25" customHeight="1" thickBot="1" x14ac:dyDescent="0.2">
      <c r="A9" s="877"/>
      <c r="B9" s="877"/>
      <c r="C9" s="877"/>
      <c r="D9" s="877"/>
      <c r="E9" s="877"/>
      <c r="F9" s="877"/>
      <c r="G9" s="890"/>
      <c r="H9" s="1020"/>
      <c r="I9" s="896"/>
      <c r="J9" s="1021"/>
      <c r="K9" s="893"/>
      <c r="L9" s="877"/>
      <c r="M9" s="877"/>
      <c r="N9" s="874" t="str">
        <f t="shared" si="7"/>
        <v>7 = Sulkupelti Jäteilma (1kpl), EI TOIMILAITETTA. CAT 4 luokka.</v>
      </c>
      <c r="O9" s="1018"/>
      <c r="P9" s="877"/>
      <c r="Q9" s="1018"/>
      <c r="R9" s="1018"/>
      <c r="S9" s="877"/>
    </row>
    <row r="10" spans="1:19" x14ac:dyDescent="0.15">
      <c r="H10" s="899"/>
      <c r="J10" s="899"/>
    </row>
    <row r="11" spans="1:19" x14ac:dyDescent="0.15">
      <c r="A11" s="2" t="s">
        <v>21</v>
      </c>
      <c r="H11" s="900"/>
      <c r="J11" s="900"/>
    </row>
    <row r="12" spans="1:19" s="143" customFormat="1" ht="21.75" customHeight="1" x14ac:dyDescent="0.15">
      <c r="A12" s="882">
        <f>'C koodit'!B79</f>
        <v>1</v>
      </c>
      <c r="B12" s="882">
        <f>'C koodit'!B81</f>
        <v>1</v>
      </c>
      <c r="C12" s="882">
        <f>'C koodit'!$B$83</f>
        <v>1</v>
      </c>
      <c r="D12" s="882">
        <f>'C koodit'!$B$85</f>
        <v>1</v>
      </c>
      <c r="E12" s="882">
        <f>'C koodit'!$B$87</f>
        <v>2</v>
      </c>
      <c r="F12" s="882">
        <f>'C koodit'!$B$89</f>
        <v>1</v>
      </c>
      <c r="G12" s="897">
        <f>'C koodit'!$B$91</f>
        <v>2</v>
      </c>
      <c r="H12" s="901">
        <f>'C koodit'!$B$93</f>
        <v>3</v>
      </c>
      <c r="I12" s="903">
        <f>'C koodit'!$B$95</f>
        <v>1</v>
      </c>
      <c r="J12" s="901">
        <f>'C koodit'!$B$97</f>
        <v>1</v>
      </c>
      <c r="K12" s="898">
        <f>'C koodit'!$B$99</f>
        <v>1</v>
      </c>
      <c r="L12" s="882">
        <f>'C koodit'!$B$101</f>
        <v>1</v>
      </c>
      <c r="M12" s="882">
        <f>'C koodit'!$B$103</f>
        <v>1</v>
      </c>
      <c r="N12" s="882">
        <f>'C koodit'!$B$105</f>
        <v>1</v>
      </c>
      <c r="O12" s="882">
        <f>'C koodit'!$B$107</f>
        <v>1</v>
      </c>
      <c r="P12" s="882">
        <f>'C koodit'!$B$109</f>
        <v>1</v>
      </c>
      <c r="Q12" s="882">
        <f>'C koodit'!$B$111</f>
        <v>1</v>
      </c>
      <c r="R12" s="882">
        <f>'C koodit'!$B$113</f>
        <v>1</v>
      </c>
      <c r="S12" s="882">
        <f>'C koodit'!$B$115</f>
        <v>3</v>
      </c>
    </row>
    <row r="13" spans="1:19" ht="14" thickBot="1" x14ac:dyDescent="0.2">
      <c r="E13" t="str">
        <f>IF(E12=1,"ISO ePM10 50%",IF(E12=3,"ISO ePM1 85%","ISO ePM1 65%"))</f>
        <v>ISO ePM1 65%</v>
      </c>
      <c r="F13" t="str">
        <f>IF(F12=2,"ISO ePM1 65%",IF(F12=3,"ISO ePM1 85%","ISO ePM10 50%"))</f>
        <v>ISO ePM10 50%</v>
      </c>
      <c r="H13" s="902"/>
      <c r="J13" s="902"/>
    </row>
    <row r="14" spans="1:19" ht="14" x14ac:dyDescent="0.15">
      <c r="A14" s="83" t="s">
        <v>2068</v>
      </c>
      <c r="H14" s="1022" t="s">
        <v>2076</v>
      </c>
      <c r="J14" s="1022" t="s">
        <v>2076</v>
      </c>
      <c r="O14" s="1022" t="s">
        <v>2076</v>
      </c>
      <c r="Q14" s="1022" t="s">
        <v>2076</v>
      </c>
      <c r="R14" s="1022" t="s">
        <v>2076</v>
      </c>
    </row>
    <row r="15" spans="1:19" x14ac:dyDescent="0.15">
      <c r="A15" s="880">
        <v>2</v>
      </c>
      <c r="B15" s="881" t="s">
        <v>2064</v>
      </c>
      <c r="C15" s="880">
        <v>1</v>
      </c>
      <c r="D15" s="880">
        <v>1</v>
      </c>
      <c r="E15" s="880">
        <v>5</v>
      </c>
      <c r="F15" s="880">
        <v>5</v>
      </c>
      <c r="G15" s="883">
        <v>11</v>
      </c>
      <c r="H15" s="885">
        <f>IF(OR($G$12=1,$G$12=2),1,3)</f>
        <v>1</v>
      </c>
      <c r="I15" s="887">
        <v>0</v>
      </c>
      <c r="J15" s="885">
        <v>0</v>
      </c>
      <c r="K15" s="884">
        <v>0</v>
      </c>
      <c r="L15" s="880">
        <v>0</v>
      </c>
      <c r="M15" s="880">
        <v>0</v>
      </c>
      <c r="N15" s="880">
        <v>0</v>
      </c>
      <c r="O15" s="880">
        <v>0</v>
      </c>
      <c r="P15" s="880">
        <v>0</v>
      </c>
      <c r="Q15" s="880">
        <f>IF($D$12=1,8,0)</f>
        <v>8</v>
      </c>
      <c r="R15" s="881" t="s">
        <v>2067</v>
      </c>
      <c r="S15" s="880">
        <v>1</v>
      </c>
    </row>
    <row r="16" spans="1:19" x14ac:dyDescent="0.15">
      <c r="A16" s="880"/>
      <c r="B16" s="880" t="s">
        <v>2065</v>
      </c>
      <c r="C16" s="880">
        <v>2</v>
      </c>
      <c r="D16" s="880">
        <v>2</v>
      </c>
      <c r="E16" s="880">
        <v>6</v>
      </c>
      <c r="F16" s="880">
        <v>6</v>
      </c>
      <c r="G16" s="883">
        <v>12</v>
      </c>
      <c r="H16" s="885">
        <f>IF(OR($G$12=1,$G$12=2),1,IF($G$12=3,5,6))</f>
        <v>1</v>
      </c>
      <c r="I16" s="887">
        <v>1</v>
      </c>
      <c r="J16" s="885">
        <f>IF($I$12=2,1,IF($I$12=3,2,0))</f>
        <v>0</v>
      </c>
      <c r="K16" s="884">
        <v>1</v>
      </c>
      <c r="L16" s="880">
        <v>1</v>
      </c>
      <c r="M16" s="880">
        <v>1</v>
      </c>
      <c r="N16" s="880">
        <v>1</v>
      </c>
      <c r="O16" s="880">
        <f>IF($D$12=1,1,0)</f>
        <v>1</v>
      </c>
      <c r="P16" s="880">
        <v>1</v>
      </c>
      <c r="Q16" s="880"/>
      <c r="R16" s="881" t="str">
        <f>IF($D$12=2,R15,"01")</f>
        <v>01</v>
      </c>
      <c r="S16" s="880">
        <v>2</v>
      </c>
    </row>
    <row r="17" spans="1:19" x14ac:dyDescent="0.15">
      <c r="A17" s="880"/>
      <c r="B17" s="880" t="s">
        <v>2065</v>
      </c>
      <c r="C17" s="880"/>
      <c r="D17" s="880"/>
      <c r="E17" s="880">
        <v>7</v>
      </c>
      <c r="F17" s="880">
        <v>7</v>
      </c>
      <c r="G17" s="883">
        <v>61</v>
      </c>
      <c r="H17" s="885">
        <f>IF(OR($G$12=1,$G$12=2),1,IF($G$12=3,7,8))</f>
        <v>1</v>
      </c>
      <c r="I17" s="887">
        <v>2</v>
      </c>
      <c r="J17" s="885">
        <f>IF($I$12=2,6,IF($I$12=3,7,0))</f>
        <v>0</v>
      </c>
      <c r="K17" s="884">
        <v>2</v>
      </c>
      <c r="L17" s="880"/>
      <c r="M17" s="880"/>
      <c r="N17" s="880">
        <v>2</v>
      </c>
      <c r="O17" s="880">
        <f>IF($D$12=1,2,0)</f>
        <v>2</v>
      </c>
      <c r="P17" s="880">
        <v>2</v>
      </c>
      <c r="Q17" s="880"/>
      <c r="R17" s="881" t="str">
        <f>IF($D$12=2,R16,"03")</f>
        <v>03</v>
      </c>
      <c r="S17" s="880">
        <v>9</v>
      </c>
    </row>
    <row r="18" spans="1:19" x14ac:dyDescent="0.15">
      <c r="A18" s="880"/>
      <c r="B18" s="880"/>
      <c r="C18" s="880"/>
      <c r="D18" s="880"/>
      <c r="E18" s="880"/>
      <c r="F18" s="880"/>
      <c r="G18" s="883">
        <v>62</v>
      </c>
      <c r="H18" s="885"/>
      <c r="I18" s="887">
        <v>7</v>
      </c>
      <c r="J18" s="885"/>
      <c r="K18" s="884">
        <v>3</v>
      </c>
      <c r="L18" s="880"/>
      <c r="M18" s="880"/>
      <c r="N18" s="880">
        <v>3</v>
      </c>
      <c r="O18" s="880">
        <f>IF($D$12=1,3,0)</f>
        <v>3</v>
      </c>
      <c r="P18" s="880"/>
      <c r="Q18" s="880"/>
      <c r="R18" s="881" t="str">
        <f>IF($D$12=2,R17,"04")</f>
        <v>04</v>
      </c>
      <c r="S18" s="880"/>
    </row>
    <row r="19" spans="1:19" x14ac:dyDescent="0.15">
      <c r="A19" s="880"/>
      <c r="B19" s="880"/>
      <c r="C19" s="880"/>
      <c r="D19" s="880"/>
      <c r="E19" s="880"/>
      <c r="F19" s="880"/>
      <c r="G19" s="883"/>
      <c r="H19" s="885"/>
      <c r="I19" s="887"/>
      <c r="J19" s="885"/>
      <c r="K19" s="884"/>
      <c r="L19" s="880"/>
      <c r="M19" s="880"/>
      <c r="N19" s="880">
        <v>4</v>
      </c>
      <c r="O19" s="880">
        <f>IF($D$12=1,5,0)</f>
        <v>5</v>
      </c>
      <c r="P19" s="880"/>
      <c r="Q19" s="880"/>
      <c r="R19" s="881" t="str">
        <f>IF($D$12=2,R18,"07")</f>
        <v>07</v>
      </c>
      <c r="S19" s="880"/>
    </row>
    <row r="20" spans="1:19" x14ac:dyDescent="0.15">
      <c r="A20" s="880"/>
      <c r="B20" s="880"/>
      <c r="C20" s="880"/>
      <c r="D20" s="880"/>
      <c r="E20" s="880"/>
      <c r="F20" s="880"/>
      <c r="G20" s="883"/>
      <c r="H20" s="885"/>
      <c r="I20" s="887"/>
      <c r="J20" s="885"/>
      <c r="K20" s="884"/>
      <c r="L20" s="880"/>
      <c r="M20" s="880"/>
      <c r="N20" s="880">
        <v>5</v>
      </c>
      <c r="O20" s="880"/>
      <c r="P20" s="880"/>
      <c r="Q20" s="880"/>
      <c r="R20" s="880"/>
      <c r="S20" s="880"/>
    </row>
    <row r="21" spans="1:19" x14ac:dyDescent="0.15">
      <c r="A21" s="880"/>
      <c r="B21" s="880"/>
      <c r="C21" s="880"/>
      <c r="D21" s="880"/>
      <c r="E21" s="880"/>
      <c r="F21" s="880"/>
      <c r="G21" s="883"/>
      <c r="H21" s="885"/>
      <c r="I21" s="887"/>
      <c r="J21" s="885"/>
      <c r="K21" s="884"/>
      <c r="L21" s="880"/>
      <c r="M21" s="880"/>
      <c r="N21" s="880">
        <v>6</v>
      </c>
      <c r="O21" s="880"/>
      <c r="P21" s="880"/>
      <c r="Q21" s="880"/>
      <c r="R21" s="880"/>
      <c r="S21" s="880"/>
    </row>
    <row r="22" spans="1:19" ht="14" thickBot="1" x14ac:dyDescent="0.2">
      <c r="A22" s="880"/>
      <c r="B22" s="880"/>
      <c r="C22" s="880"/>
      <c r="D22" s="880"/>
      <c r="E22" s="880"/>
      <c r="F22" s="880"/>
      <c r="G22" s="883"/>
      <c r="H22" s="886"/>
      <c r="I22" s="887"/>
      <c r="J22" s="886"/>
      <c r="K22" s="884"/>
      <c r="L22" s="880"/>
      <c r="M22" s="880"/>
      <c r="N22" s="880">
        <v>7</v>
      </c>
      <c r="O22" s="880"/>
      <c r="P22" s="880"/>
      <c r="Q22" s="880"/>
      <c r="R22" s="880"/>
      <c r="S22" s="880"/>
    </row>
    <row r="23" spans="1:19" x14ac:dyDescent="0.15">
      <c r="O23" t="s">
        <v>2225</v>
      </c>
      <c r="R23" t="s">
        <v>2225</v>
      </c>
    </row>
    <row r="24" spans="1:19" x14ac:dyDescent="0.15">
      <c r="B24" t="s">
        <v>2644</v>
      </c>
      <c r="G24" t="s">
        <v>2644</v>
      </c>
      <c r="O24" t="s">
        <v>2226</v>
      </c>
      <c r="R24" t="s">
        <v>2226</v>
      </c>
    </row>
    <row r="25" spans="1:19" x14ac:dyDescent="0.15">
      <c r="B25">
        <f>IF($B$12=1,5,"0xx")</f>
        <v>5</v>
      </c>
      <c r="G25" s="2" t="str">
        <f>IF($G$12&lt;3,"Electric","Water")</f>
        <v>Electric</v>
      </c>
    </row>
    <row r="28" spans="1:19" ht="14" x14ac:dyDescent="0.15">
      <c r="A28" s="83" t="s">
        <v>2484</v>
      </c>
    </row>
    <row r="29" spans="1:19" ht="89.25" customHeight="1" x14ac:dyDescent="0.15">
      <c r="A29" s="1361" t="str">
        <f>KirjastoC_koodit!W4</f>
        <v>2 = C = Commercial AHU, LTO-Vastavirtasiirrin</v>
      </c>
      <c r="B29" s="1361" t="str">
        <f>KirjastoC_koodit!X4</f>
        <v>005, 500dm³/s…1800m³/h   (Kone: Airfi Model C5 Electric, 230VAC 50Hz 16A, max ottoteho 2 kW  /  Airfi Model C5 Water, 230VAC 50Hz 16A, max ottoteho 2 kW )</v>
      </c>
      <c r="C29" s="1361" t="str">
        <f>KirjastoC_koodit!Y4</f>
        <v>1 = R = oikea (jäteilma oikeassa reunassa huoltosuunnasta katsoen), Vakiotoimitus, jos ei muuta pyydetty</v>
      </c>
      <c r="D29" s="1361" t="str">
        <f>KirjastoC_koodit!Z4</f>
        <v>1 = Airfi automatiikka, valmiina mm. ModBus RTU/TCP . Monipuoliset kytkentä mahdollisuudet jne… Vakiotoimitus jos ei muuta pyydetty.</v>
      </c>
      <c r="E29" s="1361" t="str">
        <f>KirjastoC_koodit!AA4</f>
        <v>5 = ISO ePM10 50% (M5 taso)</v>
      </c>
      <c r="F29" s="1361" t="str">
        <f>KirjastoC_koodit!AB4</f>
        <v>5 = ISO ePM10 50%,  (Vakiotoimitus C-koneissa, jos ei valittu muuta) (aiempi luokitus M5-taso)</v>
      </c>
      <c r="G29" s="1361" t="str">
        <f>KirjastoC_koodit!AC4</f>
        <v>11 = Electric, Jälkilämmityspaketti 1: Sulakekoko 400VAC 3x16A, max ottoteho 7,2 kW - Oma jälkilämmityksen syöttö (malleihin C5)</v>
      </c>
      <c r="H29" s="1361" t="str">
        <f>KirjastoC_koodit!AD4</f>
        <v>1 = Electric, Vakiona valitun teholuokan mukaiset varusteet (Huom! Electric malleissa jälkilämmityksen oma sähkönsyöttö)</v>
      </c>
      <c r="I29" s="1361" t="str">
        <f>KirjastoC_koodit!AE4</f>
        <v xml:space="preserve">0 = ei sisäistä jäähdytystä. Vakiotoimitus jos ei muuta pyydetty. </v>
      </c>
      <c r="J29" s="1361" t="str">
        <f>KirjastoC_koodit!AF4</f>
        <v>0 = Ei jäähdytyksen toimilaitteita tai venttiileitä. Vakiotoimitus jos ei muuta pyydetty.</v>
      </c>
      <c r="K29" s="1361" t="str">
        <f>KirjastoC_koodit!AG4</f>
        <v>0 = Ei suodatinvahteja.  Vakiotoimitus jos ei muuta pyydetty.</v>
      </c>
      <c r="L29" s="1361" t="str">
        <f>KirjastoC_koodit!AH4</f>
        <v>0 = Ei vakiopainesäätöä. Vakiotoimitus jos ei muuta pyydetty.</v>
      </c>
      <c r="M29" s="1361" t="str">
        <f>KirjastoC_koodit!AI4</f>
        <v xml:space="preserve">0 = Ei ilmamäärämittausta. Vakiotoimitus jos ei muuta pyydetty. </v>
      </c>
      <c r="N29" s="1361" t="str">
        <f>KirjastoC_koodit!AJ4</f>
        <v>0 = Ei  sulkupeltejä eikä toimilaitteita jäte- ja ulkoilmalle. Vakiotoimitus jos ei muuta pyydetty.</v>
      </c>
      <c r="O29" s="1361" t="str">
        <f>KirjastoC_koodit!AK4</f>
        <v xml:space="preserve">0 = Ei sensoreita. Vakiotoimitus jos ei muuta pyydetty. </v>
      </c>
      <c r="P29" s="1361" t="str">
        <f>KirjastoC_koodit!AL4</f>
        <v>0 = Ei energiamittareita. Vakiotoimitus jos ei muuta pyydetty.</v>
      </c>
      <c r="Q29" s="1361" t="str">
        <f>KirjastoC_koodit!AM4</f>
        <v>0 = Ei ohjainta,  Vakiotoimitus riviliitinkoneessa, ei voi valita muuta</v>
      </c>
      <c r="R29" s="1361" t="str">
        <f>KirjastoC_koodit!AN4</f>
        <v>00 = Oletus (ei valittu),  Vakiotoimitus jos ei muuta pyydetty)</v>
      </c>
      <c r="S29" s="1361" t="str">
        <f>KirjastoC_koodit!AO4</f>
        <v>1 = Erikseen selvitetty toiminto, dokumentaatio vaaditaan liitteeksi.</v>
      </c>
    </row>
    <row r="30" spans="1:19" ht="89.25" customHeight="1" x14ac:dyDescent="0.15">
      <c r="A30" s="1361" t="str">
        <f>KirjastoC_koodit!W5</f>
        <v/>
      </c>
      <c r="B30" s="1361" t="str">
        <f>KirjastoC_koodit!X5</f>
        <v>0xx, xxxdm³/s…xxxxm³/h (Future version)</v>
      </c>
      <c r="C30" s="1361" t="str">
        <f>KirjastoC_koodit!Y5</f>
        <v>2 = L  = vasen (jäteilma vasemmassa reunassa huoltosuunnasta katsoen)</v>
      </c>
      <c r="D30" s="1361" t="str">
        <f>KirjastoC_koodit!Z5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0" s="1361" t="str">
        <f>KirjastoC_koodit!AA5</f>
        <v>6 = ISO ePM1 65%,  (Vakiotoimitus C-koneissa, jos ei valittu muuta) (aiempi luokitus F7 taso)</v>
      </c>
      <c r="F30" s="1361" t="str">
        <f>KirjastoC_koodit!AB5</f>
        <v>6 = ISO ePM1 65% (F7-taso)</v>
      </c>
      <c r="G30" s="1361" t="str">
        <f>KirjastoC_koodit!AC5</f>
        <v>12 = Electric, Jälkilämmityspaketti 2: Sulakekoko 400VAC 3x25A, max ottoteho 14,4 kW - Oma jälkilämmityksen syöttö (malleihin C5, Cxx),  Vakiotoimitus konekoossa C5 Electric jos ei muuta pyydetty</v>
      </c>
      <c r="H30" s="1361" t="str">
        <f>KirjastoC_koodit!AD5</f>
        <v>3 = Water ,  Toimituksessa ei mukana vesipatterin toimilaitteita tai venttiileitä -  Vakiotoimitus C-sarjan Water -koneissa jos ei muuta pyydetty.</v>
      </c>
      <c r="I30" s="1361" t="str">
        <f>KirjastoC_koodit!AE5</f>
        <v>1 = Jäähdytys neste, patteriteho 1 ,esim. 7/12 - 10/15 (mitoita ohjelmassa). Vakiotoimitus C-sarjassa jos valittu jäähdytyspatteri ja ei muuta pyydetty</v>
      </c>
      <c r="J30" s="1361" t="str">
        <f>KirjastoC_koodit!AF5</f>
        <v xml:space="preserve">1 = Toim. alk. Q3/2025, Jäähdytyksen 3- tieventtiili ja toimilaite - patterin 7/12 - 10/15 mukaan (toimitus irrallaan, kytkentä ja asennus PU). Sähköisesti Plug&amp;Play valmis. </v>
      </c>
      <c r="K30" s="1361" t="str">
        <f>KirjastoC_koodit!AG5</f>
        <v xml:space="preserve">1 = Suodatinvahti tulo </v>
      </c>
      <c r="L30" s="1361" t="str">
        <f>KirjastoC_koodit!AH5</f>
        <v>1 = Vakiopainesäätö tulo ja poisto (vakiopainesäädön mittauspisteet letkutetaan työmaalla)</v>
      </c>
      <c r="M30" s="1361" t="str">
        <f>KirjastoC_koodit!AI5</f>
        <v>1 = Toim. alk. Q2/2025 - Ilmavirtamittaus tulo- ja poistoilmavirralle</v>
      </c>
      <c r="N30" s="1361" t="str">
        <f>KirjastoC_koodit!AJ5</f>
        <v>1 = Sulkupellit sekä jousipalautteiset toimilaitteet (1kpl ulkoilma + 1 kpl jäteilma), valmiiksi tehtaalla sähköisesti kytketty . CAT4 luokka.</v>
      </c>
      <c r="O30" s="1361" t="str">
        <f>KirjastoC_koodit!AK5</f>
        <v>1 = RH - lähetin</v>
      </c>
      <c r="P30" s="1361" t="str">
        <f>KirjastoC_koodit!AL5</f>
        <v>1 = Energiamittari käyttösähkö (puhallinenergia ja automaatio)</v>
      </c>
      <c r="Q30" s="1361" t="str">
        <f>KirjastoC_koodit!AM5</f>
        <v>8 = Mille Wire (vakiona toimituksessa C-sarjan koneissa 1 kpl)</v>
      </c>
      <c r="R30" s="1361" t="str">
        <f>KirjastoC_koodit!AN5</f>
        <v>01 =Uno White</v>
      </c>
      <c r="S30" s="1361" t="str">
        <f>KirjastoC_koodit!AO5</f>
        <v>2 = Lisäaikapainike  (asennus ja johdotus SU)</v>
      </c>
    </row>
    <row r="31" spans="1:19" ht="89.25" customHeight="1" x14ac:dyDescent="0.15">
      <c r="A31" s="1361" t="str">
        <f>KirjastoC_koodit!W6</f>
        <v/>
      </c>
      <c r="B31" s="1361" t="str">
        <f>KirjastoC_koodit!X6</f>
        <v>0xx, xxxdm³/s…xxxxm³/h (Future version)</v>
      </c>
      <c r="C31" s="1361" t="str">
        <f>KirjastoC_koodit!Y6</f>
        <v/>
      </c>
      <c r="D31" s="1361" t="str">
        <f>KirjastoC_koodit!Z6</f>
        <v/>
      </c>
      <c r="E31" s="1361" t="str">
        <f>KirjastoC_koodit!AA6</f>
        <v>7 = ISO ePM1 85% (F8/F9 taso)</v>
      </c>
      <c r="F31" s="1361" t="str">
        <f>KirjastoC_koodit!AB6</f>
        <v>7 = ISO ePM1 85% (F8/F9 taso)</v>
      </c>
      <c r="G31" s="1361" t="str">
        <f>KirjastoC_koodit!AC6</f>
        <v>61 = Water-  soveltuu esim. 50/30 vedelle (mitoita ohjelmassa), Vakiotoimitus mallissa C5 Water jos ei muuta pyydetty</v>
      </c>
      <c r="H31" s="1361" t="str">
        <f>KirjastoC_koodit!AD6</f>
        <v xml:space="preserve">5 = Toim.alk.Q2/2025, Water , Jälkilämmityksen 2-tieventtiili ja toimilaite - patterin 50/30 mukaan (toimitus irrallaan, kytkentä ja asennus PU). Sähköisesti Plug&amp;Play valmis. </v>
      </c>
      <c r="I31" s="1361" t="str">
        <f>KirjastoC_koodit!AE6</f>
        <v>2 = Jäähdytys neste , patteriteho 2. esim. 10/18 -kaukokylmä/maajärjestelmä  (mitoita ohjelmassa)</v>
      </c>
      <c r="J31" s="1361" t="str">
        <f>KirjastoC_koodit!AF6</f>
        <v xml:space="preserve">2 = Toim. alk. Q3/2025, Jäähdytyksen 3- tieventtiili ja toimilaite - patterin 10/18 mukaan (toimitus irrallaan, kytkentä ja asennus PU). Sähköisesti Plug&amp;Play valmis. </v>
      </c>
      <c r="K31" s="1361" t="str">
        <f>KirjastoC_koodit!AG6</f>
        <v>2 = Suodatinvahti poisto</v>
      </c>
      <c r="L31" s="1361" t="str">
        <f>KirjastoC_koodit!AH6</f>
        <v/>
      </c>
      <c r="M31" s="1361" t="str">
        <f>KirjastoC_koodit!AI6</f>
        <v/>
      </c>
      <c r="N31" s="1361" t="str">
        <f>KirjastoC_koodit!AJ6</f>
        <v>2 = Sulkupellit sekä jousipalautteiset toimilaitteet (1kpl Ulkoilma + 1 kpl jäteilma), valmiiksi tehtaalla sähköisesti kytketty . Eristetyt säleet , CAT 4 luokka.</v>
      </c>
      <c r="O31" s="1361" t="str">
        <f>KirjastoC_koodit!AK6</f>
        <v>2 = CO2 - lähetin</v>
      </c>
      <c r="P31" s="1361" t="str">
        <f>KirjastoC_koodit!AL6</f>
        <v>2 = Energiamittari käyttösähkö  (puhallinenergia ja automaatio) ja lisäksi sähkökoneessa erillinen jälkilämmityksen energian kulutusmittaus.</v>
      </c>
      <c r="Q31" s="1361" t="str">
        <f>KirjastoC_koodit!AM6</f>
        <v/>
      </c>
      <c r="R31" s="1361" t="str">
        <f>KirjastoC_koodit!AN6</f>
        <v>03 =Sento White</v>
      </c>
      <c r="S31" s="1361" t="str">
        <f>KirjastoC_koodit!AO6</f>
        <v>9 = Toimitus listauksen mukaisesti</v>
      </c>
    </row>
    <row r="32" spans="1:19" ht="89.25" customHeight="1" x14ac:dyDescent="0.15">
      <c r="A32" s="1361" t="str">
        <f>KirjastoC_koodit!W7</f>
        <v/>
      </c>
      <c r="B32" s="1361" t="str">
        <f>KirjastoC_koodit!X7</f>
        <v/>
      </c>
      <c r="C32" s="1361" t="str">
        <f>KirjastoC_koodit!Y7</f>
        <v/>
      </c>
      <c r="D32" s="1361" t="str">
        <f>KirjastoC_koodit!Z7</f>
        <v/>
      </c>
      <c r="E32" s="1361" t="str">
        <f>KirjastoC_koodit!AA7</f>
        <v/>
      </c>
      <c r="F32" s="1361" t="str">
        <f>KirjastoC_koodit!AB7</f>
        <v/>
      </c>
      <c r="G32" s="1361" t="str">
        <f>KirjastoC_koodit!AC7</f>
        <v>62 = Water- matalille lämpötiloille, esim. 35/25 - 35/30 (mitoita ohjelmassa)</v>
      </c>
      <c r="H32" s="1361" t="str">
        <f>KirjastoC_koodit!AD7</f>
        <v xml:space="preserve">6 = Toim. alk. Q2/2025, Water , Jälkilämmityksen 2-tieventtiili ja toimilaite - patterin 35/25 - 35/30 mukaan (toimitus irrallaan, kytkentä ja asennus PU). Sähköisesti Plug&amp;Play valmis. </v>
      </c>
      <c r="I32" s="1361" t="str">
        <f>KirjastoC_koodit!AE7</f>
        <v>7 = Jäähdytys suorahöyrystyspatteri DX-1,   (mitoita ohjelmassa), toimitus sisältää patterin, ei toimilaitteita</v>
      </c>
      <c r="J32" s="1361" t="str">
        <f>KirjastoC_koodit!AF7</f>
        <v xml:space="preserve">6 = Toim. alk. Q3/2025, Jäähdytyksen pumppuryhmä 7/12 - 10/15 kasattuna ja eristettynä (toimitus erillispakettina, kytkentä ja asennus PU). Sähköisesti Plug&amp;Play valmis. </v>
      </c>
      <c r="K32" s="1361" t="str">
        <f>KirjastoC_koodit!AG7</f>
        <v>3 = Suodatinvahti tulo ja poisto</v>
      </c>
      <c r="L32" s="1361" t="str">
        <f>KirjastoC_koodit!AH7</f>
        <v/>
      </c>
      <c r="M32" s="1361" t="str">
        <f>KirjastoC_koodit!AI7</f>
        <v/>
      </c>
      <c r="N32" s="1361" t="str">
        <f>KirjastoC_koodit!AJ7</f>
        <v>3 = Sulkupelti sekä jousipalautteinen toimilaite Ulkoilma (1kpl) , valmiiksi tehtaalla sähköisesti kytketty . Eristetyt säleet , CAT 4 luokka.</v>
      </c>
      <c r="O32" s="1361" t="str">
        <f>KirjastoC_koodit!AK7</f>
        <v>3 = RH + CO2 - lähetin</v>
      </c>
      <c r="P32" s="1361" t="str">
        <f>KirjastoC_koodit!AL7</f>
        <v/>
      </c>
      <c r="Q32" s="1361" t="str">
        <f>KirjastoC_koodit!AM7</f>
        <v/>
      </c>
      <c r="R32" s="1361" t="str">
        <f>KirjastoC_koodit!AN7</f>
        <v>04 = Sento Black</v>
      </c>
      <c r="S32" s="1361" t="str">
        <f>KirjastoC_koodit!AO7</f>
        <v/>
      </c>
    </row>
    <row r="33" spans="1:19" ht="89.25" customHeight="1" x14ac:dyDescent="0.15">
      <c r="A33" s="1361" t="str">
        <f>KirjastoC_koodit!W8</f>
        <v/>
      </c>
      <c r="B33" s="1361" t="str">
        <f>KirjastoC_koodit!X8</f>
        <v/>
      </c>
      <c r="C33" s="1361" t="str">
        <f>KirjastoC_koodit!Y8</f>
        <v/>
      </c>
      <c r="D33" s="1361" t="str">
        <f>KirjastoC_koodit!Z8</f>
        <v/>
      </c>
      <c r="E33" s="1361" t="str">
        <f>KirjastoC_koodit!AA8</f>
        <v/>
      </c>
      <c r="F33" s="1361" t="str">
        <f>KirjastoC_koodit!AB8</f>
        <v/>
      </c>
      <c r="G33" s="1361" t="str">
        <f>KirjastoC_koodit!AC8</f>
        <v/>
      </c>
      <c r="H33" s="1361" t="str">
        <f>KirjastoC_koodit!AD8</f>
        <v>7 = Toim. alk. Q3/2025, Water ,  Jälkilämmityksen pumppuryhmä 50/30 kasattuna ja eristettynä (toimitus erillispakettina, kytkentä ja asennus PU). Sähköisesti Plug&amp;Play valmis</v>
      </c>
      <c r="I33" s="1361" t="str">
        <f>KirjastoC_koodit!AE8</f>
        <v/>
      </c>
      <c r="J33" s="1361" t="str">
        <f>KirjastoC_koodit!AF8</f>
        <v xml:space="preserve">7 = Toim. alk. Q3/2025, Jäähdytyksen pumppuryhmä 10/18 kasattuna ja eristettynä (toimitus erillispakettina, kytkentä ja asennus PU). Sähköisesti Plug&amp;Play valmis. </v>
      </c>
      <c r="K33" s="1361" t="str">
        <f>KirjastoC_koodit!AG8</f>
        <v/>
      </c>
      <c r="L33" s="1361" t="str">
        <f>KirjastoC_koodit!AH8</f>
        <v/>
      </c>
      <c r="M33" s="1361" t="str">
        <f>KirjastoC_koodit!AI8</f>
        <v/>
      </c>
      <c r="N33" s="1361" t="str">
        <f>KirjastoC_koodit!AJ8</f>
        <v>4 = Sulkupelti sekä jousipalautteinen toimilaite Jäteilma (1kpl), valmiiksi tehtaalla sähköisesti kytketty . Eristetyt säleet , CAT 4 luokka.</v>
      </c>
      <c r="O33" s="1361" t="str">
        <f>KirjastoC_koodit!AK8</f>
        <v>5 = Toim. alk. 3/2025 , Airfi Multisensor (vain Airfi automatiikassa) ,  säätimeltä valitaan mitä suuretta käytetään.</v>
      </c>
      <c r="P33" s="1361" t="str">
        <f>KirjastoC_koodit!AL8</f>
        <v/>
      </c>
      <c r="Q33" s="1361" t="str">
        <f>KirjastoC_koodit!AM8</f>
        <v/>
      </c>
      <c r="R33" s="1361" t="str">
        <f>KirjastoC_koodit!AN8</f>
        <v xml:space="preserve">07 =Mille Wifi </v>
      </c>
      <c r="S33" s="1361" t="str">
        <f>KirjastoC_koodit!AO8</f>
        <v/>
      </c>
    </row>
    <row r="34" spans="1:19" ht="89.25" customHeight="1" x14ac:dyDescent="0.15">
      <c r="A34" s="1361" t="str">
        <f>KirjastoC_koodit!W9</f>
        <v/>
      </c>
      <c r="B34" s="1361" t="str">
        <f>KirjastoC_koodit!X9</f>
        <v/>
      </c>
      <c r="C34" s="1361" t="str">
        <f>KirjastoC_koodit!Y9</f>
        <v/>
      </c>
      <c r="D34" s="1361" t="str">
        <f>KirjastoC_koodit!Z9</f>
        <v/>
      </c>
      <c r="E34" s="1361" t="str">
        <f>KirjastoC_koodit!AA9</f>
        <v/>
      </c>
      <c r="F34" s="1361" t="str">
        <f>KirjastoC_koodit!AB9</f>
        <v/>
      </c>
      <c r="G34" s="1361" t="str">
        <f>KirjastoC_koodit!AC9</f>
        <v/>
      </c>
      <c r="H34" s="1361" t="str">
        <f>KirjastoC_koodit!AD9</f>
        <v>8 = Toim. alk. Q3/2025, Water ,  Jälkilämmityksen pumppuryhmä 35/25 - 35/30 kasattuna ja eristettynä (toimitus erillispakettina, kytkentä ja asennus PU). Sähköisesti Plug&amp;Play valmis</v>
      </c>
      <c r="I34" s="1361" t="str">
        <f>KirjastoC_koodit!AE9</f>
        <v/>
      </c>
      <c r="J34" s="1361" t="str">
        <f>KirjastoC_koodit!AF9</f>
        <v/>
      </c>
      <c r="K34" s="1361" t="str">
        <f>KirjastoC_koodit!AG9</f>
        <v/>
      </c>
      <c r="L34" s="1361" t="str">
        <f>KirjastoC_koodit!AH9</f>
        <v/>
      </c>
      <c r="M34" s="1361" t="str">
        <f>KirjastoC_koodit!AI9</f>
        <v/>
      </c>
      <c r="N34" s="1361" t="str">
        <f>KirjastoC_koodit!AJ9</f>
        <v>5 = Sulkupellit (1kpl Ulkoilma + 1 kpl jäteilma), EI TOIMILAITTEITA.  CAT 4 luokka.</v>
      </c>
      <c r="O34" s="1361" t="str">
        <f>KirjastoC_koodit!AK9</f>
        <v/>
      </c>
      <c r="P34" s="1361" t="str">
        <f>KirjastoC_koodit!AL9</f>
        <v/>
      </c>
      <c r="Q34" s="1361" t="str">
        <f>KirjastoC_koodit!AM9</f>
        <v/>
      </c>
      <c r="R34" s="1361" t="str">
        <f>KirjastoC_koodit!AN9</f>
        <v/>
      </c>
      <c r="S34" s="1361" t="str">
        <f>KirjastoC_koodit!AO9</f>
        <v/>
      </c>
    </row>
    <row r="35" spans="1:19" ht="89.25" customHeight="1" x14ac:dyDescent="0.15">
      <c r="A35" s="1361" t="str">
        <f>KirjastoC_koodit!W10</f>
        <v/>
      </c>
      <c r="B35" s="1361" t="str">
        <f>KirjastoC_koodit!X10</f>
        <v/>
      </c>
      <c r="C35" s="1361" t="str">
        <f>KirjastoC_koodit!Y10</f>
        <v/>
      </c>
      <c r="D35" s="1361" t="str">
        <f>KirjastoC_koodit!Z10</f>
        <v/>
      </c>
      <c r="E35" s="1361" t="str">
        <f>KirjastoC_koodit!AA10</f>
        <v/>
      </c>
      <c r="F35" s="1361" t="str">
        <f>KirjastoC_koodit!AB10</f>
        <v/>
      </c>
      <c r="G35" s="1361" t="str">
        <f>KirjastoC_koodit!AC10</f>
        <v/>
      </c>
      <c r="H35" s="1361" t="str">
        <f>KirjastoC_koodit!AD10</f>
        <v/>
      </c>
      <c r="I35" s="1361" t="str">
        <f>KirjastoC_koodit!AE10</f>
        <v/>
      </c>
      <c r="J35" s="1361" t="str">
        <f>KirjastoC_koodit!AF10</f>
        <v/>
      </c>
      <c r="K35" s="1361" t="str">
        <f>KirjastoC_koodit!AG10</f>
        <v/>
      </c>
      <c r="L35" s="1361" t="str">
        <f>KirjastoC_koodit!AH10</f>
        <v/>
      </c>
      <c r="M35" s="1361" t="str">
        <f>KirjastoC_koodit!AI10</f>
        <v/>
      </c>
      <c r="N35" s="1361" t="str">
        <f>KirjastoC_koodit!AJ10</f>
        <v>6 = Sulkupelti Ulkoilma (1kpl), EI TOIMILAITETTA.  CAT 4 luokka.</v>
      </c>
      <c r="O35" s="1361" t="str">
        <f>KirjastoC_koodit!AK10</f>
        <v/>
      </c>
      <c r="P35" s="1361" t="str">
        <f>KirjastoC_koodit!AL10</f>
        <v/>
      </c>
      <c r="Q35" s="1361" t="str">
        <f>KirjastoC_koodit!AM10</f>
        <v/>
      </c>
      <c r="R35" s="1361" t="str">
        <f>KirjastoC_koodit!AN10</f>
        <v/>
      </c>
      <c r="S35" s="1361" t="str">
        <f>KirjastoC_koodit!AO10</f>
        <v/>
      </c>
    </row>
    <row r="36" spans="1:19" ht="89.25" customHeight="1" x14ac:dyDescent="0.15">
      <c r="A36" s="1361" t="str">
        <f>KirjastoC_koodit!W11</f>
        <v/>
      </c>
      <c r="B36" s="1361" t="str">
        <f>KirjastoC_koodit!X11</f>
        <v/>
      </c>
      <c r="C36" s="1361" t="str">
        <f>KirjastoC_koodit!Y11</f>
        <v/>
      </c>
      <c r="D36" s="1361" t="str">
        <f>KirjastoC_koodit!Z11</f>
        <v/>
      </c>
      <c r="E36" s="1361" t="str">
        <f>KirjastoC_koodit!AA11</f>
        <v/>
      </c>
      <c r="F36" s="1361" t="str">
        <f>KirjastoC_koodit!AB11</f>
        <v/>
      </c>
      <c r="G36" s="1361" t="str">
        <f>KirjastoC_koodit!AC11</f>
        <v/>
      </c>
      <c r="H36" s="1361" t="str">
        <f>KirjastoC_koodit!AD11</f>
        <v/>
      </c>
      <c r="I36" s="1361" t="str">
        <f>KirjastoC_koodit!AE11</f>
        <v/>
      </c>
      <c r="J36" s="1361" t="str">
        <f>KirjastoC_koodit!AF11</f>
        <v/>
      </c>
      <c r="K36" s="1361" t="str">
        <f>KirjastoC_koodit!AG11</f>
        <v/>
      </c>
      <c r="L36" s="1361" t="str">
        <f>KirjastoC_koodit!AH11</f>
        <v/>
      </c>
      <c r="M36" s="1361" t="str">
        <f>KirjastoC_koodit!AI11</f>
        <v/>
      </c>
      <c r="N36" s="1361" t="str">
        <f>KirjastoC_koodit!AJ11</f>
        <v>7 = Sulkupelti Jäteilma (1kpl), EI TOIMILAITETTA. CAT 4 luokka.</v>
      </c>
      <c r="O36" s="1361" t="str">
        <f>KirjastoC_koodit!AK11</f>
        <v/>
      </c>
      <c r="P36" s="1361" t="str">
        <f>KirjastoC_koodit!AL11</f>
        <v/>
      </c>
      <c r="Q36" s="1361" t="str">
        <f>KirjastoC_koodit!AM11</f>
        <v/>
      </c>
      <c r="R36" s="1361" t="str">
        <f>KirjastoC_koodit!AN11</f>
        <v/>
      </c>
      <c r="S36" s="1361" t="str">
        <f>KirjastoC_koodit!AO11</f>
        <v/>
      </c>
    </row>
    <row r="39" spans="1:19" ht="14" x14ac:dyDescent="0.15">
      <c r="A39" s="83" t="s">
        <v>2070</v>
      </c>
      <c r="H39" s="2" t="s">
        <v>2072</v>
      </c>
      <c r="J39" s="2" t="s">
        <v>2078</v>
      </c>
      <c r="O39" s="2" t="s">
        <v>2150</v>
      </c>
      <c r="Q39" s="2" t="s">
        <v>2150</v>
      </c>
      <c r="R39" s="2" t="s">
        <v>2150</v>
      </c>
    </row>
    <row r="40" spans="1:19" ht="78" customHeight="1" x14ac:dyDescent="0.2">
      <c r="A40" s="874"/>
      <c r="B40" s="875"/>
      <c r="C40" s="874"/>
      <c r="D40" s="874"/>
      <c r="E40" s="874"/>
      <c r="F40" s="874"/>
      <c r="G40" s="874"/>
      <c r="H40" s="874" t="str">
        <f>$H$29</f>
        <v>1 = Electric, Vakiona valitun teholuokan mukaiset varusteet (Huom! Electric malleissa jälkilämmityksen oma sähkönsyöttö)</v>
      </c>
      <c r="I40" s="874"/>
      <c r="J40" s="874" t="str">
        <f>$J$29</f>
        <v>0 = Ei jäähdytyksen toimilaitteita tai venttiileitä. Vakiotoimitus jos ei muuta pyydetty.</v>
      </c>
      <c r="K40" s="874"/>
      <c r="L40" s="874"/>
      <c r="M40" s="876"/>
      <c r="N40" s="874"/>
      <c r="O40" s="874" t="str">
        <f>O29</f>
        <v xml:space="preserve">0 = Ei sensoreita. Vakiotoimitus jos ei muuta pyydetty. </v>
      </c>
      <c r="P40" s="874"/>
      <c r="Q40" s="874" t="str">
        <f>Q30</f>
        <v>8 = Mille Wire (vakiona toimituksessa C-sarjan koneissa 1 kpl)</v>
      </c>
      <c r="R40" s="874" t="str">
        <f>R29</f>
        <v>00 = Oletus (ei valittu),  Vakiotoimitus jos ei muuta pyydetty)</v>
      </c>
      <c r="S40" s="874"/>
    </row>
    <row r="41" spans="1:19" ht="78" customHeight="1" x14ac:dyDescent="0.2">
      <c r="A41" s="874"/>
      <c r="B41" s="875"/>
      <c r="C41" s="874"/>
      <c r="D41" s="874"/>
      <c r="E41" s="874"/>
      <c r="F41" s="877"/>
      <c r="G41" s="874"/>
      <c r="H41" s="874" t="str">
        <f t="shared" ref="H41:H42" si="13">$H$29</f>
        <v>1 = Electric, Vakiona valitun teholuokan mukaiset varusteet (Huom! Electric malleissa jälkilämmityksen oma sähkönsyöttö)</v>
      </c>
      <c r="I41" s="874"/>
      <c r="J41" s="874" t="str">
        <f t="shared" ref="J41:J42" si="14">$J$29</f>
        <v>0 = Ei jäähdytyksen toimilaitteita tai venttiileitä. Vakiotoimitus jos ei muuta pyydetty.</v>
      </c>
      <c r="K41" s="874"/>
      <c r="L41" s="874"/>
      <c r="M41" s="878"/>
      <c r="N41" s="874"/>
      <c r="O41" s="874" t="str">
        <f>O30</f>
        <v>1 = RH - lähetin</v>
      </c>
      <c r="P41" s="874"/>
      <c r="Q41" s="874"/>
      <c r="R41" s="874" t="str">
        <f>R30</f>
        <v>01 =Uno White</v>
      </c>
      <c r="S41" s="874"/>
    </row>
    <row r="42" spans="1:19" ht="78" customHeight="1" x14ac:dyDescent="0.15">
      <c r="A42" s="874"/>
      <c r="B42" s="875"/>
      <c r="C42" s="874"/>
      <c r="D42" s="874"/>
      <c r="E42" s="874"/>
      <c r="F42" s="877"/>
      <c r="G42" s="874"/>
      <c r="H42" s="874" t="str">
        <f t="shared" si="13"/>
        <v>1 = Electric, Vakiona valitun teholuokan mukaiset varusteet (Huom! Electric malleissa jälkilämmityksen oma sähkönsyöttö)</v>
      </c>
      <c r="I42" s="874"/>
      <c r="J42" s="874" t="str">
        <f t="shared" si="14"/>
        <v>0 = Ei jäähdytyksen toimilaitteita tai venttiileitä. Vakiotoimitus jos ei muuta pyydetty.</v>
      </c>
      <c r="K42" s="874"/>
      <c r="L42" s="874"/>
      <c r="M42" s="874"/>
      <c r="N42" s="874"/>
      <c r="O42" s="874" t="str">
        <f>O31</f>
        <v>2 = CO2 - lähetin</v>
      </c>
      <c r="P42" s="874"/>
      <c r="Q42" s="874"/>
      <c r="R42" s="874" t="str">
        <f>R31</f>
        <v>03 =Sento White</v>
      </c>
      <c r="S42" s="874"/>
    </row>
    <row r="43" spans="1:19" ht="39" customHeight="1" x14ac:dyDescent="0.15">
      <c r="A43" s="874"/>
      <c r="B43" s="874"/>
      <c r="C43" s="879"/>
      <c r="D43" s="874"/>
      <c r="E43" s="874"/>
      <c r="F43" s="874"/>
      <c r="G43" s="874"/>
      <c r="H43" s="874"/>
      <c r="I43" s="874"/>
      <c r="J43" s="874"/>
      <c r="K43" s="874"/>
      <c r="L43" s="874"/>
      <c r="M43" s="874"/>
      <c r="N43" s="874"/>
      <c r="O43" s="874" t="str">
        <f>O32</f>
        <v>3 = RH + CO2 - lähetin</v>
      </c>
      <c r="P43" s="874"/>
      <c r="Q43" s="874"/>
      <c r="R43" s="874" t="str">
        <f>R32</f>
        <v>04 = Sento Black</v>
      </c>
      <c r="S43" s="874"/>
    </row>
    <row r="44" spans="1:19" ht="39" customHeight="1" x14ac:dyDescent="0.15">
      <c r="A44" s="874"/>
      <c r="B44" s="874"/>
      <c r="C44" s="874"/>
      <c r="D44" s="874"/>
      <c r="E44" s="874"/>
      <c r="F44" s="874"/>
      <c r="G44" s="874"/>
      <c r="H44" s="874"/>
      <c r="I44" s="874"/>
      <c r="J44" s="874"/>
      <c r="K44" s="874"/>
      <c r="L44" s="874"/>
      <c r="M44" s="874"/>
      <c r="N44" s="874"/>
      <c r="O44" s="874" t="str">
        <f>O33</f>
        <v>5 = Toim. alk. 3/2025 , Airfi Multisensor (vain Airfi automatiikassa) ,  säätimeltä valitaan mitä suuretta käytetään.</v>
      </c>
      <c r="P44" s="874"/>
      <c r="Q44" s="874"/>
      <c r="R44" s="874" t="str">
        <f>R33</f>
        <v xml:space="preserve">07 =Mille Wifi </v>
      </c>
      <c r="S44" s="874"/>
    </row>
    <row r="45" spans="1:19" ht="39" customHeight="1" x14ac:dyDescent="0.15">
      <c r="A45" s="874"/>
      <c r="B45" s="874"/>
      <c r="C45" s="874"/>
      <c r="D45" s="874"/>
      <c r="E45" s="874"/>
      <c r="F45" s="874"/>
      <c r="G45" s="874"/>
      <c r="H45" s="874"/>
      <c r="I45" s="874"/>
      <c r="J45" s="874"/>
      <c r="K45" s="874"/>
      <c r="L45" s="874"/>
      <c r="M45" s="874"/>
      <c r="N45" s="874"/>
      <c r="O45" s="874"/>
      <c r="P45" s="874"/>
      <c r="Q45" s="874"/>
      <c r="R45" s="874"/>
      <c r="S45" s="874"/>
    </row>
    <row r="46" spans="1:19" ht="39" customHeight="1" x14ac:dyDescent="0.15">
      <c r="A46" s="874"/>
      <c r="B46" s="874"/>
      <c r="C46" s="874"/>
      <c r="D46" s="874"/>
      <c r="E46" s="874"/>
      <c r="F46" s="874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</row>
    <row r="47" spans="1:19" ht="39" customHeight="1" x14ac:dyDescent="0.15">
      <c r="A47" s="877"/>
      <c r="B47" s="877"/>
      <c r="C47" s="877"/>
      <c r="D47" s="877"/>
      <c r="E47" s="877"/>
      <c r="F47" s="877"/>
      <c r="G47" s="877"/>
      <c r="H47" s="877"/>
      <c r="I47" s="877"/>
      <c r="J47" s="877"/>
      <c r="K47" s="877"/>
      <c r="L47" s="877"/>
      <c r="M47" s="877"/>
      <c r="N47" s="874"/>
      <c r="O47" s="877"/>
      <c r="P47" s="877"/>
      <c r="Q47" s="877"/>
      <c r="R47" s="877"/>
      <c r="S47" s="877"/>
    </row>
    <row r="50" spans="1:19" ht="14" x14ac:dyDescent="0.15">
      <c r="A50" s="83" t="s">
        <v>2071</v>
      </c>
      <c r="H50" s="2" t="s">
        <v>2073</v>
      </c>
      <c r="J50" s="2" t="s">
        <v>2077</v>
      </c>
      <c r="O50" s="2" t="s">
        <v>2151</v>
      </c>
      <c r="Q50" s="2" t="s">
        <v>2151</v>
      </c>
      <c r="R50" s="2" t="s">
        <v>2150</v>
      </c>
    </row>
    <row r="51" spans="1:19" ht="51" customHeight="1" x14ac:dyDescent="0.2">
      <c r="A51" s="874"/>
      <c r="B51" s="875"/>
      <c r="C51" s="874"/>
      <c r="D51" s="874"/>
      <c r="E51" s="874"/>
      <c r="F51" s="874"/>
      <c r="G51" s="874"/>
      <c r="H51" s="874" t="str">
        <f>H30</f>
        <v>3 = Water ,  Toimituksessa ei mukana vesipatterin toimilaitteita tai venttiileitä -  Vakiotoimitus C-sarjan Water -koneissa jos ei muuta pyydetty.</v>
      </c>
      <c r="I51" s="874"/>
      <c r="J51" s="874" t="str">
        <f>$J$29</f>
        <v>0 = Ei jäähdytyksen toimilaitteita tai venttiileitä. Vakiotoimitus jos ei muuta pyydetty.</v>
      </c>
      <c r="K51" s="874"/>
      <c r="L51" s="874"/>
      <c r="M51" s="876"/>
      <c r="N51" s="874"/>
      <c r="O51" s="874" t="str">
        <f>$O$29</f>
        <v xml:space="preserve">0 = Ei sensoreita. Vakiotoimitus jos ei muuta pyydetty. </v>
      </c>
      <c r="P51" s="874"/>
      <c r="Q51" s="874" t="str">
        <f>Q29</f>
        <v>0 = Ei ohjainta,  Vakiotoimitus riviliitinkoneessa, ei voi valita muuta</v>
      </c>
      <c r="R51" s="874" t="str">
        <f>$R$29</f>
        <v>00 = Oletus (ei valittu),  Vakiotoimitus jos ei muuta pyydetty)</v>
      </c>
      <c r="S51" s="874"/>
    </row>
    <row r="52" spans="1:19" ht="51" customHeight="1" x14ac:dyDescent="0.2">
      <c r="A52" s="874"/>
      <c r="B52" s="875"/>
      <c r="C52" s="874"/>
      <c r="D52" s="874"/>
      <c r="E52" s="874"/>
      <c r="F52" s="877"/>
      <c r="G52" s="874"/>
      <c r="H52" s="874" t="str">
        <f>H31</f>
        <v xml:space="preserve">5 = Toim.alk.Q2/2025, Water , Jälkilämmityksen 2-tieventtiili ja toimilaite - patterin 50/30 mukaan (toimitus irrallaan, kytkentä ja asennus PU). Sähköisesti Plug&amp;Play valmis. </v>
      </c>
      <c r="I52" s="874"/>
      <c r="J52" s="874" t="str">
        <f>$J$30</f>
        <v xml:space="preserve">1 = Toim. alk. Q3/2025, Jäähdytyksen 3- tieventtiili ja toimilaite - patterin 7/12 - 10/15 mukaan (toimitus irrallaan, kytkentä ja asennus PU). Sähköisesti Plug&amp;Play valmis. </v>
      </c>
      <c r="K52" s="874"/>
      <c r="L52" s="874"/>
      <c r="M52" s="878"/>
      <c r="N52" s="874"/>
      <c r="O52" s="874" t="str">
        <f t="shared" ref="O52:O55" si="15">$O$29</f>
        <v xml:space="preserve">0 = Ei sensoreita. Vakiotoimitus jos ei muuta pyydetty. </v>
      </c>
      <c r="P52" s="874"/>
      <c r="Q52" s="874"/>
      <c r="R52" s="874" t="str">
        <f t="shared" ref="R52:R55" si="16">$R$29</f>
        <v>00 = Oletus (ei valittu),  Vakiotoimitus jos ei muuta pyydetty)</v>
      </c>
      <c r="S52" s="874"/>
    </row>
    <row r="53" spans="1:19" ht="51" customHeight="1" x14ac:dyDescent="0.15">
      <c r="A53" s="874"/>
      <c r="B53" s="875"/>
      <c r="C53" s="874"/>
      <c r="D53" s="874"/>
      <c r="E53" s="874"/>
      <c r="F53" s="877"/>
      <c r="G53" s="874"/>
      <c r="H53" s="874" t="str">
        <f>H33</f>
        <v>7 = Toim. alk. Q3/2025, Water ,  Jälkilämmityksen pumppuryhmä 50/30 kasattuna ja eristettynä (toimitus erillispakettina, kytkentä ja asennus PU). Sähköisesti Plug&amp;Play valmis</v>
      </c>
      <c r="I53" s="874"/>
      <c r="J53" s="874" t="str">
        <f>$J$32</f>
        <v xml:space="preserve">6 = Toim. alk. Q3/2025, Jäähdytyksen pumppuryhmä 7/12 - 10/15 kasattuna ja eristettynä (toimitus erillispakettina, kytkentä ja asennus PU). Sähköisesti Plug&amp;Play valmis. </v>
      </c>
      <c r="K53" s="874"/>
      <c r="L53" s="874"/>
      <c r="M53" s="874"/>
      <c r="N53" s="874"/>
      <c r="O53" s="874" t="str">
        <f t="shared" si="15"/>
        <v xml:space="preserve">0 = Ei sensoreita. Vakiotoimitus jos ei muuta pyydetty. </v>
      </c>
      <c r="P53" s="874"/>
      <c r="Q53" s="874"/>
      <c r="R53" s="874" t="str">
        <f t="shared" si="16"/>
        <v>00 = Oletus (ei valittu),  Vakiotoimitus jos ei muuta pyydetty)</v>
      </c>
      <c r="S53" s="874"/>
    </row>
    <row r="54" spans="1:19" ht="39" customHeight="1" x14ac:dyDescent="0.15">
      <c r="A54" s="874"/>
      <c r="B54" s="874"/>
      <c r="C54" s="879"/>
      <c r="D54" s="874"/>
      <c r="E54" s="874"/>
      <c r="F54" s="874"/>
      <c r="G54" s="874"/>
      <c r="H54" s="879" t="s">
        <v>362</v>
      </c>
      <c r="I54" s="874"/>
      <c r="J54" s="874"/>
      <c r="K54" s="874"/>
      <c r="L54" s="874"/>
      <c r="M54" s="874"/>
      <c r="N54" s="874"/>
      <c r="O54" s="874" t="str">
        <f t="shared" si="15"/>
        <v xml:space="preserve">0 = Ei sensoreita. Vakiotoimitus jos ei muuta pyydetty. </v>
      </c>
      <c r="P54" s="874"/>
      <c r="Q54" s="874"/>
      <c r="R54" s="874" t="str">
        <f t="shared" si="16"/>
        <v>00 = Oletus (ei valittu),  Vakiotoimitus jos ei muuta pyydetty)</v>
      </c>
      <c r="S54" s="874"/>
    </row>
    <row r="55" spans="1:19" ht="39" customHeight="1" x14ac:dyDescent="0.15">
      <c r="A55" s="874"/>
      <c r="B55" s="874"/>
      <c r="C55" s="874"/>
      <c r="D55" s="874"/>
      <c r="E55" s="874"/>
      <c r="F55" s="874"/>
      <c r="G55" s="874"/>
      <c r="H55" s="879" t="s">
        <v>362</v>
      </c>
      <c r="I55" s="874"/>
      <c r="J55" s="874"/>
      <c r="K55" s="874"/>
      <c r="L55" s="874"/>
      <c r="M55" s="874"/>
      <c r="N55" s="874"/>
      <c r="O55" s="874" t="str">
        <f t="shared" si="15"/>
        <v xml:space="preserve">0 = Ei sensoreita. Vakiotoimitus jos ei muuta pyydetty. </v>
      </c>
      <c r="P55" s="874"/>
      <c r="Q55" s="874"/>
      <c r="R55" s="874" t="str">
        <f t="shared" si="16"/>
        <v>00 = Oletus (ei valittu),  Vakiotoimitus jos ei muuta pyydetty)</v>
      </c>
      <c r="S55" s="874"/>
    </row>
    <row r="56" spans="1:19" ht="39" customHeight="1" x14ac:dyDescent="0.15">
      <c r="A56" s="874"/>
      <c r="B56" s="874"/>
      <c r="C56" s="874"/>
      <c r="D56" s="874"/>
      <c r="E56" s="874"/>
      <c r="F56" s="874"/>
      <c r="G56" s="874"/>
      <c r="H56" s="879" t="s">
        <v>362</v>
      </c>
      <c r="I56" s="874"/>
      <c r="J56" s="874"/>
      <c r="K56" s="874"/>
      <c r="L56" s="874"/>
      <c r="M56" s="874"/>
      <c r="N56" s="874"/>
      <c r="O56" s="874"/>
      <c r="P56" s="874"/>
      <c r="Q56" s="874"/>
      <c r="R56" s="874"/>
      <c r="S56" s="874"/>
    </row>
    <row r="57" spans="1:19" ht="39" customHeight="1" x14ac:dyDescent="0.15">
      <c r="A57" s="874"/>
      <c r="B57" s="874"/>
      <c r="C57" s="874"/>
      <c r="D57" s="874"/>
      <c r="E57" s="874"/>
      <c r="F57" s="874"/>
      <c r="G57" s="874"/>
      <c r="H57" s="874"/>
      <c r="I57" s="874"/>
      <c r="J57" s="874"/>
      <c r="K57" s="874"/>
      <c r="L57" s="874"/>
      <c r="M57" s="874"/>
      <c r="N57" s="874"/>
      <c r="O57" s="874"/>
      <c r="P57" s="874"/>
      <c r="Q57" s="874"/>
      <c r="R57" s="874"/>
      <c r="S57" s="874"/>
    </row>
    <row r="58" spans="1:19" ht="39" customHeight="1" x14ac:dyDescent="0.15">
      <c r="A58" s="877"/>
      <c r="B58" s="877"/>
      <c r="C58" s="877"/>
      <c r="D58" s="877"/>
      <c r="E58" s="877"/>
      <c r="F58" s="877"/>
      <c r="G58" s="877"/>
      <c r="H58" s="877"/>
      <c r="I58" s="877"/>
      <c r="J58" s="877"/>
      <c r="K58" s="877"/>
      <c r="L58" s="877"/>
      <c r="M58" s="877"/>
      <c r="N58" s="874"/>
      <c r="O58" s="877"/>
      <c r="P58" s="877"/>
      <c r="Q58" s="877"/>
      <c r="R58" s="877"/>
      <c r="S58" s="877"/>
    </row>
    <row r="61" spans="1:19" ht="14" x14ac:dyDescent="0.15">
      <c r="A61" s="83" t="s">
        <v>2074</v>
      </c>
      <c r="H61" s="2" t="s">
        <v>2075</v>
      </c>
      <c r="J61" s="2" t="s">
        <v>2077</v>
      </c>
    </row>
    <row r="62" spans="1:19" ht="39" customHeight="1" x14ac:dyDescent="0.2">
      <c r="A62" s="874"/>
      <c r="B62" s="875"/>
      <c r="C62" s="874"/>
      <c r="D62" s="874"/>
      <c r="E62" s="874"/>
      <c r="F62" s="874"/>
      <c r="G62" s="874"/>
      <c r="H62" s="874" t="str">
        <f>H30</f>
        <v>3 = Water ,  Toimituksessa ei mukana vesipatterin toimilaitteita tai venttiileitä -  Vakiotoimitus C-sarjan Water -koneissa jos ei muuta pyydetty.</v>
      </c>
      <c r="I62" s="874"/>
      <c r="J62" s="874" t="str">
        <f>$J$29</f>
        <v>0 = Ei jäähdytyksen toimilaitteita tai venttiileitä. Vakiotoimitus jos ei muuta pyydetty.</v>
      </c>
      <c r="K62" s="874"/>
      <c r="L62" s="874"/>
      <c r="M62" s="876"/>
      <c r="N62" s="874"/>
      <c r="O62" s="874"/>
      <c r="P62" s="874"/>
      <c r="Q62" s="874"/>
      <c r="R62" s="874"/>
      <c r="S62" s="874"/>
    </row>
    <row r="63" spans="1:19" ht="39" customHeight="1" x14ac:dyDescent="0.2">
      <c r="A63" s="874"/>
      <c r="B63" s="875"/>
      <c r="C63" s="874"/>
      <c r="D63" s="874"/>
      <c r="E63" s="874"/>
      <c r="F63" s="877"/>
      <c r="G63" s="874"/>
      <c r="H63" s="874" t="str">
        <f>H32</f>
        <v xml:space="preserve">6 = Toim. alk. Q2/2025, Water , Jälkilämmityksen 2-tieventtiili ja toimilaite - patterin 35/25 - 35/30 mukaan (toimitus irrallaan, kytkentä ja asennus PU). Sähköisesti Plug&amp;Play valmis. </v>
      </c>
      <c r="I63" s="874"/>
      <c r="J63" s="874" t="str">
        <f>$J$31</f>
        <v xml:space="preserve">2 = Toim. alk. Q3/2025, Jäähdytyksen 3- tieventtiili ja toimilaite - patterin 10/18 mukaan (toimitus irrallaan, kytkentä ja asennus PU). Sähköisesti Plug&amp;Play valmis. </v>
      </c>
      <c r="K63" s="874"/>
      <c r="L63" s="874"/>
      <c r="M63" s="878"/>
      <c r="N63" s="874"/>
      <c r="O63" s="874"/>
      <c r="P63" s="874"/>
      <c r="Q63" s="874"/>
      <c r="R63" s="874"/>
      <c r="S63" s="874"/>
    </row>
    <row r="64" spans="1:19" ht="39" customHeight="1" x14ac:dyDescent="0.15">
      <c r="A64" s="874"/>
      <c r="B64" s="875"/>
      <c r="C64" s="874"/>
      <c r="D64" s="874"/>
      <c r="E64" s="874"/>
      <c r="F64" s="877"/>
      <c r="G64" s="874"/>
      <c r="H64" s="874" t="str">
        <f>H34</f>
        <v>8 = Toim. alk. Q3/2025, Water ,  Jälkilämmityksen pumppuryhmä 35/25 - 35/30 kasattuna ja eristettynä (toimitus erillispakettina, kytkentä ja asennus PU). Sähköisesti Plug&amp;Play valmis</v>
      </c>
      <c r="I64" s="874"/>
      <c r="J64" s="874" t="str">
        <f>$J$33</f>
        <v xml:space="preserve">7 = Toim. alk. Q3/2025, Jäähdytyksen pumppuryhmä 10/18 kasattuna ja eristettynä (toimitus erillispakettina, kytkentä ja asennus PU). Sähköisesti Plug&amp;Play valmis. </v>
      </c>
      <c r="K64" s="874"/>
      <c r="L64" s="874"/>
      <c r="M64" s="874"/>
      <c r="N64" s="874"/>
      <c r="O64" s="874"/>
      <c r="P64" s="874"/>
      <c r="Q64" s="874"/>
      <c r="R64" s="874"/>
      <c r="S64" s="874"/>
    </row>
    <row r="65" spans="1:19" ht="39" customHeight="1" x14ac:dyDescent="0.15">
      <c r="A65" s="874"/>
      <c r="B65" s="874"/>
      <c r="C65" s="879"/>
      <c r="D65" s="874"/>
      <c r="E65" s="874"/>
      <c r="F65" s="874"/>
      <c r="G65" s="874"/>
      <c r="H65" s="879" t="s">
        <v>362</v>
      </c>
      <c r="I65" s="874"/>
      <c r="J65" s="874"/>
      <c r="K65" s="874"/>
      <c r="L65" s="874"/>
      <c r="M65" s="874"/>
      <c r="N65" s="874"/>
      <c r="O65" s="874"/>
      <c r="P65" s="874"/>
      <c r="Q65" s="874"/>
      <c r="R65" s="879"/>
      <c r="S65" s="874"/>
    </row>
    <row r="66" spans="1:19" ht="39" customHeight="1" x14ac:dyDescent="0.15">
      <c r="A66" s="874"/>
      <c r="B66" s="874"/>
      <c r="C66" s="874"/>
      <c r="D66" s="874"/>
      <c r="E66" s="874"/>
      <c r="F66" s="874"/>
      <c r="G66" s="874"/>
      <c r="H66" s="879" t="s">
        <v>362</v>
      </c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</row>
    <row r="67" spans="1:19" ht="39" customHeight="1" x14ac:dyDescent="0.15">
      <c r="A67" s="874"/>
      <c r="B67" s="874"/>
      <c r="C67" s="874"/>
      <c r="D67" s="874"/>
      <c r="E67" s="874"/>
      <c r="F67" s="874"/>
      <c r="G67" s="874"/>
      <c r="H67" s="879" t="s">
        <v>362</v>
      </c>
      <c r="I67" s="874"/>
      <c r="J67" s="874"/>
      <c r="K67" s="874"/>
      <c r="L67" s="874"/>
      <c r="M67" s="874"/>
      <c r="N67" s="874"/>
      <c r="O67" s="874"/>
      <c r="P67" s="874"/>
      <c r="Q67" s="874"/>
      <c r="R67" s="874"/>
      <c r="S67" s="874"/>
    </row>
    <row r="68" spans="1:19" ht="39" customHeight="1" x14ac:dyDescent="0.15">
      <c r="A68" s="874"/>
      <c r="B68" s="874"/>
      <c r="C68" s="874"/>
      <c r="D68" s="874"/>
      <c r="E68" s="874"/>
      <c r="F68" s="874"/>
      <c r="G68" s="874"/>
      <c r="H68" s="874"/>
      <c r="I68" s="874"/>
      <c r="J68" s="874"/>
      <c r="K68" s="874"/>
      <c r="L68" s="874"/>
      <c r="M68" s="874"/>
      <c r="N68" s="874"/>
      <c r="O68" s="874"/>
      <c r="P68" s="874"/>
      <c r="Q68" s="874"/>
      <c r="R68" s="874"/>
      <c r="S68" s="874"/>
    </row>
    <row r="69" spans="1:19" ht="39" customHeight="1" x14ac:dyDescent="0.15">
      <c r="A69" s="877"/>
      <c r="B69" s="877"/>
      <c r="C69" s="877"/>
      <c r="D69" s="877"/>
      <c r="E69" s="877"/>
      <c r="F69" s="877"/>
      <c r="G69" s="877"/>
      <c r="H69" s="877"/>
      <c r="I69" s="877"/>
      <c r="J69" s="877"/>
      <c r="K69" s="877"/>
      <c r="L69" s="877"/>
      <c r="M69" s="877"/>
      <c r="N69" s="874"/>
      <c r="O69" s="877"/>
      <c r="P69" s="877"/>
      <c r="Q69" s="877"/>
      <c r="R69" s="877"/>
      <c r="S69" s="877"/>
    </row>
    <row r="75" spans="1:19" x14ac:dyDescent="0.15">
      <c r="B75" s="2" t="str">
        <f>CONCATENATE("Airfi Model ",'C koodit'!D79,"-",'C koodit'!D81,"-",'C koodit'!D83,"-",'C koodit'!D85,"-",'C koodit'!D87,"-",'C koodit'!D89,"-",'C koodit'!D91,"-",'C koodit'!D93,"-",'C koodit'!D95,"-",'C koodit'!D97,"-",'C koodit'!D99,"-",'C koodit'!D101,"-",'C koodit'!D103,"-",'C koodit'!D105,"-",'C koodit'!D107,"-",'C koodit'!D109,"-",'C koodit'!D111,"-",'C koodit'!D113,"-",'C koodit'!D115)</f>
        <v>Airfi Model 2-005-1-1-6-5-12-1-0-0-0-0-0-0-0-0-8-00-9</v>
      </c>
    </row>
    <row r="76" spans="1:19" x14ac:dyDescent="0.15">
      <c r="B76" s="2" t="str">
        <f>CONCATENATE('C koodit'!D79,'C koodit'!D81,'C koodit'!D83,'C koodit'!D85,'C koodit'!D87,'C koodit'!D89,'C koodit'!D91,'C koodit'!D93,'C koodit'!D95,'C koodit'!D97,'C koodit'!D99,'C koodit'!D101,'C koodit'!D103,'C koodit'!D105,'C koodit'!D107,'C koodit'!D109,'C koodit'!D111,'C koodit'!D113,'C koodit'!D115)</f>
        <v>20051165121000000008009</v>
      </c>
    </row>
    <row r="77" spans="1:19" ht="14" thickBot="1" x14ac:dyDescent="0.2">
      <c r="B77" s="2" t="s">
        <v>2127</v>
      </c>
    </row>
    <row r="78" spans="1:19" ht="14" x14ac:dyDescent="0.15">
      <c r="B78" s="1014" t="s">
        <v>4</v>
      </c>
      <c r="C78" s="230"/>
      <c r="D78" s="231"/>
    </row>
    <row r="79" spans="1:19" x14ac:dyDescent="0.15">
      <c r="B79" s="1011">
        <v>1</v>
      </c>
      <c r="C79" s="1012" t="str" cm="1">
        <f t="array" ref="C79">INDEX(Valikko_A,B79)</f>
        <v>2 = C = Commercial AHU, LTO-Vastavirtasiirrin</v>
      </c>
      <c r="D79" s="1013">
        <f>INDEX(Koodi_A,MATCH(C79,Valikko_A,0))</f>
        <v>2</v>
      </c>
    </row>
    <row r="80" spans="1:19" ht="14" x14ac:dyDescent="0.15">
      <c r="B80" s="1015" t="s">
        <v>5</v>
      </c>
      <c r="C80" s="233"/>
      <c r="D80" s="1008"/>
    </row>
    <row r="81" spans="2:4" x14ac:dyDescent="0.15">
      <c r="B81" s="1011">
        <v>1</v>
      </c>
      <c r="C81" s="1012" t="str" cm="1">
        <f t="array" ref="C81">INDEX(Valikko_B,B81)</f>
        <v>005, 500dm³/s…1800m³/h   (Kone: Airfi Model C5 Electric, 230VAC 50Hz 16A, max ottoteho 2 kW  /  Airfi Model C5 Water, 230VAC 50Hz 16A, max ottoteho 2 kW )</v>
      </c>
      <c r="D81" s="1013" t="str">
        <f>INDEX(Koodi_B,MATCH(C81,Valikko_B,0))</f>
        <v>005</v>
      </c>
    </row>
    <row r="82" spans="2:4" ht="14" x14ac:dyDescent="0.15">
      <c r="B82" s="1015" t="s">
        <v>6</v>
      </c>
      <c r="C82" s="233"/>
      <c r="D82" s="1008"/>
    </row>
    <row r="83" spans="2:4" x14ac:dyDescent="0.15">
      <c r="B83" s="1011">
        <v>1</v>
      </c>
      <c r="C83" s="1012" t="str" cm="1">
        <f t="array" ref="C83">INDEX(Valikko_C,B83)</f>
        <v>1 = R = oikea (jäteilma oikeassa reunassa huoltosuunnasta katsoen), Vakiotoimitus, jos ei muuta pyydetty</v>
      </c>
      <c r="D83" s="1013">
        <f>INDEX(Koodi_C,MATCH(C83,Valikko_C,0))</f>
        <v>1</v>
      </c>
    </row>
    <row r="84" spans="2:4" ht="14" x14ac:dyDescent="0.15">
      <c r="B84" s="1015" t="s">
        <v>178</v>
      </c>
      <c r="C84" s="233"/>
      <c r="D84" s="1008"/>
    </row>
    <row r="85" spans="2:4" x14ac:dyDescent="0.15">
      <c r="B85" s="1011">
        <v>1</v>
      </c>
      <c r="C85" s="1012" t="str" cm="1">
        <f t="array" ref="C85">INDEX(Valikko_D,B85)</f>
        <v>1 = Airfi automatiikka, valmiina mm. ModBus RTU/TCP . Monipuoliset kytkentä mahdollisuudet jne… Vakiotoimitus jos ei muuta pyydetty.</v>
      </c>
      <c r="D85" s="1013">
        <f>INDEX(Koodi_D,MATCH(C85,Valikko_D,0))</f>
        <v>1</v>
      </c>
    </row>
    <row r="86" spans="2:4" ht="14" x14ac:dyDescent="0.15">
      <c r="B86" s="1015" t="s">
        <v>179</v>
      </c>
      <c r="C86" s="233"/>
      <c r="D86" s="1008"/>
    </row>
    <row r="87" spans="2:4" x14ac:dyDescent="0.15">
      <c r="B87" s="1011">
        <v>2</v>
      </c>
      <c r="C87" s="1012" t="str" cm="1">
        <f t="array" ref="C87">INDEX(Valikko_E,B87)</f>
        <v>6 = ISO ePM1 65%,  (Vakiotoimitus C-koneissa, jos ei valittu muuta) (aiempi luokitus F7 taso)</v>
      </c>
      <c r="D87" s="1013">
        <f>INDEX(Koodi_E,MATCH(C87,Valikko_E,0))</f>
        <v>6</v>
      </c>
    </row>
    <row r="88" spans="2:4" ht="14" x14ac:dyDescent="0.15">
      <c r="B88" s="1015" t="s">
        <v>180</v>
      </c>
      <c r="C88" s="233"/>
      <c r="D88" s="1008"/>
    </row>
    <row r="89" spans="2:4" x14ac:dyDescent="0.15">
      <c r="B89" s="1011">
        <v>1</v>
      </c>
      <c r="C89" s="1012" t="str" cm="1">
        <f t="array" ref="C89">INDEX(Valikko_F,B89)</f>
        <v>5 = ISO ePM10 50%,  (Vakiotoimitus C-koneissa, jos ei valittu muuta) (aiempi luokitus M5-taso)</v>
      </c>
      <c r="D89" s="1013">
        <f>INDEX(Koodi_F,MATCH(C89,Valikko_F,0))</f>
        <v>5</v>
      </c>
    </row>
    <row r="90" spans="2:4" ht="14" x14ac:dyDescent="0.15">
      <c r="B90" s="1015" t="s">
        <v>181</v>
      </c>
      <c r="C90" s="233"/>
      <c r="D90" s="1008"/>
    </row>
    <row r="91" spans="2:4" x14ac:dyDescent="0.15">
      <c r="B91" s="1011">
        <v>2</v>
      </c>
      <c r="C91" s="1012" t="str" cm="1">
        <f t="array" ref="C91">INDEX(Valikko_G,B91)</f>
        <v>12 = Electric, Jälkilämmityspaketti 2: Sulakekoko 400VAC 3x25A, max ottoteho 14,4 kW - Oma jälkilämmityksen syöttö (malleihin C5, Cxx),  Vakiotoimitus konekoossa C5 Electric jos ei muuta pyydetty</v>
      </c>
      <c r="D91" s="1013">
        <f>INDEX(Koodi_G,MATCH(C91,Valikko_G,0))</f>
        <v>12</v>
      </c>
    </row>
    <row r="92" spans="2:4" ht="14" x14ac:dyDescent="0.15">
      <c r="B92" s="1015" t="s">
        <v>2128</v>
      </c>
      <c r="C92" s="233"/>
      <c r="D92" s="1008"/>
    </row>
    <row r="93" spans="2:4" x14ac:dyDescent="0.15">
      <c r="B93" s="1011">
        <v>3</v>
      </c>
      <c r="C93" s="1012" t="str" cm="1">
        <f t="array" ref="C93">INDEX(Valikko_H,B93)</f>
        <v>1 = Electric, Vakiona valitun teholuokan mukaiset varusteet (Huom! Electric malleissa jälkilämmityksen oma sähkönsyöttö)</v>
      </c>
      <c r="D93" s="1013">
        <f>INDEX(Koodi_H,MATCH(C93,Valikko_H,0))</f>
        <v>1</v>
      </c>
    </row>
    <row r="94" spans="2:4" ht="14" x14ac:dyDescent="0.15">
      <c r="B94" s="1015" t="s">
        <v>2129</v>
      </c>
      <c r="C94" s="233"/>
      <c r="D94" s="1008"/>
    </row>
    <row r="95" spans="2:4" x14ac:dyDescent="0.15">
      <c r="B95" s="1011">
        <v>1</v>
      </c>
      <c r="C95" s="1012" t="str" cm="1">
        <f t="array" ref="C95">INDEX(Valikko_I,B95)</f>
        <v xml:space="preserve">0 = ei sisäistä jäähdytystä. Vakiotoimitus jos ei muuta pyydetty. </v>
      </c>
      <c r="D95" s="1013">
        <f>INDEX(Koodi_I,MATCH(C95,Valikko_I,0))</f>
        <v>0</v>
      </c>
    </row>
    <row r="96" spans="2:4" ht="14" x14ac:dyDescent="0.15">
      <c r="B96" s="1015" t="s">
        <v>2130</v>
      </c>
      <c r="C96" s="233"/>
      <c r="D96" s="1008"/>
    </row>
    <row r="97" spans="2:12" x14ac:dyDescent="0.15">
      <c r="B97" s="1011">
        <v>1</v>
      </c>
      <c r="C97" s="1012" t="str" cm="1">
        <f t="array" ref="C97">INDEX(Valikko_J,B97)</f>
        <v>0 = Ei jäähdytyksen toimilaitteita tai venttiileitä. Vakiotoimitus jos ei muuta pyydetty.</v>
      </c>
      <c r="D97" s="1013">
        <f>INDEX(Koodi_J,MATCH(C97,Valikko_J,0))</f>
        <v>0</v>
      </c>
    </row>
    <row r="98" spans="2:12" ht="14" x14ac:dyDescent="0.15">
      <c r="B98" s="1015" t="s">
        <v>496</v>
      </c>
      <c r="C98" s="233"/>
      <c r="D98" s="1008"/>
    </row>
    <row r="99" spans="2:12" x14ac:dyDescent="0.15">
      <c r="B99" s="1011">
        <v>1</v>
      </c>
      <c r="C99" s="1012" t="str" cm="1">
        <f t="array" ref="C99">INDEX(Valikko_K,B99)</f>
        <v>0 = Ei suodatinvahteja.  Vakiotoimitus jos ei muuta pyydetty.</v>
      </c>
      <c r="D99" s="1013">
        <f>INDEX(Koodi_K,MATCH(C99,Valikko_K,0))</f>
        <v>0</v>
      </c>
    </row>
    <row r="100" spans="2:12" ht="14" x14ac:dyDescent="0.15">
      <c r="B100" s="1015" t="s">
        <v>2069</v>
      </c>
      <c r="C100" s="233"/>
      <c r="D100" s="1008"/>
    </row>
    <row r="101" spans="2:12" x14ac:dyDescent="0.15">
      <c r="B101" s="1011">
        <v>1</v>
      </c>
      <c r="C101" s="1012" t="str" cm="1">
        <f t="array" ref="C101">INDEX(Valikko_L,B101)</f>
        <v>0 = Ei vakiopainesäätöä. Vakiotoimitus jos ei muuta pyydetty.</v>
      </c>
      <c r="D101" s="1013">
        <f>INDEX(Koodi_L,MATCH(C101,Valikko_L,0))</f>
        <v>0</v>
      </c>
    </row>
    <row r="102" spans="2:12" ht="14" x14ac:dyDescent="0.15">
      <c r="B102" s="1015" t="s">
        <v>2131</v>
      </c>
      <c r="C102" s="233"/>
      <c r="D102" s="1008"/>
    </row>
    <row r="103" spans="2:12" x14ac:dyDescent="0.15">
      <c r="B103" s="1011">
        <v>1</v>
      </c>
      <c r="C103" s="1012" t="str" cm="1">
        <f t="array" ref="C103">INDEX(Valikko_M,B103)</f>
        <v xml:space="preserve">0 = Ei ilmamäärämittausta. Vakiotoimitus jos ei muuta pyydetty. </v>
      </c>
      <c r="D103" s="1013">
        <f>INDEX(Koodi_M,MATCH(C103,Valikko_M,0))</f>
        <v>0</v>
      </c>
    </row>
    <row r="104" spans="2:12" ht="14" x14ac:dyDescent="0.15">
      <c r="B104" s="1015" t="s">
        <v>2132</v>
      </c>
      <c r="C104" s="233"/>
      <c r="D104" s="1008"/>
      <c r="L104" s="2" t="s">
        <v>2227</v>
      </c>
    </row>
    <row r="105" spans="2:12" x14ac:dyDescent="0.15">
      <c r="B105" s="1011">
        <v>1</v>
      </c>
      <c r="C105" s="1012" t="str" cm="1">
        <f t="array" ref="C105">INDEX(Valikko_N,B105)</f>
        <v>0 = Ei  sulkupeltejä eikä toimilaitteita jäte- ja ulkoilmalle. Vakiotoimitus jos ei muuta pyydetty.</v>
      </c>
      <c r="D105" s="1013">
        <f>INDEX(Koodi_N,MATCH(C105,Valikko_N,0))</f>
        <v>0</v>
      </c>
    </row>
    <row r="106" spans="2:12" ht="14" x14ac:dyDescent="0.15">
      <c r="B106" s="1015" t="s">
        <v>2133</v>
      </c>
      <c r="C106" s="233"/>
      <c r="D106" s="1008"/>
    </row>
    <row r="107" spans="2:12" x14ac:dyDescent="0.15">
      <c r="B107" s="1011">
        <v>1</v>
      </c>
      <c r="C107" s="1012" t="str" cm="1">
        <f t="array" ref="C107">INDEX(Valikko_O,B107)</f>
        <v xml:space="preserve">0 = Ei sensoreita. Vakiotoimitus jos ei muuta pyydetty. </v>
      </c>
      <c r="D107" s="1013">
        <f>INDEX(Koodi_O,MATCH(C107,Valikko_O,0))</f>
        <v>0</v>
      </c>
    </row>
    <row r="108" spans="2:12" ht="14" x14ac:dyDescent="0.15">
      <c r="B108" s="1015" t="s">
        <v>47</v>
      </c>
      <c r="C108" s="233"/>
      <c r="D108" s="1008"/>
    </row>
    <row r="109" spans="2:12" x14ac:dyDescent="0.15">
      <c r="B109" s="1011">
        <v>1</v>
      </c>
      <c r="C109" s="1012" t="str" cm="1">
        <f t="array" ref="C109">INDEX(Valikko_P,B109)</f>
        <v>0 = Ei energiamittareita. Vakiotoimitus jos ei muuta pyydetty.</v>
      </c>
      <c r="D109" s="1013">
        <f>INDEX(Koodi_P,MATCH(C109,Valikko_P,0))</f>
        <v>0</v>
      </c>
    </row>
    <row r="110" spans="2:12" ht="14" x14ac:dyDescent="0.15">
      <c r="B110" s="1015" t="s">
        <v>2134</v>
      </c>
      <c r="C110" s="233"/>
      <c r="D110" s="1008"/>
    </row>
    <row r="111" spans="2:12" x14ac:dyDescent="0.15">
      <c r="B111" s="1011">
        <v>1</v>
      </c>
      <c r="C111" s="1012" t="str" cm="1">
        <f t="array" ref="C111">INDEX(Valikko_Q,B111)</f>
        <v>8 = Mille Wire (vakiona toimituksessa C-sarjan koneissa 1 kpl)</v>
      </c>
      <c r="D111" s="1013">
        <f>INDEX(Koodi_Q,MATCH(C111,Valikko_Q,0))</f>
        <v>8</v>
      </c>
    </row>
    <row r="112" spans="2:12" ht="14" x14ac:dyDescent="0.15">
      <c r="B112" s="1015" t="s">
        <v>2066</v>
      </c>
      <c r="C112" s="233"/>
      <c r="D112" s="1008"/>
    </row>
    <row r="113" spans="2:4" x14ac:dyDescent="0.15">
      <c r="B113" s="1011">
        <v>1</v>
      </c>
      <c r="C113" s="1012" t="str" cm="1">
        <f t="array" ref="C113">INDEX(Valikko_R,B113)</f>
        <v>00 = Oletus (ei valittu),  Vakiotoimitus jos ei muuta pyydetty)</v>
      </c>
      <c r="D113" s="1013" t="str">
        <f>INDEX(Koodi_R,MATCH(C113,Valikko_R,0))</f>
        <v>00</v>
      </c>
    </row>
    <row r="114" spans="2:4" ht="14" x14ac:dyDescent="0.15">
      <c r="B114" s="1015" t="s">
        <v>2135</v>
      </c>
      <c r="C114" s="233"/>
      <c r="D114" s="1008"/>
    </row>
    <row r="115" spans="2:4" ht="14" thickBot="1" x14ac:dyDescent="0.2">
      <c r="B115" s="1010">
        <v>3</v>
      </c>
      <c r="C115" s="429" t="str" cm="1">
        <f t="array" ref="C115">INDEX(Valikko_S,B115)</f>
        <v>9 = Toimitus listauksen mukaisesti</v>
      </c>
      <c r="D115" s="1009">
        <f>INDEX(Koodi_S,MATCH(C115,Valikko_S,0))</f>
        <v>9</v>
      </c>
    </row>
    <row r="118" spans="2:4" x14ac:dyDescent="0.15">
      <c r="B118" t="s">
        <v>2196</v>
      </c>
    </row>
    <row r="119" spans="2:4" x14ac:dyDescent="0.15">
      <c r="B119" t="s">
        <v>2197</v>
      </c>
      <c r="C119" t="str">
        <f>E13</f>
        <v>ISO ePM1 65%</v>
      </c>
    </row>
    <row r="120" spans="2:4" x14ac:dyDescent="0.15">
      <c r="B120" t="s">
        <v>2198</v>
      </c>
      <c r="C120" t="str">
        <f>F13</f>
        <v>ISO ePM10 50%</v>
      </c>
    </row>
    <row r="122" spans="2:4" ht="42" x14ac:dyDescent="0.15">
      <c r="B122" s="563" t="str">
        <f>CONCATENATE(B118,CHAR(10),B119,C119,CHAR(10),B120,C120)</f>
        <v>Valitut suodattimet: 
Tulo: ISO ePM1 65%
Poisto: ISO ePM10 50%</v>
      </c>
    </row>
    <row r="125" spans="2:4" x14ac:dyDescent="0.15">
      <c r="B125" s="2" t="s">
        <v>2645</v>
      </c>
      <c r="C125" s="2" t="str">
        <f>CONCATENATE("Airfi Model C",B25," ",G25)</f>
        <v>Airfi Model C5 Electric</v>
      </c>
    </row>
  </sheetData>
  <dataValidations disablePrompts="1" count="1">
    <dataValidation type="custom" allowBlank="1" showInputMessage="1" showErrorMessage="1" sqref="B85" xr:uid="{22301702-1BA5-4531-932D-14698ABBABEF}">
      <formula1>IF(N76,2,4)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F70-2568-4E76-A4A6-AEA38D95163D}">
  <dimension ref="B1:AO21"/>
  <sheetViews>
    <sheetView zoomScale="85" zoomScaleNormal="85" workbookViewId="0">
      <selection activeCell="B126" sqref="B126"/>
    </sheetView>
  </sheetViews>
  <sheetFormatPr baseColWidth="10" defaultColWidth="8.83203125" defaultRowHeight="13" x14ac:dyDescent="0.15"/>
  <cols>
    <col min="3" max="21" width="24.1640625" customWidth="1"/>
  </cols>
  <sheetData>
    <row r="1" spans="2:41" x14ac:dyDescent="0.15">
      <c r="B1" t="s">
        <v>2487</v>
      </c>
      <c r="C1">
        <f>KirjastoC!B4</f>
        <v>1</v>
      </c>
    </row>
    <row r="3" spans="2:41" x14ac:dyDescent="0.15">
      <c r="C3" s="2" t="s">
        <v>2485</v>
      </c>
      <c r="W3" s="2" t="s">
        <v>139</v>
      </c>
    </row>
    <row r="4" spans="2:41" ht="127.5" customHeight="1" x14ac:dyDescent="0.2">
      <c r="C4" s="1362" t="s">
        <v>2215</v>
      </c>
      <c r="D4" s="1363" t="s">
        <v>1961</v>
      </c>
      <c r="E4" s="1362" t="s">
        <v>1963</v>
      </c>
      <c r="F4" s="1362" t="s">
        <v>2491</v>
      </c>
      <c r="G4" s="1362" t="s">
        <v>1965</v>
      </c>
      <c r="H4" s="1362" t="s">
        <v>1968</v>
      </c>
      <c r="I4" s="1362" t="s">
        <v>2500</v>
      </c>
      <c r="J4" s="1362" t="s">
        <v>1971</v>
      </c>
      <c r="K4" s="1362" t="s">
        <v>1972</v>
      </c>
      <c r="L4" s="1362" t="s">
        <v>1974</v>
      </c>
      <c r="M4" s="1362" t="s">
        <v>1975</v>
      </c>
      <c r="N4" s="1362" t="s">
        <v>1979</v>
      </c>
      <c r="O4" s="1364" t="s">
        <v>1981</v>
      </c>
      <c r="P4" s="1362" t="s">
        <v>2538</v>
      </c>
      <c r="Q4" s="1362" t="s">
        <v>1988</v>
      </c>
      <c r="R4" s="1362" t="s">
        <v>2553</v>
      </c>
      <c r="S4" s="1362" t="s">
        <v>2558</v>
      </c>
      <c r="T4" s="1362" t="s">
        <v>2216</v>
      </c>
      <c r="U4" s="1362" t="s">
        <v>2562</v>
      </c>
      <c r="W4" s="1368" t="str">
        <f>IF(ISBLANK(C4),"",IF($C$1=1,C4,C14))</f>
        <v>2 = C = Commercial AHU, LTO-Vastavirtasiirrin</v>
      </c>
      <c r="X4" s="1368" t="str">
        <f t="shared" ref="X4:AO4" si="0">IF(ISBLANK(D4),"",IF($C$1=1,D4,D14))</f>
        <v>005, 500dm³/s…1800m³/h   (Kone: Airfi Model C5 Electric, 230VAC 50Hz 16A, max ottoteho 2 kW  /  Airfi Model C5 Water, 230VAC 50Hz 16A, max ottoteho 2 kW )</v>
      </c>
      <c r="Y4" s="1368" t="str">
        <f t="shared" si="0"/>
        <v>1 = R = oikea (jäteilma oikeassa reunassa huoltosuunnasta katsoen), Vakiotoimitus, jos ei muuta pyydetty</v>
      </c>
      <c r="Z4" s="1368" t="str">
        <f t="shared" si="0"/>
        <v>1 = Airfi automatiikka, valmiina mm. ModBus RTU/TCP . Monipuoliset kytkentä mahdollisuudet jne… Vakiotoimitus jos ei muuta pyydetty.</v>
      </c>
      <c r="AA4" s="1368" t="str">
        <f t="shared" si="0"/>
        <v>5 = ISO ePM10 50% (M5 taso)</v>
      </c>
      <c r="AB4" s="1368" t="str">
        <f t="shared" si="0"/>
        <v>5 = ISO ePM10 50%,  (Vakiotoimitus C-koneissa, jos ei valittu muuta) (aiempi luokitus M5-taso)</v>
      </c>
      <c r="AC4" s="1368" t="str">
        <f t="shared" si="0"/>
        <v>11 = Electric, Jälkilämmityspaketti 1: Sulakekoko 400VAC 3x16A, max ottoteho 7,2 kW - Oma jälkilämmityksen syöttö (malleihin C5)</v>
      </c>
      <c r="AD4" s="1368" t="str">
        <f t="shared" si="0"/>
        <v>1 = Electric, Vakiona valitun teholuokan mukaiset varusteet (Huom! Electric malleissa jälkilämmityksen oma sähkönsyöttö)</v>
      </c>
      <c r="AE4" s="1368" t="str">
        <f t="shared" si="0"/>
        <v xml:space="preserve">0 = ei sisäistä jäähdytystä. Vakiotoimitus jos ei muuta pyydetty. </v>
      </c>
      <c r="AF4" s="1368" t="str">
        <f t="shared" si="0"/>
        <v>0 = Ei jäähdytyksen toimilaitteita tai venttiileitä. Vakiotoimitus jos ei muuta pyydetty.</v>
      </c>
      <c r="AG4" s="1368" t="str">
        <f t="shared" si="0"/>
        <v>0 = Ei suodatinvahteja.  Vakiotoimitus jos ei muuta pyydetty.</v>
      </c>
      <c r="AH4" s="1368" t="str">
        <f t="shared" si="0"/>
        <v>0 = Ei vakiopainesäätöä. Vakiotoimitus jos ei muuta pyydetty.</v>
      </c>
      <c r="AI4" s="1368" t="str">
        <f t="shared" si="0"/>
        <v xml:space="preserve">0 = Ei ilmamäärämittausta. Vakiotoimitus jos ei muuta pyydetty. </v>
      </c>
      <c r="AJ4" s="1368" t="str">
        <f t="shared" si="0"/>
        <v>0 = Ei  sulkupeltejä eikä toimilaitteita jäte- ja ulkoilmalle. Vakiotoimitus jos ei muuta pyydetty.</v>
      </c>
      <c r="AK4" s="1368" t="str">
        <f t="shared" si="0"/>
        <v xml:space="preserve">0 = Ei sensoreita. Vakiotoimitus jos ei muuta pyydetty. </v>
      </c>
      <c r="AL4" s="1368" t="str">
        <f t="shared" si="0"/>
        <v>0 = Ei energiamittareita. Vakiotoimitus jos ei muuta pyydetty.</v>
      </c>
      <c r="AM4" s="1368" t="str">
        <f t="shared" si="0"/>
        <v>0 = Ei ohjainta,  Vakiotoimitus riviliitinkoneessa, ei voi valita muuta</v>
      </c>
      <c r="AN4" s="1368" t="str">
        <f t="shared" si="0"/>
        <v>00 = Oletus (ei valittu),  Vakiotoimitus jos ei muuta pyydetty)</v>
      </c>
      <c r="AO4" s="1368" t="str">
        <f t="shared" si="0"/>
        <v>1 = Erikseen selvitetty toiminto, dokumentaatio vaaditaan liitteeksi.</v>
      </c>
    </row>
    <row r="5" spans="2:41" ht="127.5" customHeight="1" x14ac:dyDescent="0.2">
      <c r="C5" s="1362"/>
      <c r="D5" s="1363" t="s">
        <v>1962</v>
      </c>
      <c r="E5" s="1362" t="s">
        <v>1964</v>
      </c>
      <c r="F5" s="1362" t="s">
        <v>1992</v>
      </c>
      <c r="G5" s="1362" t="s">
        <v>1966</v>
      </c>
      <c r="H5" s="1365" t="s">
        <v>1969</v>
      </c>
      <c r="I5" s="1362" t="s">
        <v>2499</v>
      </c>
      <c r="J5" s="1362" t="s">
        <v>2507</v>
      </c>
      <c r="K5" s="1362" t="s">
        <v>2063</v>
      </c>
      <c r="L5" s="1362" t="s">
        <v>2519</v>
      </c>
      <c r="M5" s="1362" t="s">
        <v>1976</v>
      </c>
      <c r="N5" s="1362" t="s">
        <v>1980</v>
      </c>
      <c r="O5" s="1366" t="s">
        <v>2536</v>
      </c>
      <c r="P5" s="1362" t="s">
        <v>2540</v>
      </c>
      <c r="Q5" s="1362" t="s">
        <v>1989</v>
      </c>
      <c r="R5" s="1362" t="s">
        <v>1994</v>
      </c>
      <c r="S5" s="1362" t="s">
        <v>2217</v>
      </c>
      <c r="T5" s="1362" t="s">
        <v>1997</v>
      </c>
      <c r="U5" s="1362" t="s">
        <v>2218</v>
      </c>
      <c r="W5" s="1368" t="str">
        <f t="shared" ref="W5:W11" si="1">IF(ISBLANK(C5),"",IF($C$1=1,C5,C15))</f>
        <v/>
      </c>
      <c r="X5" s="1368" t="str">
        <f t="shared" ref="X5:X11" si="2">IF(ISBLANK(D5),"",IF($C$1=1,D5,D15))</f>
        <v>0xx, xxxdm³/s…xxxxm³/h (Future version)</v>
      </c>
      <c r="Y5" s="1368" t="str">
        <f t="shared" ref="Y5:Y11" si="3">IF(ISBLANK(E5),"",IF($C$1=1,E5,E15))</f>
        <v>2 = L  = vasen (jäteilma vasemmassa reunassa huoltosuunnasta katsoen)</v>
      </c>
      <c r="Z5" s="1368" t="str">
        <f t="shared" ref="Z5:Z11" si="4">IF(ISBLANK(F5),"",IF($C$1=1,F5,F15))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AA5" s="1368" t="str">
        <f t="shared" ref="AA5:AA11" si="5">IF(ISBLANK(G5),"",IF($C$1=1,G5,G15))</f>
        <v>6 = ISO ePM1 65%,  (Vakiotoimitus C-koneissa, jos ei valittu muuta) (aiempi luokitus F7 taso)</v>
      </c>
      <c r="AB5" s="1368" t="str">
        <f t="shared" ref="AB5:AB11" si="6">IF(ISBLANK(H5),"",IF($C$1=1,H5,H15))</f>
        <v>6 = ISO ePM1 65% (F7-taso)</v>
      </c>
      <c r="AC5" s="1368" t="str">
        <f t="shared" ref="AC5:AC11" si="7">IF(ISBLANK(I5),"",IF($C$1=1,I5,I15))</f>
        <v>12 = Electric, Jälkilämmityspaketti 2: Sulakekoko 400VAC 3x25A, max ottoteho 14,4 kW - Oma jälkilämmityksen syöttö (malleihin C5, Cxx),  Vakiotoimitus konekoossa C5 Electric jos ei muuta pyydetty</v>
      </c>
      <c r="AD5" s="1368" t="str">
        <f t="shared" ref="AD5:AD11" si="8">IF(ISBLANK(J5),"",IF($C$1=1,J5,J15))</f>
        <v>3 = Water ,  Toimituksessa ei mukana vesipatterin toimilaitteita tai venttiileitä -  Vakiotoimitus C-sarjan Water -koneissa jos ei muuta pyydetty.</v>
      </c>
      <c r="AE5" s="1368" t="str">
        <f t="shared" ref="AE5:AE11" si="9">IF(ISBLANK(K5),"",IF($C$1=1,K5,K15))</f>
        <v>1 = Jäähdytys neste, patteriteho 1 ,esim. 7/12 - 10/15 (mitoita ohjelmassa). Vakiotoimitus C-sarjassa jos valittu jäähdytyspatteri ja ei muuta pyydetty</v>
      </c>
      <c r="AF5" s="1368" t="str">
        <f t="shared" ref="AF5:AF11" si="10">IF(ISBLANK(L5),"",IF($C$1=1,L5,L15))</f>
        <v xml:space="preserve">1 = Toim. alk. Q3/2025, Jäähdytyksen 3- tieventtiili ja toimilaite - patterin 7/12 - 10/15 mukaan (toimitus irrallaan, kytkentä ja asennus PU). Sähköisesti Plug&amp;Play valmis. </v>
      </c>
      <c r="AG5" s="1368" t="str">
        <f t="shared" ref="AG5:AG11" si="11">IF(ISBLANK(M5),"",IF($C$1=1,M5,M15))</f>
        <v xml:space="preserve">1 = Suodatinvahti tulo </v>
      </c>
      <c r="AH5" s="1368" t="str">
        <f t="shared" ref="AH5:AH11" si="12">IF(ISBLANK(N5),"",IF($C$1=1,N5,N15))</f>
        <v>1 = Vakiopainesäätö tulo ja poisto (vakiopainesäädön mittauspisteet letkutetaan työmaalla)</v>
      </c>
      <c r="AI5" s="1368" t="str">
        <f t="shared" ref="AI5:AI11" si="13">IF(ISBLANK(O5),"",IF($C$1=1,O5,O15))</f>
        <v>1 = Toim. alk. Q2/2025 - Ilmavirtamittaus tulo- ja poistoilmavirralle</v>
      </c>
      <c r="AJ5" s="1368" t="str">
        <f t="shared" ref="AJ5:AJ11" si="14">IF(ISBLANK(P5),"",IF($C$1=1,P5,P15))</f>
        <v>1 = Sulkupellit sekä jousipalautteiset toimilaitteet (1kpl ulkoilma + 1 kpl jäteilma), valmiiksi tehtaalla sähköisesti kytketty . CAT4 luokka.</v>
      </c>
      <c r="AK5" s="1368" t="str">
        <f t="shared" ref="AK5:AK11" si="15">IF(ISBLANK(Q5),"",IF($C$1=1,Q5,Q15))</f>
        <v>1 = RH - lähetin</v>
      </c>
      <c r="AL5" s="1368" t="str">
        <f t="shared" ref="AL5:AL11" si="16">IF(ISBLANK(R5),"",IF($C$1=1,R5,R15))</f>
        <v>1 = Energiamittari käyttösähkö (puhallinenergia ja automaatio)</v>
      </c>
      <c r="AM5" s="1368" t="str">
        <f t="shared" ref="AM5:AM11" si="17">IF(ISBLANK(S5),"",IF($C$1=1,S5,S15))</f>
        <v>8 = Mille Wire (vakiona toimituksessa C-sarjan koneissa 1 kpl)</v>
      </c>
      <c r="AN5" s="1368" t="str">
        <f t="shared" ref="AN5:AN11" si="18">IF(ISBLANK(T5),"",IF($C$1=1,T5,T15))</f>
        <v>01 =Uno White</v>
      </c>
      <c r="AO5" s="1368" t="str">
        <f t="shared" ref="AO5:AO11" si="19">IF(ISBLANK(U5),"",IF($C$1=1,U5,U15))</f>
        <v>2 = Lisäaikapainike  (asennus ja johdotus SU)</v>
      </c>
    </row>
    <row r="6" spans="2:41" ht="127.5" customHeight="1" x14ac:dyDescent="0.2">
      <c r="C6" s="1362"/>
      <c r="D6" s="1363" t="s">
        <v>1962</v>
      </c>
      <c r="E6" s="1362"/>
      <c r="F6" s="1362"/>
      <c r="G6" s="1362" t="s">
        <v>1967</v>
      </c>
      <c r="H6" s="1365" t="s">
        <v>1967</v>
      </c>
      <c r="I6" s="1362" t="s">
        <v>1970</v>
      </c>
      <c r="J6" s="1362" t="s">
        <v>2062</v>
      </c>
      <c r="K6" s="1362" t="s">
        <v>2512</v>
      </c>
      <c r="L6" s="1362" t="s">
        <v>2522</v>
      </c>
      <c r="M6" s="1362" t="s">
        <v>1977</v>
      </c>
      <c r="N6" s="1362"/>
      <c r="O6" s="1362"/>
      <c r="P6" s="1362" t="s">
        <v>1982</v>
      </c>
      <c r="Q6" s="1362" t="s">
        <v>1990</v>
      </c>
      <c r="R6" s="1362" t="s">
        <v>2556</v>
      </c>
      <c r="S6" s="1362"/>
      <c r="T6" s="1362" t="s">
        <v>1998</v>
      </c>
      <c r="U6" s="1362" t="s">
        <v>2219</v>
      </c>
      <c r="W6" s="1368" t="str">
        <f t="shared" si="1"/>
        <v/>
      </c>
      <c r="X6" s="1368" t="str">
        <f t="shared" si="2"/>
        <v>0xx, xxxdm³/s…xxxxm³/h (Future version)</v>
      </c>
      <c r="Y6" s="1368" t="str">
        <f t="shared" si="3"/>
        <v/>
      </c>
      <c r="Z6" s="1368" t="str">
        <f t="shared" si="4"/>
        <v/>
      </c>
      <c r="AA6" s="1368" t="str">
        <f t="shared" si="5"/>
        <v>7 = ISO ePM1 85% (F8/F9 taso)</v>
      </c>
      <c r="AB6" s="1368" t="str">
        <f t="shared" si="6"/>
        <v>7 = ISO ePM1 85% (F8/F9 taso)</v>
      </c>
      <c r="AC6" s="1368" t="str">
        <f t="shared" si="7"/>
        <v>61 = Water-  soveltuu esim. 50/30 vedelle (mitoita ohjelmassa), Vakiotoimitus mallissa C5 Water jos ei muuta pyydetty</v>
      </c>
      <c r="AD6" s="1368" t="str">
        <f t="shared" si="8"/>
        <v xml:space="preserve">5 = Toim.alk.Q2/2025, Water , Jälkilämmityksen 2-tieventtiili ja toimilaite - patterin 50/30 mukaan (toimitus irrallaan, kytkentä ja asennus PU). Sähköisesti Plug&amp;Play valmis. </v>
      </c>
      <c r="AE6" s="1368" t="str">
        <f t="shared" si="9"/>
        <v>2 = Jäähdytys neste , patteriteho 2. esim. 10/18 -kaukokylmä/maajärjestelmä  (mitoita ohjelmassa)</v>
      </c>
      <c r="AF6" s="1368" t="str">
        <f t="shared" si="10"/>
        <v xml:space="preserve">2 = Toim. alk. Q3/2025, Jäähdytyksen 3- tieventtiili ja toimilaite - patterin 10/18 mukaan (toimitus irrallaan, kytkentä ja asennus PU). Sähköisesti Plug&amp;Play valmis. </v>
      </c>
      <c r="AG6" s="1368" t="str">
        <f t="shared" si="11"/>
        <v>2 = Suodatinvahti poisto</v>
      </c>
      <c r="AH6" s="1368" t="str">
        <f t="shared" si="12"/>
        <v/>
      </c>
      <c r="AI6" s="1368" t="str">
        <f t="shared" si="13"/>
        <v/>
      </c>
      <c r="AJ6" s="1368" t="str">
        <f t="shared" si="14"/>
        <v>2 = Sulkupellit sekä jousipalautteiset toimilaitteet (1kpl Ulkoilma + 1 kpl jäteilma), valmiiksi tehtaalla sähköisesti kytketty . Eristetyt säleet , CAT 4 luokka.</v>
      </c>
      <c r="AK6" s="1368" t="str">
        <f t="shared" si="15"/>
        <v>2 = CO2 - lähetin</v>
      </c>
      <c r="AL6" s="1368" t="str">
        <f t="shared" si="16"/>
        <v>2 = Energiamittari käyttösähkö  (puhallinenergia ja automaatio) ja lisäksi sähkökoneessa erillinen jälkilämmityksen energian kulutusmittaus.</v>
      </c>
      <c r="AM6" s="1368" t="str">
        <f t="shared" si="17"/>
        <v/>
      </c>
      <c r="AN6" s="1368" t="str">
        <f t="shared" si="18"/>
        <v>03 =Sento White</v>
      </c>
      <c r="AO6" s="1368" t="str">
        <f t="shared" si="19"/>
        <v>9 = Toimitus listauksen mukaisesti</v>
      </c>
    </row>
    <row r="7" spans="2:41" ht="127.5" customHeight="1" x14ac:dyDescent="0.15">
      <c r="C7" s="1362"/>
      <c r="D7" s="1362"/>
      <c r="E7" s="1367"/>
      <c r="F7" s="1362"/>
      <c r="G7" s="1362"/>
      <c r="H7" s="1362"/>
      <c r="I7" s="1362" t="s">
        <v>2061</v>
      </c>
      <c r="J7" s="1362" t="s">
        <v>2516</v>
      </c>
      <c r="K7" s="1362" t="s">
        <v>1973</v>
      </c>
      <c r="L7" s="1362" t="s">
        <v>2520</v>
      </c>
      <c r="M7" s="1362" t="s">
        <v>1978</v>
      </c>
      <c r="N7" s="1362"/>
      <c r="O7" s="1362"/>
      <c r="P7" s="1362" t="s">
        <v>1983</v>
      </c>
      <c r="Q7" s="1362" t="s">
        <v>1991</v>
      </c>
      <c r="R7" s="1362"/>
      <c r="S7" s="1362"/>
      <c r="T7" s="1367" t="s">
        <v>1999</v>
      </c>
      <c r="U7" s="1362"/>
      <c r="W7" s="1368" t="str">
        <f t="shared" si="1"/>
        <v/>
      </c>
      <c r="X7" s="1368" t="str">
        <f t="shared" si="2"/>
        <v/>
      </c>
      <c r="Y7" s="1368" t="str">
        <f t="shared" si="3"/>
        <v/>
      </c>
      <c r="Z7" s="1368" t="str">
        <f t="shared" si="4"/>
        <v/>
      </c>
      <c r="AA7" s="1368" t="str">
        <f t="shared" si="5"/>
        <v/>
      </c>
      <c r="AB7" s="1368" t="str">
        <f t="shared" si="6"/>
        <v/>
      </c>
      <c r="AC7" s="1368" t="str">
        <f t="shared" si="7"/>
        <v>62 = Water- matalille lämpötiloille, esim. 35/25 - 35/30 (mitoita ohjelmassa)</v>
      </c>
      <c r="AD7" s="1368" t="str">
        <f t="shared" si="8"/>
        <v xml:space="preserve">6 = Toim. alk. Q2/2025, Water , Jälkilämmityksen 2-tieventtiili ja toimilaite - patterin 35/25 - 35/30 mukaan (toimitus irrallaan, kytkentä ja asennus PU). Sähköisesti Plug&amp;Play valmis. </v>
      </c>
      <c r="AE7" s="1368" t="str">
        <f t="shared" si="9"/>
        <v>7 = Jäähdytys suorahöyrystyspatteri DX-1,   (mitoita ohjelmassa), toimitus sisältää patterin, ei toimilaitteita</v>
      </c>
      <c r="AF7" s="1368" t="str">
        <f t="shared" si="10"/>
        <v xml:space="preserve">6 = Toim. alk. Q3/2025, Jäähdytyksen pumppuryhmä 7/12 - 10/15 kasattuna ja eristettynä (toimitus erillispakettina, kytkentä ja asennus PU). Sähköisesti Plug&amp;Play valmis. </v>
      </c>
      <c r="AG7" s="1368" t="str">
        <f t="shared" si="11"/>
        <v>3 = Suodatinvahti tulo ja poisto</v>
      </c>
      <c r="AH7" s="1368" t="str">
        <f t="shared" si="12"/>
        <v/>
      </c>
      <c r="AI7" s="1368" t="str">
        <f t="shared" si="13"/>
        <v/>
      </c>
      <c r="AJ7" s="1368" t="str">
        <f t="shared" si="14"/>
        <v>3 = Sulkupelti sekä jousipalautteinen toimilaite Ulkoilma (1kpl) , valmiiksi tehtaalla sähköisesti kytketty . Eristetyt säleet , CAT 4 luokka.</v>
      </c>
      <c r="AK7" s="1368" t="str">
        <f t="shared" si="15"/>
        <v>3 = RH + CO2 - lähetin</v>
      </c>
      <c r="AL7" s="1368" t="str">
        <f t="shared" si="16"/>
        <v/>
      </c>
      <c r="AM7" s="1368" t="str">
        <f t="shared" si="17"/>
        <v/>
      </c>
      <c r="AN7" s="1368" t="str">
        <f t="shared" si="18"/>
        <v>04 = Sento Black</v>
      </c>
      <c r="AO7" s="1368" t="str">
        <f t="shared" si="19"/>
        <v/>
      </c>
    </row>
    <row r="8" spans="2:41" ht="127.5" customHeight="1" x14ac:dyDescent="0.15">
      <c r="C8" s="1362"/>
      <c r="D8" s="1362"/>
      <c r="E8" s="1362"/>
      <c r="F8" s="1362"/>
      <c r="G8" s="1362"/>
      <c r="H8" s="1362"/>
      <c r="I8" s="1362"/>
      <c r="J8" s="1362" t="s">
        <v>2518</v>
      </c>
      <c r="K8" s="1362"/>
      <c r="L8" s="1362" t="s">
        <v>2524</v>
      </c>
      <c r="M8" s="1362"/>
      <c r="N8" s="1362"/>
      <c r="O8" s="1362"/>
      <c r="P8" s="1362" t="s">
        <v>1984</v>
      </c>
      <c r="Q8" s="1362" t="s">
        <v>2551</v>
      </c>
      <c r="R8" s="1362"/>
      <c r="S8" s="1362"/>
      <c r="T8" s="1362" t="s">
        <v>2000</v>
      </c>
      <c r="U8" s="1362"/>
      <c r="W8" s="1368" t="str">
        <f t="shared" si="1"/>
        <v/>
      </c>
      <c r="X8" s="1368" t="str">
        <f t="shared" si="2"/>
        <v/>
      </c>
      <c r="Y8" s="1368" t="str">
        <f t="shared" si="3"/>
        <v/>
      </c>
      <c r="Z8" s="1368" t="str">
        <f t="shared" si="4"/>
        <v/>
      </c>
      <c r="AA8" s="1368" t="str">
        <f t="shared" si="5"/>
        <v/>
      </c>
      <c r="AB8" s="1368" t="str">
        <f t="shared" si="6"/>
        <v/>
      </c>
      <c r="AC8" s="1368" t="str">
        <f t="shared" si="7"/>
        <v/>
      </c>
      <c r="AD8" s="1368" t="str">
        <f t="shared" si="8"/>
        <v>7 = Toim. alk. Q3/2025, Water ,  Jälkilämmityksen pumppuryhmä 50/30 kasattuna ja eristettynä (toimitus erillispakettina, kytkentä ja asennus PU). Sähköisesti Plug&amp;Play valmis</v>
      </c>
      <c r="AE8" s="1368" t="str">
        <f t="shared" si="9"/>
        <v/>
      </c>
      <c r="AF8" s="1368" t="str">
        <f t="shared" si="10"/>
        <v xml:space="preserve">7 = Toim. alk. Q3/2025, Jäähdytyksen pumppuryhmä 10/18 kasattuna ja eristettynä (toimitus erillispakettina, kytkentä ja asennus PU). Sähköisesti Plug&amp;Play valmis. </v>
      </c>
      <c r="AG8" s="1368" t="str">
        <f t="shared" si="11"/>
        <v/>
      </c>
      <c r="AH8" s="1368" t="str">
        <f t="shared" si="12"/>
        <v/>
      </c>
      <c r="AI8" s="1368" t="str">
        <f t="shared" si="13"/>
        <v/>
      </c>
      <c r="AJ8" s="1368" t="str">
        <f t="shared" si="14"/>
        <v>4 = Sulkupelti sekä jousipalautteinen toimilaite Jäteilma (1kpl), valmiiksi tehtaalla sähköisesti kytketty . Eristetyt säleet , CAT 4 luokka.</v>
      </c>
      <c r="AK8" s="1368" t="str">
        <f t="shared" si="15"/>
        <v>5 = Toim. alk. 3/2025 , Airfi Multisensor (vain Airfi automatiikassa) ,  säätimeltä valitaan mitä suuretta käytetään.</v>
      </c>
      <c r="AL8" s="1368" t="str">
        <f t="shared" si="16"/>
        <v/>
      </c>
      <c r="AM8" s="1368" t="str">
        <f t="shared" si="17"/>
        <v/>
      </c>
      <c r="AN8" s="1368" t="str">
        <f t="shared" si="18"/>
        <v xml:space="preserve">07 =Mille Wifi </v>
      </c>
      <c r="AO8" s="1368" t="str">
        <f t="shared" si="19"/>
        <v/>
      </c>
    </row>
    <row r="9" spans="2:41" ht="127.5" customHeight="1" x14ac:dyDescent="0.15">
      <c r="C9" s="1362"/>
      <c r="D9" s="1362"/>
      <c r="E9" s="1362"/>
      <c r="F9" s="1362"/>
      <c r="G9" s="1362"/>
      <c r="H9" s="1362"/>
      <c r="I9" s="1362"/>
      <c r="J9" s="1362" t="s">
        <v>2517</v>
      </c>
      <c r="K9" s="1362"/>
      <c r="L9" s="1362"/>
      <c r="M9" s="1362"/>
      <c r="N9" s="1362"/>
      <c r="O9" s="1362"/>
      <c r="P9" s="1362" t="s">
        <v>1985</v>
      </c>
      <c r="Q9" s="1362"/>
      <c r="R9" s="1362"/>
      <c r="S9" s="1362"/>
      <c r="T9" s="1362"/>
      <c r="U9" s="1362"/>
      <c r="W9" s="1368" t="str">
        <f t="shared" si="1"/>
        <v/>
      </c>
      <c r="X9" s="1368" t="str">
        <f t="shared" si="2"/>
        <v/>
      </c>
      <c r="Y9" s="1368" t="str">
        <f t="shared" si="3"/>
        <v/>
      </c>
      <c r="Z9" s="1368" t="str">
        <f t="shared" si="4"/>
        <v/>
      </c>
      <c r="AA9" s="1368" t="str">
        <f t="shared" si="5"/>
        <v/>
      </c>
      <c r="AB9" s="1368" t="str">
        <f t="shared" si="6"/>
        <v/>
      </c>
      <c r="AC9" s="1368" t="str">
        <f t="shared" si="7"/>
        <v/>
      </c>
      <c r="AD9" s="1368" t="str">
        <f t="shared" si="8"/>
        <v>8 = Toim. alk. Q3/2025, Water ,  Jälkilämmityksen pumppuryhmä 35/25 - 35/30 kasattuna ja eristettynä (toimitus erillispakettina, kytkentä ja asennus PU). Sähköisesti Plug&amp;Play valmis</v>
      </c>
      <c r="AE9" s="1368" t="str">
        <f t="shared" si="9"/>
        <v/>
      </c>
      <c r="AF9" s="1368" t="str">
        <f t="shared" si="10"/>
        <v/>
      </c>
      <c r="AG9" s="1368" t="str">
        <f t="shared" si="11"/>
        <v/>
      </c>
      <c r="AH9" s="1368" t="str">
        <f t="shared" si="12"/>
        <v/>
      </c>
      <c r="AI9" s="1368" t="str">
        <f t="shared" si="13"/>
        <v/>
      </c>
      <c r="AJ9" s="1368" t="str">
        <f t="shared" si="14"/>
        <v>5 = Sulkupellit (1kpl Ulkoilma + 1 kpl jäteilma), EI TOIMILAITTEITA.  CAT 4 luokka.</v>
      </c>
      <c r="AK9" s="1368" t="str">
        <f t="shared" si="15"/>
        <v/>
      </c>
      <c r="AL9" s="1368" t="str">
        <f t="shared" si="16"/>
        <v/>
      </c>
      <c r="AM9" s="1368" t="str">
        <f t="shared" si="17"/>
        <v/>
      </c>
      <c r="AN9" s="1368" t="str">
        <f t="shared" si="18"/>
        <v/>
      </c>
      <c r="AO9" s="1368" t="str">
        <f t="shared" si="19"/>
        <v/>
      </c>
    </row>
    <row r="10" spans="2:41" ht="127.5" customHeight="1" x14ac:dyDescent="0.15">
      <c r="C10" s="1362"/>
      <c r="D10" s="1362"/>
      <c r="E10" s="1362"/>
      <c r="F10" s="1362"/>
      <c r="G10" s="1362"/>
      <c r="H10" s="1362"/>
      <c r="I10" s="1362"/>
      <c r="J10" s="1362"/>
      <c r="K10" s="1362"/>
      <c r="L10" s="1362"/>
      <c r="M10" s="1362"/>
      <c r="N10" s="1362"/>
      <c r="O10" s="1362"/>
      <c r="P10" s="1362" t="s">
        <v>1986</v>
      </c>
      <c r="Q10" s="1362"/>
      <c r="R10" s="1362"/>
      <c r="S10" s="1362"/>
      <c r="T10" s="1362"/>
      <c r="U10" s="1362"/>
      <c r="W10" s="1368" t="str">
        <f t="shared" si="1"/>
        <v/>
      </c>
      <c r="X10" s="1368" t="str">
        <f t="shared" si="2"/>
        <v/>
      </c>
      <c r="Y10" s="1368" t="str">
        <f t="shared" si="3"/>
        <v/>
      </c>
      <c r="Z10" s="1368" t="str">
        <f t="shared" si="4"/>
        <v/>
      </c>
      <c r="AA10" s="1368" t="str">
        <f t="shared" si="5"/>
        <v/>
      </c>
      <c r="AB10" s="1368" t="str">
        <f t="shared" si="6"/>
        <v/>
      </c>
      <c r="AC10" s="1368" t="str">
        <f t="shared" si="7"/>
        <v/>
      </c>
      <c r="AD10" s="1368" t="str">
        <f t="shared" si="8"/>
        <v/>
      </c>
      <c r="AE10" s="1368" t="str">
        <f t="shared" si="9"/>
        <v/>
      </c>
      <c r="AF10" s="1368" t="str">
        <f t="shared" si="10"/>
        <v/>
      </c>
      <c r="AG10" s="1368" t="str">
        <f t="shared" si="11"/>
        <v/>
      </c>
      <c r="AH10" s="1368" t="str">
        <f t="shared" si="12"/>
        <v/>
      </c>
      <c r="AI10" s="1368" t="str">
        <f t="shared" si="13"/>
        <v/>
      </c>
      <c r="AJ10" s="1368" t="str">
        <f t="shared" si="14"/>
        <v>6 = Sulkupelti Ulkoilma (1kpl), EI TOIMILAITETTA.  CAT 4 luokka.</v>
      </c>
      <c r="AK10" s="1368" t="str">
        <f t="shared" si="15"/>
        <v/>
      </c>
      <c r="AL10" s="1368" t="str">
        <f t="shared" si="16"/>
        <v/>
      </c>
      <c r="AM10" s="1368" t="str">
        <f t="shared" si="17"/>
        <v/>
      </c>
      <c r="AN10" s="1368" t="str">
        <f t="shared" si="18"/>
        <v/>
      </c>
      <c r="AO10" s="1368" t="str">
        <f t="shared" si="19"/>
        <v/>
      </c>
    </row>
    <row r="11" spans="2:41" ht="127.5" customHeight="1" x14ac:dyDescent="0.15">
      <c r="C11" s="1365"/>
      <c r="D11" s="1365"/>
      <c r="E11" s="1365"/>
      <c r="F11" s="1365"/>
      <c r="G11" s="1365"/>
      <c r="H11" s="1365"/>
      <c r="I11" s="1365"/>
      <c r="J11" s="1365"/>
      <c r="K11" s="1365"/>
      <c r="L11" s="1365"/>
      <c r="M11" s="1365"/>
      <c r="N11" s="1365"/>
      <c r="O11" s="1365"/>
      <c r="P11" s="1362" t="s">
        <v>1987</v>
      </c>
      <c r="Q11" s="1365"/>
      <c r="R11" s="1365"/>
      <c r="S11" s="1365"/>
      <c r="T11" s="1365"/>
      <c r="U11" s="1365"/>
      <c r="W11" s="1368" t="str">
        <f t="shared" si="1"/>
        <v/>
      </c>
      <c r="X11" s="1368" t="str">
        <f t="shared" si="2"/>
        <v/>
      </c>
      <c r="Y11" s="1368" t="str">
        <f t="shared" si="3"/>
        <v/>
      </c>
      <c r="Z11" s="1368" t="str">
        <f t="shared" si="4"/>
        <v/>
      </c>
      <c r="AA11" s="1368" t="str">
        <f t="shared" si="5"/>
        <v/>
      </c>
      <c r="AB11" s="1368" t="str">
        <f t="shared" si="6"/>
        <v/>
      </c>
      <c r="AC11" s="1368" t="str">
        <f t="shared" si="7"/>
        <v/>
      </c>
      <c r="AD11" s="1368" t="str">
        <f t="shared" si="8"/>
        <v/>
      </c>
      <c r="AE11" s="1368" t="str">
        <f t="shared" si="9"/>
        <v/>
      </c>
      <c r="AF11" s="1368" t="str">
        <f t="shared" si="10"/>
        <v/>
      </c>
      <c r="AG11" s="1368" t="str">
        <f t="shared" si="11"/>
        <v/>
      </c>
      <c r="AH11" s="1368" t="str">
        <f t="shared" si="12"/>
        <v/>
      </c>
      <c r="AI11" s="1368" t="str">
        <f t="shared" si="13"/>
        <v/>
      </c>
      <c r="AJ11" s="1368" t="str">
        <f t="shared" si="14"/>
        <v>7 = Sulkupelti Jäteilma (1kpl), EI TOIMILAITETTA. CAT 4 luokka.</v>
      </c>
      <c r="AK11" s="1368" t="str">
        <f t="shared" si="15"/>
        <v/>
      </c>
      <c r="AL11" s="1368" t="str">
        <f t="shared" si="16"/>
        <v/>
      </c>
      <c r="AM11" s="1368" t="str">
        <f t="shared" si="17"/>
        <v/>
      </c>
      <c r="AN11" s="1368" t="str">
        <f t="shared" si="18"/>
        <v/>
      </c>
      <c r="AO11" s="1368" t="str">
        <f t="shared" si="19"/>
        <v/>
      </c>
    </row>
    <row r="13" spans="2:41" x14ac:dyDescent="0.15">
      <c r="C13" s="2" t="s">
        <v>2486</v>
      </c>
    </row>
    <row r="14" spans="2:41" ht="127.5" customHeight="1" x14ac:dyDescent="0.2">
      <c r="C14" s="1394" t="s">
        <v>2488</v>
      </c>
      <c r="D14" s="1395" t="s">
        <v>2489</v>
      </c>
      <c r="E14" s="1394" t="s">
        <v>2666</v>
      </c>
      <c r="F14" s="1394" t="s">
        <v>2492</v>
      </c>
      <c r="G14" s="1394" t="s">
        <v>2494</v>
      </c>
      <c r="H14" s="1394" t="s">
        <v>2497</v>
      </c>
      <c r="I14" s="1394" t="s">
        <v>2501</v>
      </c>
      <c r="J14" s="1394" t="s">
        <v>2505</v>
      </c>
      <c r="K14" s="1394" t="s">
        <v>2531</v>
      </c>
      <c r="L14" s="1394" t="s">
        <v>2515</v>
      </c>
      <c r="M14" s="1394" t="s">
        <v>2530</v>
      </c>
      <c r="N14" s="1394" t="s">
        <v>2667</v>
      </c>
      <c r="O14" s="1396" t="s">
        <v>2534</v>
      </c>
      <c r="P14" s="1394" t="s">
        <v>2537</v>
      </c>
      <c r="Q14" s="1394" t="s">
        <v>2547</v>
      </c>
      <c r="R14" s="1394" t="s">
        <v>2554</v>
      </c>
      <c r="S14" s="1394" t="s">
        <v>2559</v>
      </c>
      <c r="T14" s="1394" t="s">
        <v>2561</v>
      </c>
      <c r="U14" s="1394" t="s">
        <v>2563</v>
      </c>
    </row>
    <row r="15" spans="2:41" ht="127.5" customHeight="1" x14ac:dyDescent="0.2">
      <c r="C15" s="1394"/>
      <c r="D15" s="1395" t="s">
        <v>1962</v>
      </c>
      <c r="E15" s="1394" t="s">
        <v>2490</v>
      </c>
      <c r="F15" s="1394" t="s">
        <v>2493</v>
      </c>
      <c r="G15" s="1394" t="s">
        <v>2498</v>
      </c>
      <c r="H15" s="1397" t="s">
        <v>2496</v>
      </c>
      <c r="I15" s="1394" t="s">
        <v>2502</v>
      </c>
      <c r="J15" s="1394" t="s">
        <v>2506</v>
      </c>
      <c r="K15" s="1394" t="s">
        <v>2532</v>
      </c>
      <c r="L15" s="1394" t="s">
        <v>2521</v>
      </c>
      <c r="M15" s="1394" t="s">
        <v>2527</v>
      </c>
      <c r="N15" s="1394" t="s">
        <v>2533</v>
      </c>
      <c r="O15" s="1396" t="s">
        <v>2535</v>
      </c>
      <c r="P15" s="1394" t="s">
        <v>2539</v>
      </c>
      <c r="Q15" s="1394" t="s">
        <v>2548</v>
      </c>
      <c r="R15" s="1394" t="s">
        <v>2555</v>
      </c>
      <c r="S15" s="1394" t="s">
        <v>2560</v>
      </c>
      <c r="T15" s="1394" t="s">
        <v>1997</v>
      </c>
      <c r="U15" s="1394" t="s">
        <v>2564</v>
      </c>
    </row>
    <row r="16" spans="2:41" ht="127.5" customHeight="1" x14ac:dyDescent="0.15">
      <c r="C16" s="1394"/>
      <c r="D16" s="1395" t="s">
        <v>1962</v>
      </c>
      <c r="E16" s="1394"/>
      <c r="F16" s="1394"/>
      <c r="G16" s="1394" t="s">
        <v>2495</v>
      </c>
      <c r="H16" s="1397" t="s">
        <v>2495</v>
      </c>
      <c r="I16" s="1394" t="s">
        <v>2503</v>
      </c>
      <c r="J16" s="1394" t="s">
        <v>2508</v>
      </c>
      <c r="K16" s="1394" t="s">
        <v>2513</v>
      </c>
      <c r="L16" s="1394" t="s">
        <v>2523</v>
      </c>
      <c r="M16" s="1394" t="s">
        <v>2528</v>
      </c>
      <c r="N16" s="1394"/>
      <c r="O16" s="1394"/>
      <c r="P16" s="1394" t="s">
        <v>2541</v>
      </c>
      <c r="Q16" s="1394" t="s">
        <v>2549</v>
      </c>
      <c r="R16" s="1394" t="s">
        <v>2557</v>
      </c>
      <c r="S16" s="1394"/>
      <c r="T16" s="1394" t="s">
        <v>1998</v>
      </c>
      <c r="U16" s="1394" t="s">
        <v>2565</v>
      </c>
    </row>
    <row r="17" spans="3:21" ht="127.5" customHeight="1" x14ac:dyDescent="0.15">
      <c r="C17" s="1394"/>
      <c r="D17" s="1394"/>
      <c r="E17" s="1398"/>
      <c r="F17" s="1394"/>
      <c r="G17" s="1394"/>
      <c r="H17" s="1394"/>
      <c r="I17" s="1394" t="s">
        <v>2504</v>
      </c>
      <c r="J17" s="1394" t="s">
        <v>2509</v>
      </c>
      <c r="K17" s="1394" t="s">
        <v>2514</v>
      </c>
      <c r="L17" s="1394" t="s">
        <v>2525</v>
      </c>
      <c r="M17" s="1394" t="s">
        <v>2529</v>
      </c>
      <c r="N17" s="1394"/>
      <c r="O17" s="1394"/>
      <c r="P17" s="1394" t="s">
        <v>2542</v>
      </c>
      <c r="Q17" s="1394" t="s">
        <v>2550</v>
      </c>
      <c r="R17" s="1394"/>
      <c r="S17" s="1394"/>
      <c r="T17" s="1398" t="s">
        <v>1999</v>
      </c>
      <c r="U17" s="1394"/>
    </row>
    <row r="18" spans="3:21" ht="127.5" customHeight="1" x14ac:dyDescent="0.15">
      <c r="C18" s="1394"/>
      <c r="D18" s="1394"/>
      <c r="E18" s="1394"/>
      <c r="F18" s="1394"/>
      <c r="G18" s="1394"/>
      <c r="H18" s="1394"/>
      <c r="I18" s="1394"/>
      <c r="J18" s="1394" t="s">
        <v>2510</v>
      </c>
      <c r="K18" s="1394"/>
      <c r="L18" s="1394" t="s">
        <v>2526</v>
      </c>
      <c r="M18" s="1394"/>
      <c r="N18" s="1394"/>
      <c r="O18" s="1394"/>
      <c r="P18" s="1394" t="s">
        <v>2543</v>
      </c>
      <c r="Q18" s="1394" t="s">
        <v>2552</v>
      </c>
      <c r="R18" s="1394"/>
      <c r="S18" s="1394"/>
      <c r="T18" s="1394" t="s">
        <v>2000</v>
      </c>
      <c r="U18" s="1394"/>
    </row>
    <row r="19" spans="3:21" ht="127.5" customHeight="1" x14ac:dyDescent="0.15">
      <c r="C19" s="1394"/>
      <c r="D19" s="1394"/>
      <c r="E19" s="1394"/>
      <c r="F19" s="1394"/>
      <c r="G19" s="1394"/>
      <c r="H19" s="1394"/>
      <c r="I19" s="1394"/>
      <c r="J19" s="1394" t="s">
        <v>2511</v>
      </c>
      <c r="K19" s="1394"/>
      <c r="L19" s="1394"/>
      <c r="M19" s="1394"/>
      <c r="N19" s="1394"/>
      <c r="O19" s="1394"/>
      <c r="P19" s="1394" t="s">
        <v>2544</v>
      </c>
      <c r="Q19" s="1394"/>
      <c r="R19" s="1394"/>
      <c r="S19" s="1394"/>
      <c r="T19" s="1394"/>
      <c r="U19" s="1394"/>
    </row>
    <row r="20" spans="3:21" ht="127.5" customHeight="1" x14ac:dyDescent="0.15">
      <c r="C20" s="1394"/>
      <c r="D20" s="1394"/>
      <c r="E20" s="1394"/>
      <c r="F20" s="1394"/>
      <c r="G20" s="1394"/>
      <c r="H20" s="1394"/>
      <c r="I20" s="1394"/>
      <c r="J20" s="1394"/>
      <c r="K20" s="1394"/>
      <c r="L20" s="1394"/>
      <c r="M20" s="1394"/>
      <c r="N20" s="1394"/>
      <c r="O20" s="1394"/>
      <c r="P20" s="1394" t="s">
        <v>2545</v>
      </c>
      <c r="Q20" s="1394"/>
      <c r="R20" s="1394"/>
      <c r="S20" s="1394"/>
      <c r="T20" s="1394"/>
      <c r="U20" s="1394"/>
    </row>
    <row r="21" spans="3:21" ht="127.5" customHeight="1" x14ac:dyDescent="0.15">
      <c r="C21" s="1397"/>
      <c r="D21" s="1397"/>
      <c r="E21" s="1397"/>
      <c r="F21" s="1397"/>
      <c r="G21" s="1397"/>
      <c r="H21" s="1397"/>
      <c r="I21" s="1397"/>
      <c r="J21" s="1397"/>
      <c r="K21" s="1397"/>
      <c r="L21" s="1397"/>
      <c r="M21" s="1397"/>
      <c r="N21" s="1397"/>
      <c r="O21" s="1397"/>
      <c r="P21" s="1394" t="s">
        <v>2546</v>
      </c>
      <c r="Q21" s="1397"/>
      <c r="R21" s="1397"/>
      <c r="S21" s="1397"/>
      <c r="T21" s="1397"/>
      <c r="U21" s="13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2BBC-0B61-4416-BF29-2D0ECBEAB9A8}">
  <dimension ref="C4:AL37"/>
  <sheetViews>
    <sheetView topLeftCell="C1" workbookViewId="0">
      <selection activeCell="Y19" sqref="Y19:AL22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  <col min="26" max="26" width="16.5" customWidth="1"/>
    <col min="27" max="27" width="14.33203125" customWidth="1"/>
  </cols>
  <sheetData>
    <row r="4" spans="3:38" ht="14" x14ac:dyDescent="0.15">
      <c r="C4" s="83" t="s">
        <v>149</v>
      </c>
    </row>
    <row r="5" spans="3:38" x14ac:dyDescent="0.15">
      <c r="L5" s="74" t="s">
        <v>166</v>
      </c>
      <c r="M5" s="75">
        <f>(F31*F32*F29*I7*I11^(I17)*F37)-(M23*N23*F33^(-1)*F28*(F30-(F29*I11*I7*(1-F34))))+Q23</f>
        <v>-70.406005743907684</v>
      </c>
      <c r="Q5" t="s">
        <v>176</v>
      </c>
      <c r="S5" s="3">
        <f>M5</f>
        <v>-70.406005743907684</v>
      </c>
      <c r="T5" s="104" t="str">
        <f>INDEX(Q7:Q14,IF($S$5&lt;S7,1,MATCH(S5,S7:S14)+1))</f>
        <v>A+</v>
      </c>
    </row>
    <row r="6" spans="3:38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38" x14ac:dyDescent="0.15">
      <c r="C7" t="str" cm="1">
        <f t="array" ref="C7">INDEX(KirjastoC!D4:K125,59,KirjastoC!B4)</f>
        <v>Kanavaliitäntäinen</v>
      </c>
      <c r="F7">
        <v>1.1000000000000001</v>
      </c>
      <c r="H7">
        <v>2</v>
      </c>
      <c r="I7">
        <f>INDEX(F7:F8,H7)</f>
        <v>1.21</v>
      </c>
      <c r="Q7" s="10" t="s">
        <v>177</v>
      </c>
      <c r="R7" s="22"/>
      <c r="S7" s="22">
        <v>-42</v>
      </c>
      <c r="T7" s="21">
        <f>IF($AC$89&lt;S7,1,0)</f>
        <v>0</v>
      </c>
    </row>
    <row r="8" spans="3:38" x14ac:dyDescent="0.15">
      <c r="C8" t="str" cm="1">
        <f t="array" ref="C8">INDEX(KirjastoC!D4:K125,60,KirjastoC!B4)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38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  <c r="Y9" s="12"/>
      <c r="AL9" s="24"/>
    </row>
    <row r="10" spans="3:38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  <c r="Y10" s="12"/>
      <c r="Z10" s="1419" t="str" cm="1">
        <f t="array" ref="Z10">INDEX(KirjastoC!D4:K125,45,KirjastoC!B4)</f>
        <v>Ominaisenergiankulutus (SEC) ja luokittelu</v>
      </c>
      <c r="AA10" s="1420"/>
      <c r="AB10" s="1420"/>
      <c r="AC10" s="1420"/>
      <c r="AD10" s="1420"/>
      <c r="AE10" s="1420"/>
      <c r="AF10" s="590"/>
      <c r="AG10" s="505"/>
      <c r="AH10" s="132"/>
      <c r="AI10" s="130" t="str" cm="1">
        <f t="array" ref="AI10">INDEX(KirjastoC!D4:K125,58,KirjastoC!B4)</f>
        <v>Luokka</v>
      </c>
      <c r="AJ10" s="1416" t="str" cm="1">
        <f t="array" ref="AJ10">INDEX(KirjastoC!D4:K125,57,KirjastoC!B4)</f>
        <v>SEC-luku</v>
      </c>
      <c r="AK10" s="1416"/>
      <c r="AL10" s="24"/>
    </row>
    <row r="11" spans="3:38" x14ac:dyDescent="0.15">
      <c r="C11" t="str" cm="1">
        <f t="array" ref="C11">INDEX(KirjastoC!D4:K125,61,KirjastoC!B4)</f>
        <v>Käsikäyttö (ei tarp.muk. IV)</v>
      </c>
      <c r="F11">
        <v>1</v>
      </c>
      <c r="H11">
        <v>1</v>
      </c>
      <c r="I11">
        <f>INDEX(F11:F14,H11)</f>
        <v>1</v>
      </c>
      <c r="Q11" s="12" t="s">
        <v>178</v>
      </c>
      <c r="R11">
        <v>-23</v>
      </c>
      <c r="S11">
        <v>-20</v>
      </c>
      <c r="T11" s="24">
        <f t="shared" si="0"/>
        <v>0</v>
      </c>
      <c r="Y11" s="12"/>
      <c r="Z11" s="1422" t="str" cm="1">
        <f t="array" ref="Z11">INDEX(KirjastoC!D4:K125,46,KirjastoC!B4)</f>
        <v>Komission asetusten (EU) N:o 1253/2014 &amp; N:o 1254/2014 mukaisesti</v>
      </c>
      <c r="AA11" s="1423"/>
      <c r="AB11" s="1423"/>
      <c r="AC11" s="1423"/>
      <c r="AD11" s="1423"/>
      <c r="AE11" s="1423"/>
      <c r="AF11" s="591"/>
      <c r="AG11" s="506"/>
      <c r="AH11" s="133" t="str">
        <f t="shared" ref="AH11:AH18" si="1">IF(AI11=$AF$17,"►","")</f>
        <v>►</v>
      </c>
      <c r="AI11" s="131" t="s">
        <v>177</v>
      </c>
      <c r="AJ11" s="1407" t="s">
        <v>190</v>
      </c>
      <c r="AK11" s="1407"/>
      <c r="AL11" s="24"/>
    </row>
    <row r="12" spans="3:38" x14ac:dyDescent="0.15">
      <c r="C12" t="str" cm="1">
        <f t="array" ref="C12">INDEX(KirjastoC!D4:K125,62,KirjastoC!B4)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  <c r="Y12" s="12"/>
      <c r="Z12" s="456" t="str" cm="1">
        <f t="array" ref="Z12">INDEX(KirjastoC!D4:K125,47,KirjastoC!B4)</f>
        <v>HUOM! SEC-laskentaa käytetään vain asuinrakennuksiin tarkoitetuilla ilmanvaihtokoneilla.</v>
      </c>
      <c r="AB12" s="142"/>
      <c r="AC12" s="142"/>
      <c r="AD12" s="135"/>
      <c r="AE12" s="135"/>
      <c r="AF12" s="135"/>
      <c r="AG12" s="135"/>
      <c r="AH12" s="133" t="str">
        <f t="shared" si="1"/>
        <v/>
      </c>
      <c r="AI12" s="131" t="s">
        <v>4</v>
      </c>
      <c r="AJ12" s="1401" t="s">
        <v>191</v>
      </c>
      <c r="AK12" s="1401"/>
      <c r="AL12" s="24"/>
    </row>
    <row r="13" spans="3:38" x14ac:dyDescent="0.15">
      <c r="C13" t="str" cm="1">
        <f t="array" ref="C13">INDEX(KirjastoC!D4:K125,63,KirjastoC!B4)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  <c r="Y13" s="12"/>
      <c r="Z13" s="507" t="str" cm="1">
        <f t="array" ref="Z13">INDEX(KirjastoC!D4:K125,48,KirjastoC!B4)</f>
        <v>Vertailuilmavirta:</v>
      </c>
      <c r="AA13" s="455">
        <f>TuloksetC!M37*3.6</f>
        <v>1386</v>
      </c>
      <c r="AB13" s="142"/>
      <c r="AC13" s="454"/>
      <c r="AD13" s="126"/>
      <c r="AE13" s="126"/>
      <c r="AF13" s="126"/>
      <c r="AG13" s="126"/>
      <c r="AH13" s="133" t="str">
        <f t="shared" si="1"/>
        <v/>
      </c>
      <c r="AI13" s="131" t="s">
        <v>5</v>
      </c>
      <c r="AJ13" s="1406" t="s">
        <v>192</v>
      </c>
      <c r="AK13" s="1406"/>
      <c r="AL13" s="24"/>
    </row>
    <row r="14" spans="3:38" x14ac:dyDescent="0.15">
      <c r="C14" t="str" cm="1">
        <f t="array" ref="C14">INDEX(KirjastoC!D4:K125,64,KirjastoC!B4)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  <c r="Y14" s="12"/>
      <c r="Z14" s="139" t="str" cm="1">
        <f t="array" ref="Z14">INDEX(KirjastoC!D4:K125,49,KirjastoC!B4)</f>
        <v>Laskennan lähtöarvot:</v>
      </c>
      <c r="AA14" s="126"/>
      <c r="AB14" s="126"/>
      <c r="AC14" s="126"/>
      <c r="AD14" s="126"/>
      <c r="AE14" s="126"/>
      <c r="AF14" s="126"/>
      <c r="AG14" s="126"/>
      <c r="AH14" s="133" t="str">
        <f t="shared" si="1"/>
        <v/>
      </c>
      <c r="AI14" s="131" t="s">
        <v>6</v>
      </c>
      <c r="AJ14" s="1428" t="s">
        <v>193</v>
      </c>
      <c r="AK14" s="1428"/>
      <c r="AL14" s="24"/>
    </row>
    <row r="15" spans="3:38" x14ac:dyDescent="0.15">
      <c r="Y15" s="12"/>
      <c r="Z15" s="137" t="str" cm="1">
        <f t="array" ref="Z15">INDEX(KirjastoC!D4:K125,50,KirjastoC!B4)</f>
        <v>Yleinen luokittelu</v>
      </c>
      <c r="AA15" s="126"/>
      <c r="AB15" s="126"/>
      <c r="AC15" s="126"/>
      <c r="AD15" s="1444" t="str" cm="1">
        <f t="array" ref="AD15">INDEX(KirjastoC!D4:K125,57,KirjastoC!B4)</f>
        <v>SEC-luku</v>
      </c>
      <c r="AE15" s="1445"/>
      <c r="AF15" s="1436">
        <f>TuloksetC!BQ37</f>
        <v>-70.406005743907684</v>
      </c>
      <c r="AG15" s="1437"/>
      <c r="AH15" s="133" t="str">
        <f t="shared" si="1"/>
        <v/>
      </c>
      <c r="AI15" s="131" t="s">
        <v>178</v>
      </c>
      <c r="AJ15" s="1429" t="s">
        <v>194</v>
      </c>
      <c r="AK15" s="1429"/>
      <c r="AL15" s="24"/>
    </row>
    <row r="16" spans="3:38" x14ac:dyDescent="0.15">
      <c r="C16" s="2" t="s">
        <v>147</v>
      </c>
      <c r="F16" s="2" t="s">
        <v>152</v>
      </c>
      <c r="H16" t="s">
        <v>21</v>
      </c>
      <c r="I16" t="s">
        <v>152</v>
      </c>
      <c r="Y16" s="12"/>
      <c r="Z16" s="137" t="str" cm="1">
        <f t="array" ref="Z16">INDEX(KirjastoC!D4:K125,51,KirjastoC!B4)</f>
        <v>Ilmanvaihdon ohjaus</v>
      </c>
      <c r="AA16" s="126"/>
      <c r="AB16" s="126"/>
      <c r="AC16" s="126"/>
      <c r="AD16" s="1425" t="s">
        <v>721</v>
      </c>
      <c r="AE16" s="1426"/>
      <c r="AF16" s="1438"/>
      <c r="AG16" s="1439"/>
      <c r="AH16" s="133" t="str">
        <f t="shared" si="1"/>
        <v/>
      </c>
      <c r="AI16" s="131" t="s">
        <v>179</v>
      </c>
      <c r="AJ16" s="1430" t="s">
        <v>195</v>
      </c>
      <c r="AK16" s="1430"/>
      <c r="AL16" s="24"/>
    </row>
    <row r="17" spans="3:38" x14ac:dyDescent="0.15">
      <c r="C17" s="39" t="str" cm="1">
        <f t="array" ref="C17">INDEX(KirjastoC!D4:K125,65,KirjastoC!B4)</f>
        <v>On/off &amp; yksinopeuksinen</v>
      </c>
      <c r="F17">
        <v>1</v>
      </c>
      <c r="H17">
        <v>2</v>
      </c>
      <c r="I17">
        <f>INDEX(F17:F20,H17)</f>
        <v>1.2</v>
      </c>
      <c r="Y17" s="12"/>
      <c r="Z17" s="137" t="str" cm="1">
        <f t="array" ref="Z17">INDEX(KirjastoC!D4:K125,52,KirjastoC!B4)</f>
        <v>Moottori ja ohjaus</v>
      </c>
      <c r="AA17" s="126"/>
      <c r="AB17" s="126"/>
      <c r="AC17" s="126"/>
      <c r="AD17" s="1432" t="str" cm="1">
        <f t="array" ref="AD17">INDEX(KirjastoC!D4:K125,58,KirjastoC!B4)</f>
        <v>Luokka</v>
      </c>
      <c r="AE17" s="1433"/>
      <c r="AF17" s="1440" t="str">
        <f>TuloksetC!BR37</f>
        <v>A+</v>
      </c>
      <c r="AG17" s="1441"/>
      <c r="AH17" s="133" t="str">
        <f t="shared" si="1"/>
        <v/>
      </c>
      <c r="AI17" s="131" t="s">
        <v>180</v>
      </c>
      <c r="AJ17" s="1431" t="s">
        <v>196</v>
      </c>
      <c r="AK17" s="1431"/>
      <c r="AL17" s="24"/>
    </row>
    <row r="18" spans="3:38" x14ac:dyDescent="0.15">
      <c r="C18" t="str" cm="1">
        <f t="array" ref="C18">INDEX(KirjastoC!D4:K125,66,KirjastoC!B4)</f>
        <v>Kaksinopeuksinen</v>
      </c>
      <c r="F18">
        <v>1.2</v>
      </c>
      <c r="Y18" s="12"/>
      <c r="Z18" s="138" t="str" cm="1">
        <f t="array" ref="Z18">INDEX(KirjastoC!D4:K125,53,KirjastoC!B4)</f>
        <v>Ilmasto</v>
      </c>
      <c r="AA18" s="136"/>
      <c r="AB18" s="127"/>
      <c r="AC18" s="127"/>
      <c r="AD18" s="1434"/>
      <c r="AE18" s="1435"/>
      <c r="AF18" s="1442"/>
      <c r="AG18" s="1443"/>
      <c r="AH18" s="134" t="str">
        <f t="shared" si="1"/>
        <v/>
      </c>
      <c r="AI18" s="131" t="s">
        <v>181</v>
      </c>
      <c r="AJ18" s="1431" t="s">
        <v>197</v>
      </c>
      <c r="AK18" s="1431"/>
      <c r="AL18" s="24"/>
    </row>
    <row r="19" spans="3:38" x14ac:dyDescent="0.15">
      <c r="C19" t="str" cm="1">
        <f t="array" ref="C19">INDEX(KirjastoC!D4:K125,67,KirjastoC!B4)</f>
        <v>Moninopeuksinen</v>
      </c>
      <c r="F19">
        <v>1.5</v>
      </c>
      <c r="Y19" s="12"/>
      <c r="Z19" s="526" t="str" cm="1">
        <f t="array" ref="Z19">INDEX(KirjastoC!D4:K125,54,KirjastoC!B4)</f>
        <v>Kaikki oikeudet pidätetään.</v>
      </c>
      <c r="AA19" s="126"/>
      <c r="AB19" s="527" t="s">
        <v>199</v>
      </c>
      <c r="AC19" s="527" t="s">
        <v>1174</v>
      </c>
      <c r="AL19" s="24"/>
    </row>
    <row r="20" spans="3:38" x14ac:dyDescent="0.15">
      <c r="C20" t="str" cm="1">
        <f t="array" ref="C20">INDEX(KirjastoC!D4:K125,68,KirjastoC!B4)</f>
        <v>Portaaton säätö</v>
      </c>
      <c r="F20">
        <v>2</v>
      </c>
      <c r="Y20" s="12"/>
      <c r="Z20" s="1427" t="str" cm="1">
        <f t="array" ref="Z20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AA20" s="1427"/>
      <c r="AB20" s="1427"/>
      <c r="AC20" s="1427"/>
      <c r="AD20" s="1427"/>
      <c r="AE20" s="1427"/>
      <c r="AF20" s="1427"/>
      <c r="AG20" s="1427"/>
      <c r="AH20" s="1427"/>
      <c r="AI20" s="1427"/>
      <c r="AJ20" s="1427"/>
      <c r="AK20" s="1427"/>
      <c r="AL20" s="24"/>
    </row>
    <row r="21" spans="3:38" x14ac:dyDescent="0.15">
      <c r="Y21" s="12"/>
      <c r="Z21" s="1427"/>
      <c r="AA21" s="1427"/>
      <c r="AB21" s="1427"/>
      <c r="AC21" s="1427"/>
      <c r="AD21" s="1427"/>
      <c r="AE21" s="1427"/>
      <c r="AF21" s="1427"/>
      <c r="AG21" s="1427"/>
      <c r="AH21" s="1427"/>
      <c r="AI21" s="1427"/>
      <c r="AJ21" s="1427"/>
      <c r="AK21" s="1427"/>
      <c r="AL21" s="24"/>
    </row>
    <row r="22" spans="3:38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  <c r="Y22" s="283"/>
      <c r="Z22" s="525" t="str" cm="1">
        <f t="array" ref="Z22">INDEX(KirjastoC!D4:K125,56,KirjastoC!B4)</f>
        <v>Laskentaohjelman laatinut Insinööritoimisto W. Zenner Oy. Laskentaohjelma perustuu SFS-EN 13141-7 mukaisiin laboratoriomittauksiin.</v>
      </c>
      <c r="AA22" s="281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5"/>
    </row>
    <row r="23" spans="3:38" x14ac:dyDescent="0.15">
      <c r="C23" t="str" cm="1">
        <f t="array" ref="C23">INDEX(KirjastoC!D4:K125,69,KirjastoC!B4)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1</v>
      </c>
      <c r="M23">
        <f>INDEX(F23:F25,$L$23)</f>
        <v>6552</v>
      </c>
      <c r="N23">
        <f t="shared" ref="N23:Q23" si="2">INDEX(G23:G25,$L$23)</f>
        <v>14.5</v>
      </c>
      <c r="O23">
        <f t="shared" si="2"/>
        <v>1003</v>
      </c>
      <c r="P23">
        <f t="shared" si="2"/>
        <v>5.2</v>
      </c>
      <c r="Q23">
        <f t="shared" si="2"/>
        <v>5.82</v>
      </c>
    </row>
    <row r="24" spans="3:38" x14ac:dyDescent="0.15">
      <c r="C24" t="str" cm="1">
        <f t="array" ref="C24">INDEX(KirjastoC!D4:K125,70,KirjastoC!B4)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38" x14ac:dyDescent="0.15">
      <c r="C25" t="str" cm="1">
        <f t="array" ref="C25">INDEX(KirjastoC!D4:K125,71,KirjastoC!B4)</f>
        <v>Lämmin</v>
      </c>
      <c r="F25" s="4">
        <v>4392</v>
      </c>
      <c r="G25" s="4">
        <v>5</v>
      </c>
      <c r="H25" s="4"/>
      <c r="I25" s="4"/>
      <c r="J25" s="4"/>
    </row>
    <row r="27" spans="3:38" x14ac:dyDescent="0.15">
      <c r="C27" s="2" t="s">
        <v>153</v>
      </c>
      <c r="F27" s="2" t="s">
        <v>155</v>
      </c>
    </row>
    <row r="28" spans="3:38" ht="17" x14ac:dyDescent="0.25">
      <c r="C28" t="s">
        <v>159</v>
      </c>
      <c r="F28">
        <v>3.4400000000000001E-4</v>
      </c>
    </row>
    <row r="29" spans="3:38" ht="17" x14ac:dyDescent="0.25">
      <c r="C29" t="s">
        <v>160</v>
      </c>
      <c r="F29">
        <v>1.3</v>
      </c>
    </row>
    <row r="30" spans="3:38" ht="17" x14ac:dyDescent="0.25">
      <c r="C30" t="s">
        <v>161</v>
      </c>
      <c r="F30">
        <v>2.2000000000000002</v>
      </c>
    </row>
    <row r="31" spans="3:38" ht="17" x14ac:dyDescent="0.25">
      <c r="C31" t="s">
        <v>162</v>
      </c>
      <c r="F31">
        <v>8760</v>
      </c>
    </row>
    <row r="32" spans="3:38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v>0.85285</v>
      </c>
    </row>
    <row r="36" spans="3:7" x14ac:dyDescent="0.15">
      <c r="C36" t="s">
        <v>75</v>
      </c>
      <c r="F36" s="125">
        <f>TuloksetC!N37</f>
        <v>0.99833518954912692</v>
      </c>
      <c r="G36" t="s">
        <v>175</v>
      </c>
    </row>
    <row r="37" spans="3:7" x14ac:dyDescent="0.15">
      <c r="C37" s="2" t="s">
        <v>173</v>
      </c>
      <c r="F37" s="124">
        <f>F36/(60*60)</f>
        <v>2.7731533043031303E-4</v>
      </c>
      <c r="G37" t="s">
        <v>174</v>
      </c>
    </row>
  </sheetData>
  <mergeCells count="17">
    <mergeCell ref="AJ13:AK13"/>
    <mergeCell ref="AJ14:AK14"/>
    <mergeCell ref="AD15:AE15"/>
    <mergeCell ref="AF15:AG16"/>
    <mergeCell ref="AJ15:AK15"/>
    <mergeCell ref="Z10:AE10"/>
    <mergeCell ref="AJ10:AK10"/>
    <mergeCell ref="Z11:AE11"/>
    <mergeCell ref="AJ11:AK11"/>
    <mergeCell ref="AJ12:AK12"/>
    <mergeCell ref="AJ17:AK17"/>
    <mergeCell ref="AJ18:AK18"/>
    <mergeCell ref="Z20:AK21"/>
    <mergeCell ref="AD16:AE16"/>
    <mergeCell ref="AJ16:AK16"/>
    <mergeCell ref="AD17:AE18"/>
    <mergeCell ref="AF17:AG18"/>
  </mergeCells>
  <conditionalFormatting sqref="AF17">
    <cfRule type="expression" dxfId="78" priority="1">
      <formula>$I$71&gt;0</formula>
    </cfRule>
    <cfRule type="expression" dxfId="77" priority="2">
      <formula>$I$71&lt;-42</formula>
    </cfRule>
    <cfRule type="expression" dxfId="76" priority="3">
      <formula>$I$71&lt;-34</formula>
    </cfRule>
    <cfRule type="expression" dxfId="75" priority="4">
      <formula>$I$71&lt;-26</formula>
    </cfRule>
    <cfRule type="expression" dxfId="74" priority="5">
      <formula>$I$71&lt;-23</formula>
    </cfRule>
    <cfRule type="expression" dxfId="73" priority="6">
      <formula>$I$71&lt;-20</formula>
    </cfRule>
    <cfRule type="expression" dxfId="72" priority="7">
      <formula>$I$71&lt;-10</formula>
    </cfRule>
    <cfRule type="expression" dxfId="71" priority="8">
      <formula>$I$71&lt;0</formula>
    </cfRule>
  </conditionalFormatting>
  <hyperlinks>
    <hyperlink ref="AB19" r:id="rId1" xr:uid="{C87D61F6-FB47-4DB3-9799-CCAEE96D075C}"/>
    <hyperlink ref="AC19" r:id="rId2" xr:uid="{F51A5B0F-D332-4334-AA0D-53EC448642E6}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5" name="Drop Down 1">
              <controlPr defaultSize="0" autoLine="0" autoPict="0">
                <anchor moveWithCells="1">
                  <from>
                    <xdr:col>26</xdr:col>
                    <xdr:colOff>63500</xdr:colOff>
                    <xdr:row>14</xdr:row>
                    <xdr:rowOff>0</xdr:rowOff>
                  </from>
                  <to>
                    <xdr:col>29</xdr:col>
                    <xdr:colOff>63500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6" name="Drop Down 2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38100</xdr:rowOff>
                  </from>
                  <to>
                    <xdr:col>29</xdr:col>
                    <xdr:colOff>63500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7" name="Drop Down 3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266700</xdr:rowOff>
                  </from>
                  <to>
                    <xdr:col>29</xdr:col>
                    <xdr:colOff>50800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8" name="Drop Down 4">
              <controlPr defaultSize="0" autoLine="0" autoPict="0">
                <anchor moveWithCells="1">
                  <from>
                    <xdr:col>26</xdr:col>
                    <xdr:colOff>63500</xdr:colOff>
                    <xdr:row>16</xdr:row>
                    <xdr:rowOff>254000</xdr:rowOff>
                  </from>
                  <to>
                    <xdr:col>29</xdr:col>
                    <xdr:colOff>50800</xdr:colOff>
                    <xdr:row>18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5593-0F3A-45C7-B7A5-901D44387F63}">
  <dimension ref="E1:BF170"/>
  <sheetViews>
    <sheetView topLeftCell="A9" zoomScale="85" zoomScaleNormal="85" workbookViewId="0">
      <selection activeCell="X45" sqref="X45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18" max="18" width="14" customWidth="1"/>
    <col min="19" max="19" width="16.5" customWidth="1"/>
    <col min="20" max="20" width="24.6640625" customWidth="1"/>
    <col min="21" max="21" width="16.5" customWidth="1"/>
    <col min="24" max="24" width="29" customWidth="1"/>
    <col min="25" max="26" width="38.33203125" customWidth="1"/>
    <col min="27" max="27" width="37.33203125" customWidth="1"/>
    <col min="39" max="40" width="15.5" customWidth="1"/>
    <col min="41" max="41" width="27.83203125" customWidth="1"/>
    <col min="42" max="42" width="15.5" customWidth="1"/>
    <col min="44" max="47" width="16.83203125" customWidth="1"/>
    <col min="49" max="49" width="12.1640625" bestFit="1" customWidth="1"/>
    <col min="50" max="51" width="9.33203125" bestFit="1" customWidth="1"/>
  </cols>
  <sheetData>
    <row r="1" spans="5:58" ht="14" thickBot="1" x14ac:dyDescent="0.2"/>
    <row r="2" spans="5:58" ht="15" thickBot="1" x14ac:dyDescent="0.2">
      <c r="M2" t="s">
        <v>1265</v>
      </c>
      <c r="AF2" s="696" t="s">
        <v>1255</v>
      </c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1"/>
    </row>
    <row r="3" spans="5:58" ht="15" x14ac:dyDescent="0.2">
      <c r="E3" s="228" t="s">
        <v>273</v>
      </c>
      <c r="F3" s="229">
        <f>TuloksetC!C6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10" t="s">
        <v>1256</v>
      </c>
      <c r="O3" s="911" t="s">
        <v>1259</v>
      </c>
      <c r="W3" s="943"/>
      <c r="X3" s="943"/>
      <c r="Y3" s="945" t="s">
        <v>2085</v>
      </c>
      <c r="Z3" s="946" t="s">
        <v>2085</v>
      </c>
      <c r="AA3" s="947"/>
      <c r="AF3" s="697" t="s">
        <v>1209</v>
      </c>
      <c r="AG3" s="674"/>
      <c r="AH3" s="674"/>
      <c r="AI3" s="674"/>
      <c r="AJ3" s="675"/>
      <c r="AK3" s="12"/>
      <c r="AM3" s="698"/>
      <c r="AN3" s="699" t="s">
        <v>1210</v>
      </c>
      <c r="AO3" s="698"/>
      <c r="AP3" s="698"/>
      <c r="AR3" s="699" t="s">
        <v>1211</v>
      </c>
      <c r="AS3" s="698"/>
      <c r="AT3" s="698"/>
      <c r="AU3" s="698"/>
      <c r="AV3" s="698"/>
      <c r="AW3" s="698"/>
      <c r="AX3" s="698"/>
      <c r="AY3" s="698"/>
      <c r="AZ3" s="698"/>
      <c r="BA3" s="698"/>
      <c r="BB3" s="698"/>
      <c r="BC3" s="698"/>
      <c r="BD3" s="698"/>
      <c r="BE3" s="698"/>
      <c r="BF3" s="700"/>
    </row>
    <row r="4" spans="5:58" ht="21" x14ac:dyDescent="0.25">
      <c r="E4" s="232" t="s">
        <v>280</v>
      </c>
      <c r="F4" s="233">
        <f>INDEX(L4:L9,$F$3)</f>
        <v>-6.5</v>
      </c>
      <c r="H4" s="234">
        <v>1</v>
      </c>
      <c r="I4" t="s">
        <v>2041</v>
      </c>
      <c r="J4" s="4">
        <v>100</v>
      </c>
      <c r="K4" s="4">
        <v>700</v>
      </c>
      <c r="L4" s="942">
        <v>-6.5</v>
      </c>
      <c r="M4" s="969">
        <v>0.82</v>
      </c>
      <c r="N4" s="734">
        <f>IFERROR(IF($F$3=H4,$G$38,"-"),"-")</f>
        <v>0.85299999999999998</v>
      </c>
      <c r="O4" s="912">
        <f>IFERROR(IF($F$3=H4,$G$39,"-"),"-")</f>
        <v>0.80999999999999994</v>
      </c>
      <c r="P4" s="927"/>
      <c r="Q4" s="927"/>
      <c r="R4" s="927"/>
      <c r="S4" s="927"/>
      <c r="T4" s="927"/>
      <c r="U4" s="927"/>
      <c r="V4" s="927"/>
      <c r="W4" s="943"/>
      <c r="X4" s="943"/>
      <c r="Y4" s="948"/>
      <c r="Z4" s="949"/>
      <c r="AA4" s="950"/>
      <c r="AB4" s="927"/>
      <c r="AC4" s="927"/>
      <c r="AD4" s="927"/>
      <c r="AF4" s="701"/>
      <c r="AG4" s="286"/>
      <c r="AH4" s="286"/>
      <c r="AI4" s="286"/>
      <c r="AJ4" s="662"/>
      <c r="AK4" s="12"/>
      <c r="AM4" s="698"/>
      <c r="AN4" s="702"/>
      <c r="AO4" s="698"/>
      <c r="AP4" s="698"/>
      <c r="AR4" s="702" t="s">
        <v>1212</v>
      </c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700"/>
    </row>
    <row r="5" spans="5:58" ht="15" x14ac:dyDescent="0.2">
      <c r="E5" s="232" t="s">
        <v>276</v>
      </c>
      <c r="F5" s="233">
        <f>INDEX(J4:J9,$F$3)</f>
        <v>100</v>
      </c>
      <c r="H5" s="234">
        <v>2</v>
      </c>
      <c r="J5" s="4"/>
      <c r="K5" s="4"/>
      <c r="L5" s="235"/>
      <c r="M5" s="243"/>
      <c r="N5" s="735" t="str">
        <f t="shared" ref="N5:N7" si="0">IF($F$3=H5,$G$38,"-")</f>
        <v>-</v>
      </c>
      <c r="O5" s="913" t="str">
        <f t="shared" ref="O5:O7" si="1">IF($F$3=H5,$G$39,"-")</f>
        <v>-</v>
      </c>
      <c r="P5" s="199"/>
      <c r="Q5" s="199"/>
      <c r="R5" s="199"/>
      <c r="S5" s="199"/>
      <c r="T5" s="199"/>
      <c r="U5" s="199"/>
      <c r="V5" s="199"/>
      <c r="W5" s="943"/>
      <c r="X5" s="943"/>
      <c r="Y5" s="951"/>
      <c r="Z5" s="952"/>
      <c r="AA5" s="950" t="s">
        <v>2086</v>
      </c>
      <c r="AB5" s="199"/>
      <c r="AC5" s="199"/>
      <c r="AD5" s="199"/>
      <c r="AF5" s="701"/>
      <c r="AG5" s="286"/>
      <c r="AH5" s="286"/>
      <c r="AI5" s="286"/>
      <c r="AJ5" s="662"/>
      <c r="AK5" s="12"/>
      <c r="AM5" s="703"/>
      <c r="AN5" s="703"/>
      <c r="AO5" s="703"/>
      <c r="AP5" s="703"/>
      <c r="AR5" s="703"/>
      <c r="AS5" s="703"/>
      <c r="AT5" s="703"/>
      <c r="AU5" s="703"/>
      <c r="AV5" s="703"/>
      <c r="AW5" s="703"/>
      <c r="AX5" s="703"/>
      <c r="AY5" s="703"/>
      <c r="AZ5" s="703"/>
      <c r="BA5" s="703"/>
      <c r="BB5" s="703"/>
      <c r="BC5" s="703"/>
      <c r="BD5" s="703"/>
      <c r="BE5" s="703"/>
      <c r="BF5" s="704"/>
    </row>
    <row r="6" spans="5:58" ht="32" x14ac:dyDescent="0.2">
      <c r="E6" s="232" t="s">
        <v>277</v>
      </c>
      <c r="F6" s="233">
        <f>INDEX(K4:K9,$F$3)</f>
        <v>700</v>
      </c>
      <c r="H6" s="234">
        <v>3</v>
      </c>
      <c r="J6" s="4"/>
      <c r="K6" s="4"/>
      <c r="L6" s="235"/>
      <c r="M6" s="243"/>
      <c r="N6" s="734" t="str">
        <f t="shared" si="0"/>
        <v>-</v>
      </c>
      <c r="O6" s="912" t="str">
        <f t="shared" si="1"/>
        <v>-</v>
      </c>
      <c r="P6" s="927"/>
      <c r="Q6" s="927"/>
      <c r="R6" s="927"/>
      <c r="S6" s="927"/>
      <c r="T6" s="927"/>
      <c r="U6" s="927"/>
      <c r="V6" s="927"/>
      <c r="W6" s="944"/>
      <c r="X6" s="953"/>
      <c r="Y6" s="954" t="s">
        <v>2087</v>
      </c>
      <c r="Z6" s="955" t="s">
        <v>2087</v>
      </c>
      <c r="AA6" s="956" t="s">
        <v>2088</v>
      </c>
      <c r="AB6" s="927"/>
      <c r="AC6" s="927"/>
      <c r="AD6" s="927"/>
      <c r="AF6" s="701"/>
      <c r="AG6" s="705" t="s">
        <v>1213</v>
      </c>
      <c r="AH6" s="286"/>
      <c r="AI6" s="286"/>
      <c r="AJ6" s="662"/>
      <c r="AK6" s="12"/>
      <c r="AM6" s="703"/>
      <c r="AN6" s="706"/>
      <c r="AO6" s="703"/>
      <c r="AP6" s="703"/>
      <c r="AR6" s="703"/>
      <c r="AS6" s="703"/>
      <c r="AT6" s="703"/>
      <c r="AU6" s="703"/>
      <c r="AV6" s="703"/>
      <c r="AW6" s="703"/>
      <c r="AX6" s="703"/>
      <c r="AY6" s="703"/>
      <c r="AZ6" s="703"/>
      <c r="BA6" s="703"/>
      <c r="BB6" s="703"/>
      <c r="BC6" s="703"/>
      <c r="BD6" s="703"/>
      <c r="BE6" s="703"/>
      <c r="BF6" s="704"/>
    </row>
    <row r="7" spans="5:58" ht="33" thickBot="1" x14ac:dyDescent="0.25">
      <c r="E7" s="236" t="s">
        <v>284</v>
      </c>
      <c r="F7" s="237">
        <f>INDEX(M4:M9,$F$3)</f>
        <v>0.82</v>
      </c>
      <c r="G7" s="238"/>
      <c r="H7" s="369">
        <v>4</v>
      </c>
      <c r="I7" s="238"/>
      <c r="J7" s="428"/>
      <c r="K7" s="428"/>
      <c r="L7" s="370"/>
      <c r="M7" s="673"/>
      <c r="N7" s="914" t="str">
        <f t="shared" si="0"/>
        <v>-</v>
      </c>
      <c r="O7" s="915" t="str">
        <f t="shared" si="1"/>
        <v>-</v>
      </c>
      <c r="P7" s="927"/>
      <c r="Q7" s="927"/>
      <c r="R7" s="927"/>
      <c r="S7" s="927"/>
      <c r="T7" s="927"/>
      <c r="U7" s="927"/>
      <c r="V7" s="927"/>
      <c r="W7" s="958" t="s">
        <v>470</v>
      </c>
      <c r="X7" s="958" t="s">
        <v>2089</v>
      </c>
      <c r="Y7" s="959" t="s">
        <v>1295</v>
      </c>
      <c r="Z7" s="960" t="s">
        <v>2090</v>
      </c>
      <c r="AA7" s="961" t="s">
        <v>2091</v>
      </c>
      <c r="AB7" s="927"/>
      <c r="AC7" s="927"/>
      <c r="AD7" s="927"/>
      <c r="AF7" s="701"/>
      <c r="AG7" s="286"/>
      <c r="AH7" s="286"/>
      <c r="AI7" s="286"/>
      <c r="AJ7" s="662"/>
      <c r="AK7" s="12"/>
      <c r="AM7" s="703"/>
      <c r="AN7" s="703"/>
      <c r="AO7" s="703"/>
      <c r="AP7" s="703"/>
      <c r="AR7" s="703"/>
      <c r="AS7" s="703"/>
      <c r="AT7" s="703"/>
      <c r="AU7" s="703"/>
      <c r="AV7" s="703"/>
      <c r="AW7" s="703"/>
      <c r="AX7" s="703"/>
      <c r="AY7" s="703"/>
      <c r="AZ7" s="703"/>
      <c r="BA7" s="703"/>
      <c r="BB7" s="703"/>
      <c r="BC7" s="703"/>
      <c r="BD7" s="703"/>
      <c r="BE7" s="703"/>
      <c r="BF7" s="704"/>
    </row>
    <row r="8" spans="5:58" ht="15" x14ac:dyDescent="0.2">
      <c r="W8" s="962">
        <v>100</v>
      </c>
      <c r="X8" s="957"/>
      <c r="Y8" s="963">
        <v>83</v>
      </c>
      <c r="Z8" s="964">
        <v>87</v>
      </c>
      <c r="AA8" s="965">
        <v>91.3</v>
      </c>
      <c r="AF8" s="701"/>
      <c r="AG8" s="286"/>
      <c r="AH8" s="286"/>
      <c r="AI8" s="286"/>
      <c r="AJ8" s="662"/>
      <c r="AK8" s="12"/>
      <c r="AM8" s="703"/>
      <c r="AN8" s="703"/>
      <c r="AO8" s="703"/>
      <c r="AP8" s="703"/>
      <c r="AR8" s="703"/>
      <c r="AS8" s="703"/>
      <c r="AT8" s="707"/>
      <c r="AU8" s="708"/>
      <c r="AV8" s="703"/>
      <c r="AW8" s="703"/>
      <c r="AX8" s="703"/>
      <c r="AY8" s="703"/>
      <c r="AZ8" s="703"/>
      <c r="BA8" s="703"/>
      <c r="BB8" s="703"/>
      <c r="BC8" s="703"/>
      <c r="BD8" s="703"/>
      <c r="BE8" s="703"/>
      <c r="BF8" s="704"/>
    </row>
    <row r="9" spans="5:58" ht="15" x14ac:dyDescent="0.2"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962">
        <v>200</v>
      </c>
      <c r="X9" s="962">
        <v>83.4</v>
      </c>
      <c r="Y9" s="963">
        <v>83.4</v>
      </c>
      <c r="Z9" s="964">
        <v>86.9</v>
      </c>
      <c r="AA9" s="965">
        <v>86.9</v>
      </c>
      <c r="AB9" s="233"/>
      <c r="AC9" s="233"/>
      <c r="AD9" s="233"/>
      <c r="AF9" s="701"/>
      <c r="AG9" s="286" t="s">
        <v>1214</v>
      </c>
      <c r="AH9" s="286"/>
      <c r="AI9" s="286"/>
      <c r="AJ9" s="662"/>
      <c r="AK9" s="12"/>
      <c r="AM9" s="1501" t="s">
        <v>115</v>
      </c>
      <c r="AN9" s="1501"/>
      <c r="AO9" s="1501"/>
      <c r="AP9" s="1502"/>
      <c r="AQ9" s="709"/>
      <c r="AR9" s="710"/>
      <c r="AS9" s="710"/>
      <c r="AT9" s="707"/>
      <c r="AU9" s="711"/>
      <c r="AV9" s="710"/>
      <c r="AW9" s="703"/>
      <c r="AX9" s="703"/>
      <c r="AY9" s="703"/>
      <c r="AZ9" s="703"/>
      <c r="BA9" s="703"/>
      <c r="BB9" s="703"/>
      <c r="BC9" s="703"/>
      <c r="BD9" s="703"/>
      <c r="BE9" s="703"/>
      <c r="BF9" s="704"/>
    </row>
    <row r="10" spans="5:58" ht="18" customHeight="1" x14ac:dyDescent="0.2">
      <c r="F10" s="233"/>
      <c r="G10" s="233"/>
      <c r="H10" s="233"/>
      <c r="I10" s="233"/>
      <c r="J10" s="4"/>
      <c r="K10" s="4"/>
      <c r="L10" s="235"/>
      <c r="M10" s="243"/>
      <c r="W10" s="962">
        <v>300</v>
      </c>
      <c r="X10" s="962">
        <v>85.2</v>
      </c>
      <c r="Y10" s="963">
        <v>85.2</v>
      </c>
      <c r="Z10" s="964">
        <v>84</v>
      </c>
      <c r="AA10" s="965">
        <v>84.1</v>
      </c>
      <c r="AF10" s="701"/>
      <c r="AG10" s="286" t="s">
        <v>1215</v>
      </c>
      <c r="AH10" s="286"/>
      <c r="AI10" s="286"/>
      <c r="AJ10" s="662"/>
      <c r="AK10" s="12"/>
      <c r="AM10" s="676" t="s">
        <v>1216</v>
      </c>
      <c r="AN10" s="677" t="s">
        <v>1217</v>
      </c>
      <c r="AO10" s="678" t="s">
        <v>1218</v>
      </c>
      <c r="AP10" s="679"/>
      <c r="AQ10" s="712"/>
      <c r="AR10" s="679" t="s">
        <v>1219</v>
      </c>
      <c r="AS10" s="679" t="s">
        <v>1220</v>
      </c>
      <c r="AT10" s="679" t="s">
        <v>1221</v>
      </c>
      <c r="AU10" s="679" t="s">
        <v>1222</v>
      </c>
      <c r="AV10" s="713"/>
      <c r="AW10" s="703"/>
      <c r="AX10" s="703"/>
      <c r="AY10" s="703"/>
      <c r="AZ10" s="703"/>
      <c r="BA10" s="703"/>
      <c r="BB10" s="703"/>
      <c r="BC10" s="703"/>
      <c r="BD10" s="703"/>
      <c r="BE10" s="703"/>
      <c r="BF10" s="704"/>
    </row>
    <row r="11" spans="5:58" ht="15" x14ac:dyDescent="0.2">
      <c r="F11" s="233"/>
      <c r="G11" s="233"/>
      <c r="H11" s="233"/>
      <c r="I11" s="233"/>
      <c r="J11" s="4"/>
      <c r="K11" s="4"/>
      <c r="L11" s="235"/>
      <c r="M11" s="243"/>
      <c r="W11" s="962">
        <v>400</v>
      </c>
      <c r="X11" s="962">
        <v>84.1</v>
      </c>
      <c r="Y11" s="963">
        <v>85.3</v>
      </c>
      <c r="Z11" s="964">
        <v>82.2</v>
      </c>
      <c r="AA11" s="965">
        <v>82.2</v>
      </c>
      <c r="AF11" s="701"/>
      <c r="AG11" s="286" t="s">
        <v>1223</v>
      </c>
      <c r="AH11" s="286"/>
      <c r="AI11" s="286"/>
      <c r="AJ11" s="662"/>
      <c r="AK11" s="12"/>
      <c r="AM11" s="680"/>
      <c r="AN11" s="681">
        <v>25</v>
      </c>
      <c r="AO11" s="681"/>
      <c r="AP11" s="682"/>
      <c r="AQ11" s="714"/>
      <c r="AR11" s="683">
        <v>18</v>
      </c>
      <c r="AS11" s="684">
        <v>79.5</v>
      </c>
      <c r="AT11" s="682">
        <v>79.8</v>
      </c>
      <c r="AU11" s="682">
        <v>81.75</v>
      </c>
      <c r="AV11" s="715"/>
      <c r="AW11" s="703"/>
      <c r="AX11" s="703"/>
      <c r="AY11" s="703"/>
      <c r="AZ11" s="703"/>
      <c r="BA11" s="703"/>
      <c r="BB11" s="703"/>
      <c r="BC11" s="703"/>
      <c r="BD11" s="703"/>
      <c r="BE11" s="703"/>
      <c r="BF11" s="704"/>
    </row>
    <row r="12" spans="5:58" ht="15" x14ac:dyDescent="0.2">
      <c r="E12" s="2"/>
      <c r="F12" s="233"/>
      <c r="G12" s="233"/>
      <c r="H12" s="233"/>
      <c r="I12" s="233"/>
      <c r="J12" s="4"/>
      <c r="K12" s="4"/>
      <c r="L12" s="235"/>
      <c r="M12" s="243"/>
      <c r="W12" s="962">
        <v>500</v>
      </c>
      <c r="X12" s="962">
        <v>85.3</v>
      </c>
      <c r="Y12" s="963">
        <v>85.3</v>
      </c>
      <c r="Z12" s="964">
        <v>81</v>
      </c>
      <c r="AA12" s="965">
        <v>81</v>
      </c>
      <c r="AF12" s="701"/>
      <c r="AG12" s="286" t="s">
        <v>1224</v>
      </c>
      <c r="AH12" s="286"/>
      <c r="AI12" s="286"/>
      <c r="AJ12" s="662"/>
      <c r="AK12" s="12"/>
      <c r="AM12" s="680">
        <v>3.4</v>
      </c>
      <c r="AN12" s="681">
        <v>34</v>
      </c>
      <c r="AO12" s="681">
        <v>80.099999999999994</v>
      </c>
      <c r="AP12" s="682"/>
      <c r="AQ12" s="714"/>
      <c r="AR12" s="683">
        <v>28</v>
      </c>
      <c r="AS12" s="684">
        <v>79.5</v>
      </c>
      <c r="AT12" s="682">
        <v>79.7</v>
      </c>
      <c r="AU12" s="682">
        <v>81.5</v>
      </c>
      <c r="AV12" s="715"/>
      <c r="AW12" s="703"/>
      <c r="AX12" s="703"/>
      <c r="AY12" s="703"/>
      <c r="AZ12" s="703"/>
      <c r="BA12" s="703"/>
      <c r="BB12" s="703"/>
      <c r="BC12" s="703"/>
      <c r="BD12" s="703"/>
      <c r="BE12" s="703"/>
      <c r="BF12" s="704"/>
    </row>
    <row r="13" spans="5:58" ht="15" x14ac:dyDescent="0.2">
      <c r="F13" s="233"/>
      <c r="G13" s="233"/>
      <c r="H13" s="233"/>
      <c r="I13" s="233"/>
      <c r="J13" s="4"/>
      <c r="K13" s="4"/>
      <c r="L13" s="235"/>
      <c r="M13" s="243"/>
      <c r="W13" s="962">
        <v>600</v>
      </c>
      <c r="X13" s="957"/>
      <c r="Y13" s="963">
        <v>85.1</v>
      </c>
      <c r="Z13" s="964">
        <v>79.900000000000006</v>
      </c>
      <c r="AA13" s="965">
        <v>79.900000000000006</v>
      </c>
      <c r="AF13" s="701"/>
      <c r="AG13" s="286"/>
      <c r="AH13" s="286"/>
      <c r="AI13" s="286"/>
      <c r="AJ13" s="662"/>
      <c r="AK13" s="12"/>
      <c r="AM13" s="680">
        <v>3.8</v>
      </c>
      <c r="AN13" s="681">
        <v>43</v>
      </c>
      <c r="AO13" s="681">
        <v>80.7</v>
      </c>
      <c r="AP13" s="682"/>
      <c r="AQ13" s="714"/>
      <c r="AR13" s="683">
        <v>36</v>
      </c>
      <c r="AS13" s="684">
        <v>79.5</v>
      </c>
      <c r="AT13" s="682">
        <v>79.599999999999994</v>
      </c>
      <c r="AU13" s="682">
        <v>81</v>
      </c>
      <c r="AV13" s="715"/>
      <c r="AW13" s="703"/>
      <c r="AX13" s="703"/>
      <c r="AY13" s="703"/>
      <c r="AZ13" s="703"/>
      <c r="BA13" s="703"/>
      <c r="BB13" s="703"/>
      <c r="BC13" s="703"/>
      <c r="BD13" s="703"/>
      <c r="BE13" s="703"/>
      <c r="BF13" s="704"/>
    </row>
    <row r="14" spans="5:58" ht="14.5" customHeight="1" thickBot="1" x14ac:dyDescent="0.25">
      <c r="F14" s="233"/>
      <c r="G14" s="233"/>
      <c r="H14" s="233"/>
      <c r="I14" s="233"/>
      <c r="J14" s="4"/>
      <c r="K14" s="4"/>
      <c r="L14" s="235"/>
      <c r="M14" s="243"/>
      <c r="W14" s="962">
        <v>700</v>
      </c>
      <c r="X14" s="957"/>
      <c r="Y14" s="963">
        <v>85</v>
      </c>
      <c r="Z14" s="964">
        <v>79.099999999999994</v>
      </c>
      <c r="AA14" s="966">
        <v>79.099999999999994</v>
      </c>
      <c r="AF14" s="701"/>
      <c r="AG14" s="286" t="s">
        <v>1225</v>
      </c>
      <c r="AH14" s="286"/>
      <c r="AI14" s="286"/>
      <c r="AJ14" s="662"/>
      <c r="AK14" s="12"/>
      <c r="AM14" s="680">
        <v>5.9</v>
      </c>
      <c r="AN14" s="681">
        <v>74</v>
      </c>
      <c r="AO14" s="681">
        <v>81.5</v>
      </c>
      <c r="AP14" s="682"/>
      <c r="AQ14" s="714"/>
      <c r="AR14" s="683">
        <v>61.5</v>
      </c>
      <c r="AS14" s="684">
        <v>79.5</v>
      </c>
      <c r="AT14" s="682">
        <v>79.5</v>
      </c>
      <c r="AU14" s="682">
        <v>80.3</v>
      </c>
      <c r="AV14" s="715"/>
      <c r="AW14" s="703"/>
      <c r="AX14" s="703"/>
      <c r="AY14" s="703"/>
      <c r="AZ14" s="703"/>
      <c r="BA14" s="703"/>
      <c r="BB14" s="703"/>
      <c r="BC14" s="703"/>
      <c r="BD14" s="703"/>
      <c r="BE14" s="703"/>
      <c r="BF14" s="704"/>
    </row>
    <row r="15" spans="5:58" ht="15" x14ac:dyDescent="0.2">
      <c r="F15" s="233"/>
      <c r="G15" s="233"/>
      <c r="H15" s="233"/>
      <c r="I15" s="233"/>
      <c r="J15" s="4"/>
      <c r="K15" s="4"/>
      <c r="L15" s="235"/>
      <c r="M15" s="243"/>
      <c r="W15" s="943"/>
      <c r="X15" s="943"/>
      <c r="Y15" s="943"/>
      <c r="Z15" s="967" t="s">
        <v>2092</v>
      </c>
      <c r="AA15" s="943"/>
      <c r="AF15" s="701"/>
      <c r="AG15" s="286"/>
      <c r="AH15" s="286" t="s">
        <v>1226</v>
      </c>
      <c r="AI15" s="286" t="s">
        <v>1227</v>
      </c>
      <c r="AJ15" s="662"/>
      <c r="AK15" s="12"/>
      <c r="AM15" s="680">
        <v>9.1999999999999993</v>
      </c>
      <c r="AN15" s="681">
        <v>108</v>
      </c>
      <c r="AO15" s="681">
        <v>83.1</v>
      </c>
      <c r="AP15" s="682"/>
      <c r="AQ15" s="714"/>
      <c r="AR15" s="683">
        <v>90</v>
      </c>
      <c r="AS15" s="684">
        <v>79.5</v>
      </c>
      <c r="AT15" s="682">
        <v>78.5</v>
      </c>
      <c r="AU15" s="682">
        <v>79.5</v>
      </c>
      <c r="AV15" s="715"/>
      <c r="AW15" s="703"/>
      <c r="AX15" s="703"/>
      <c r="AY15" s="703"/>
      <c r="AZ15" s="703"/>
      <c r="BA15" s="703"/>
      <c r="BB15" s="703"/>
      <c r="BC15" s="703"/>
      <c r="BD15" s="703"/>
      <c r="BE15" s="703"/>
      <c r="BF15" s="704"/>
    </row>
    <row r="16" spans="5:58" ht="15" x14ac:dyDescent="0.2">
      <c r="F16" s="233"/>
      <c r="G16" s="233"/>
      <c r="H16" s="233"/>
      <c r="I16" s="233"/>
      <c r="J16" s="4"/>
      <c r="K16" s="4"/>
      <c r="L16" s="235"/>
      <c r="M16" s="243"/>
      <c r="W16" s="943"/>
      <c r="X16" s="943"/>
      <c r="Y16" s="943"/>
      <c r="Z16" s="967"/>
      <c r="AA16" s="943"/>
      <c r="AF16" s="701"/>
      <c r="AG16" s="286"/>
      <c r="AH16" s="286">
        <v>50</v>
      </c>
      <c r="AI16" s="286">
        <v>79.5</v>
      </c>
      <c r="AJ16" s="662"/>
      <c r="AK16" s="12"/>
      <c r="AM16" s="680"/>
      <c r="AN16" s="681">
        <v>130</v>
      </c>
      <c r="AO16" s="681"/>
      <c r="AP16" s="682"/>
      <c r="AQ16" s="714"/>
      <c r="AR16" s="683">
        <v>130</v>
      </c>
      <c r="AS16" s="684">
        <v>79.5</v>
      </c>
      <c r="AT16" s="682">
        <v>78</v>
      </c>
      <c r="AU16" s="682">
        <v>78.2</v>
      </c>
      <c r="AV16" s="715"/>
      <c r="AW16" s="703"/>
      <c r="AX16" s="703"/>
      <c r="AY16" s="703"/>
      <c r="AZ16" s="703"/>
      <c r="BA16" s="703"/>
      <c r="BB16" s="703"/>
      <c r="BC16" s="703"/>
      <c r="BD16" s="703"/>
      <c r="BE16" s="703"/>
      <c r="BF16" s="704"/>
    </row>
    <row r="17" spans="5:58" ht="15" x14ac:dyDescent="0.2">
      <c r="F17" s="233"/>
      <c r="G17" s="233"/>
      <c r="H17" s="233"/>
      <c r="I17" s="233"/>
      <c r="J17" s="4"/>
      <c r="K17" s="4"/>
      <c r="L17" s="235"/>
      <c r="M17" s="243"/>
      <c r="W17" s="943"/>
      <c r="X17" s="968" t="s">
        <v>2093</v>
      </c>
      <c r="Y17" s="943"/>
      <c r="Z17" s="943"/>
      <c r="AA17" s="943"/>
      <c r="AF17" s="701"/>
      <c r="AG17" s="286"/>
      <c r="AH17" s="286">
        <v>100</v>
      </c>
      <c r="AI17" s="286">
        <v>79.5</v>
      </c>
      <c r="AJ17" s="662"/>
      <c r="AK17" s="12"/>
      <c r="AM17" s="703"/>
      <c r="AN17" s="703"/>
      <c r="AO17" s="703"/>
      <c r="AP17" s="703"/>
      <c r="AR17" s="731">
        <f>AR16</f>
        <v>130</v>
      </c>
      <c r="AS17" s="731">
        <f t="shared" ref="AS17:AU17" si="2">AS16</f>
        <v>79.5</v>
      </c>
      <c r="AT17" s="731">
        <f t="shared" si="2"/>
        <v>78</v>
      </c>
      <c r="AU17" s="731">
        <f t="shared" si="2"/>
        <v>78.2</v>
      </c>
      <c r="AV17" s="703"/>
      <c r="AW17" s="703"/>
      <c r="AX17" s="703"/>
      <c r="AY17" s="703"/>
      <c r="AZ17" s="703"/>
      <c r="BA17" s="703"/>
      <c r="BB17" s="703"/>
      <c r="BC17" s="703"/>
      <c r="BD17" s="703"/>
      <c r="BE17" s="703"/>
      <c r="BF17" s="704"/>
    </row>
    <row r="18" spans="5:58" ht="15" x14ac:dyDescent="0.2">
      <c r="F18" s="233"/>
      <c r="G18" s="233"/>
      <c r="H18" s="233"/>
      <c r="I18" s="233"/>
      <c r="J18" s="4"/>
      <c r="K18" s="4"/>
      <c r="L18" s="235"/>
      <c r="M18" s="243"/>
      <c r="W18" s="943"/>
      <c r="X18" s="968" t="s">
        <v>2094</v>
      </c>
      <c r="Y18" s="943"/>
      <c r="Z18" s="943"/>
      <c r="AA18" s="943"/>
      <c r="AF18" s="701"/>
      <c r="AG18" s="286"/>
      <c r="AH18" s="286">
        <v>150</v>
      </c>
      <c r="AI18" s="286">
        <v>79.5</v>
      </c>
      <c r="AJ18" s="662"/>
      <c r="AK18" s="12"/>
      <c r="BF18" s="364"/>
    </row>
    <row r="19" spans="5:58" ht="15" x14ac:dyDescent="0.2">
      <c r="F19" s="233"/>
      <c r="G19" s="233"/>
      <c r="H19" s="233"/>
      <c r="I19" s="233"/>
      <c r="J19" s="4"/>
      <c r="K19" s="4"/>
      <c r="L19" s="235"/>
      <c r="M19" s="243"/>
      <c r="W19" s="943"/>
      <c r="X19" s="968" t="s">
        <v>2095</v>
      </c>
      <c r="Y19" s="943"/>
      <c r="Z19" s="943"/>
      <c r="AA19" s="943"/>
      <c r="AF19" s="701"/>
      <c r="AG19" s="286"/>
      <c r="AH19" s="286">
        <v>200</v>
      </c>
      <c r="AI19" s="286">
        <v>79.3</v>
      </c>
      <c r="AJ19" s="662"/>
      <c r="AK19" s="12"/>
      <c r="AM19" s="703"/>
      <c r="AN19" s="703"/>
      <c r="AO19" s="703"/>
      <c r="AP19" s="703"/>
      <c r="AR19" s="703"/>
      <c r="AS19" s="703"/>
      <c r="AT19" s="703"/>
      <c r="AU19" s="703"/>
      <c r="AV19" s="703"/>
      <c r="AW19" s="703"/>
      <c r="AX19" s="703"/>
      <c r="AY19" s="703"/>
      <c r="AZ19" s="703"/>
      <c r="BA19" s="703"/>
      <c r="BB19" s="703"/>
      <c r="BC19" s="703"/>
      <c r="BD19" s="703"/>
      <c r="BE19" s="703"/>
      <c r="BF19" s="704"/>
    </row>
    <row r="20" spans="5:58" ht="15" x14ac:dyDescent="0.2">
      <c r="E20" s="2" t="s">
        <v>1260</v>
      </c>
      <c r="F20" s="233">
        <f>F3</f>
        <v>1</v>
      </c>
      <c r="G20" s="241" t="str" cm="1">
        <f t="array" ref="G20">INDEX(I4:I9,F20)</f>
        <v>C5</v>
      </c>
      <c r="H20" s="233"/>
      <c r="I20" s="233"/>
      <c r="J20" s="4"/>
      <c r="K20" s="4"/>
      <c r="L20" s="235"/>
      <c r="M20" s="243"/>
      <c r="W20" s="943"/>
      <c r="X20" s="968" t="s">
        <v>2096</v>
      </c>
      <c r="Y20" s="943"/>
      <c r="Z20" s="943"/>
      <c r="AA20" s="943"/>
      <c r="AF20" s="701"/>
      <c r="AG20" s="286"/>
      <c r="AH20" s="286">
        <v>250</v>
      </c>
      <c r="AI20" s="286">
        <v>78.2</v>
      </c>
      <c r="AJ20" s="662"/>
      <c r="AK20" s="12"/>
      <c r="AM20" s="703"/>
      <c r="AN20" s="703"/>
      <c r="AO20" s="703"/>
      <c r="AP20" s="703"/>
      <c r="AR20" s="703"/>
      <c r="AS20" s="703"/>
      <c r="AT20" s="703"/>
      <c r="AU20" s="703"/>
      <c r="AV20" s="703"/>
      <c r="AW20" s="703"/>
      <c r="AX20" s="703"/>
      <c r="AY20" s="703"/>
      <c r="AZ20" s="703"/>
      <c r="BA20" s="703"/>
      <c r="BB20" s="703"/>
      <c r="BC20" s="703"/>
      <c r="BD20" s="703"/>
      <c r="BE20" s="703"/>
      <c r="BF20" s="704"/>
    </row>
    <row r="21" spans="5:58" ht="15" x14ac:dyDescent="0.2">
      <c r="G21" s="233"/>
      <c r="H21" s="233"/>
      <c r="I21" s="233"/>
      <c r="J21" s="4"/>
      <c r="K21" s="4"/>
      <c r="L21" s="235"/>
      <c r="M21" s="243"/>
      <c r="W21" s="943"/>
      <c r="X21" s="943"/>
      <c r="Y21" s="943"/>
      <c r="Z21" s="943"/>
      <c r="AA21" s="943"/>
      <c r="AF21" s="701"/>
      <c r="AG21" s="286"/>
      <c r="AH21" s="286">
        <v>300</v>
      </c>
      <c r="AI21" s="286">
        <v>77.5</v>
      </c>
      <c r="AJ21" s="662"/>
      <c r="AK21" s="12"/>
      <c r="AM21" s="703"/>
      <c r="AN21" s="703"/>
      <c r="AO21" s="703"/>
      <c r="AP21" s="703"/>
      <c r="AR21" s="703"/>
      <c r="AS21" s="703"/>
      <c r="AT21" s="703"/>
      <c r="AU21" s="703"/>
      <c r="AV21" s="703"/>
      <c r="AW21" s="703"/>
      <c r="AX21" s="703"/>
      <c r="AY21" s="703"/>
      <c r="AZ21" s="703"/>
      <c r="BA21" s="703"/>
      <c r="BB21" s="703"/>
      <c r="BC21" s="703"/>
      <c r="BD21" s="703"/>
      <c r="BE21" s="703"/>
      <c r="BF21" s="704"/>
    </row>
    <row r="22" spans="5:58" ht="15" x14ac:dyDescent="0.2">
      <c r="F22" s="233"/>
      <c r="G22" s="233"/>
      <c r="H22" s="233"/>
      <c r="I22" s="233"/>
      <c r="J22" s="4"/>
      <c r="K22" s="4"/>
      <c r="L22" s="235"/>
      <c r="M22" s="243"/>
      <c r="AF22" s="701"/>
      <c r="AG22" s="286"/>
      <c r="AH22" s="286">
        <v>350</v>
      </c>
      <c r="AI22" s="286">
        <v>77.3</v>
      </c>
      <c r="AJ22" s="662"/>
      <c r="AK22" s="12"/>
      <c r="AM22" s="1501" t="s">
        <v>116</v>
      </c>
      <c r="AN22" s="1501"/>
      <c r="AO22" s="1501"/>
      <c r="AP22" s="1502"/>
      <c r="AQ22" s="709"/>
      <c r="AR22" s="703"/>
      <c r="AS22" s="703"/>
      <c r="AT22" s="703"/>
      <c r="AU22" s="703"/>
      <c r="AV22" s="710"/>
      <c r="AW22" s="703"/>
      <c r="AX22" s="703"/>
      <c r="AY22" s="703"/>
      <c r="AZ22" s="703"/>
      <c r="BA22" s="703"/>
      <c r="BB22" s="703"/>
      <c r="BC22" s="703"/>
      <c r="BD22" s="703"/>
      <c r="BE22" s="703"/>
      <c r="BF22" s="704"/>
    </row>
    <row r="23" spans="5:58" ht="48" x14ac:dyDescent="0.2">
      <c r="E23" s="560" t="s">
        <v>1258</v>
      </c>
      <c r="F23" s="560" t="s">
        <v>1261</v>
      </c>
      <c r="G23" s="560" t="s">
        <v>1257</v>
      </c>
      <c r="H23" s="630" t="s">
        <v>1259</v>
      </c>
      <c r="I23" s="233"/>
      <c r="J23" s="4"/>
      <c r="K23" s="4"/>
      <c r="L23" s="235"/>
      <c r="M23" s="243"/>
      <c r="X23" s="2" t="s">
        <v>2041</v>
      </c>
      <c r="AF23" s="701"/>
      <c r="AG23" s="286"/>
      <c r="AH23" s="286"/>
      <c r="AI23" s="286"/>
      <c r="AJ23" s="662"/>
      <c r="AK23" s="12"/>
      <c r="AM23" s="676" t="s">
        <v>1216</v>
      </c>
      <c r="AN23" s="677" t="s">
        <v>1217</v>
      </c>
      <c r="AO23" s="678" t="s">
        <v>1228</v>
      </c>
      <c r="AP23" s="679"/>
      <c r="AQ23" s="712"/>
      <c r="AR23" s="679" t="s">
        <v>1219</v>
      </c>
      <c r="AS23" s="679" t="s">
        <v>1229</v>
      </c>
      <c r="AT23" s="679" t="s">
        <v>1230</v>
      </c>
      <c r="AU23" s="679" t="s">
        <v>1231</v>
      </c>
      <c r="AV23" s="713"/>
      <c r="AW23" s="703"/>
      <c r="AX23" s="703"/>
      <c r="AY23" s="703"/>
      <c r="AZ23" s="703"/>
      <c r="BA23" s="703"/>
      <c r="BB23" s="703"/>
      <c r="BC23" s="703"/>
      <c r="BD23" s="703"/>
      <c r="BE23" s="703"/>
      <c r="BF23" s="704"/>
    </row>
    <row r="24" spans="5:58" ht="15" x14ac:dyDescent="0.2">
      <c r="E24" s="870">
        <f>W8</f>
        <v>100</v>
      </c>
      <c r="F24" s="344"/>
      <c r="G24" s="938">
        <f>Y8/100</f>
        <v>0.83</v>
      </c>
      <c r="H24" s="939">
        <f>Z8/100</f>
        <v>0.87</v>
      </c>
      <c r="I24" s="233"/>
      <c r="J24" s="4"/>
      <c r="K24" s="4"/>
      <c r="L24" s="235"/>
      <c r="M24" s="243"/>
      <c r="W24" s="1487" t="s">
        <v>289</v>
      </c>
      <c r="X24" s="1496" t="s">
        <v>2081</v>
      </c>
      <c r="Y24" s="1498" t="s">
        <v>226</v>
      </c>
      <c r="Z24" s="1498"/>
      <c r="AA24" s="1498"/>
      <c r="AF24" s="701"/>
      <c r="AG24" s="286"/>
      <c r="AH24" s="286"/>
      <c r="AI24" s="286"/>
      <c r="AJ24" s="662"/>
      <c r="AK24" s="12"/>
      <c r="AM24" s="680"/>
      <c r="AN24" s="681">
        <v>25</v>
      </c>
      <c r="AO24" s="681"/>
      <c r="AP24" s="682"/>
      <c r="AQ24" s="714"/>
      <c r="AR24" s="683">
        <v>18</v>
      </c>
      <c r="AS24" s="684">
        <v>82.5</v>
      </c>
      <c r="AT24" s="682">
        <v>82.5</v>
      </c>
      <c r="AU24" s="682">
        <v>84</v>
      </c>
      <c r="AV24" s="715"/>
      <c r="AW24" s="703"/>
      <c r="AX24" s="703"/>
      <c r="AY24" s="703"/>
      <c r="AZ24" s="703"/>
      <c r="BA24" s="703"/>
      <c r="BB24" s="703"/>
      <c r="BC24" s="703"/>
      <c r="BD24" s="703"/>
      <c r="BE24" s="703"/>
      <c r="BF24" s="704"/>
    </row>
    <row r="25" spans="5:58" ht="15" x14ac:dyDescent="0.2">
      <c r="E25" s="870">
        <f t="shared" ref="E25:E30" si="3">W9</f>
        <v>200</v>
      </c>
      <c r="F25" s="344"/>
      <c r="G25" s="938">
        <f t="shared" ref="G25:G30" si="4">Y9/100</f>
        <v>0.83400000000000007</v>
      </c>
      <c r="H25" s="939">
        <f t="shared" ref="H25:H30" si="5">Z9/100</f>
        <v>0.86900000000000011</v>
      </c>
      <c r="I25" s="233"/>
      <c r="J25" s="4"/>
      <c r="K25" s="4"/>
      <c r="L25" s="235"/>
      <c r="M25" s="243"/>
      <c r="W25" s="1487"/>
      <c r="X25" s="1497"/>
      <c r="Y25" s="934" t="s">
        <v>2082</v>
      </c>
      <c r="Z25" s="935" t="s">
        <v>2083</v>
      </c>
      <c r="AA25" s="936" t="s">
        <v>2084</v>
      </c>
      <c r="AF25" s="701"/>
      <c r="AG25" s="286"/>
      <c r="AH25" s="286"/>
      <c r="AI25" s="286"/>
      <c r="AJ25" s="662"/>
      <c r="AK25" s="12"/>
      <c r="AM25" s="680">
        <v>3.6</v>
      </c>
      <c r="AN25" s="681">
        <v>34</v>
      </c>
      <c r="AO25" s="681">
        <v>82.7</v>
      </c>
      <c r="AP25" s="682"/>
      <c r="AQ25" s="714"/>
      <c r="AR25" s="683">
        <v>29</v>
      </c>
      <c r="AS25" s="684">
        <v>82.5</v>
      </c>
      <c r="AT25" s="682">
        <v>82.5</v>
      </c>
      <c r="AU25" s="682">
        <v>83.7</v>
      </c>
      <c r="AV25" s="715"/>
      <c r="AW25" s="703"/>
      <c r="AX25" s="703"/>
      <c r="AY25" s="703"/>
      <c r="AZ25" s="703"/>
      <c r="BA25" s="703"/>
      <c r="BB25" s="703"/>
      <c r="BC25" s="703"/>
      <c r="BD25" s="703"/>
      <c r="BE25" s="703"/>
      <c r="BF25" s="704"/>
    </row>
    <row r="26" spans="5:58" ht="15" x14ac:dyDescent="0.2">
      <c r="E26" s="870">
        <f t="shared" si="3"/>
        <v>300</v>
      </c>
      <c r="F26" s="344"/>
      <c r="G26" s="938">
        <f t="shared" si="4"/>
        <v>0.85199999999999998</v>
      </c>
      <c r="H26" s="939">
        <f t="shared" si="5"/>
        <v>0.84</v>
      </c>
      <c r="I26" s="233"/>
      <c r="J26" s="4"/>
      <c r="K26" s="4"/>
      <c r="L26" s="235"/>
      <c r="M26" s="243"/>
      <c r="W26" s="937">
        <f>X26/1.2</f>
        <v>198.89231942512026</v>
      </c>
      <c r="X26" s="928">
        <v>238.67078331014432</v>
      </c>
      <c r="Y26" s="929">
        <v>0.81939487611540951</v>
      </c>
      <c r="Z26" s="930">
        <v>0.872</v>
      </c>
      <c r="AA26" s="931">
        <v>0.83391194249305567</v>
      </c>
      <c r="AF26" s="701"/>
      <c r="AG26" s="286"/>
      <c r="AH26" s="286"/>
      <c r="AI26" s="286"/>
      <c r="AJ26" s="662"/>
      <c r="AK26" s="12"/>
      <c r="AM26" s="680">
        <v>4.2</v>
      </c>
      <c r="AN26" s="681">
        <v>43</v>
      </c>
      <c r="AO26" s="681">
        <v>82.3</v>
      </c>
      <c r="AP26" s="682"/>
      <c r="AQ26" s="714"/>
      <c r="AR26" s="683">
        <v>36</v>
      </c>
      <c r="AS26" s="684">
        <v>82.5</v>
      </c>
      <c r="AT26" s="682">
        <v>82.5</v>
      </c>
      <c r="AU26" s="682">
        <v>83.5</v>
      </c>
      <c r="AV26" s="715"/>
      <c r="AW26" s="703"/>
      <c r="AX26" s="703"/>
      <c r="AY26" s="703"/>
      <c r="AZ26" s="703"/>
      <c r="BA26" s="703"/>
      <c r="BB26" s="703"/>
      <c r="BC26" s="703"/>
      <c r="BD26" s="703"/>
      <c r="BE26" s="703"/>
      <c r="BF26" s="704"/>
    </row>
    <row r="27" spans="5:58" ht="15" x14ac:dyDescent="0.2">
      <c r="E27" s="870">
        <f t="shared" si="3"/>
        <v>400</v>
      </c>
      <c r="F27" s="344"/>
      <c r="G27" s="938">
        <f t="shared" si="4"/>
        <v>0.85299999999999998</v>
      </c>
      <c r="H27" s="939">
        <f t="shared" si="5"/>
        <v>0.82200000000000006</v>
      </c>
      <c r="I27" s="233"/>
      <c r="J27" s="4"/>
      <c r="K27" s="4"/>
      <c r="L27" s="235"/>
      <c r="M27" s="243"/>
      <c r="W27" s="937">
        <f t="shared" ref="W27:W29" si="6">X27/1.2</f>
        <v>302.8176287800917</v>
      </c>
      <c r="X27" s="928">
        <v>363.38115453610999</v>
      </c>
      <c r="Y27" s="932">
        <v>0.82578800663950469</v>
      </c>
      <c r="Z27" s="930">
        <v>0.84099999999999997</v>
      </c>
      <c r="AA27" s="933">
        <v>0.85200717176266705</v>
      </c>
      <c r="AF27" s="701"/>
      <c r="AG27" s="286"/>
      <c r="AH27" s="286"/>
      <c r="AI27" s="286"/>
      <c r="AJ27" s="662"/>
      <c r="AK27" s="12"/>
      <c r="AM27" s="680">
        <v>6.1</v>
      </c>
      <c r="AN27" s="681">
        <v>71</v>
      </c>
      <c r="AO27" s="681">
        <v>83.2</v>
      </c>
      <c r="AP27" s="682"/>
      <c r="AQ27" s="714"/>
      <c r="AR27" s="683">
        <v>60</v>
      </c>
      <c r="AS27" s="684">
        <v>82.5</v>
      </c>
      <c r="AT27" s="682">
        <v>82.4</v>
      </c>
      <c r="AU27" s="682">
        <v>83.2</v>
      </c>
      <c r="AV27" s="715"/>
      <c r="AW27" s="703"/>
      <c r="AX27" s="703"/>
      <c r="AY27" s="703"/>
      <c r="AZ27" s="703"/>
      <c r="BA27" s="703"/>
      <c r="BB27" s="703"/>
      <c r="BC27" s="703"/>
      <c r="BD27" s="703"/>
      <c r="BE27" s="703"/>
      <c r="BF27" s="704"/>
    </row>
    <row r="28" spans="5:58" ht="15" x14ac:dyDescent="0.2">
      <c r="E28" s="870">
        <f t="shared" si="3"/>
        <v>500</v>
      </c>
      <c r="F28" s="344"/>
      <c r="G28" s="938">
        <f t="shared" si="4"/>
        <v>0.85299999999999998</v>
      </c>
      <c r="H28" s="939">
        <f t="shared" si="5"/>
        <v>0.81</v>
      </c>
      <c r="I28" s="233"/>
      <c r="J28" s="4"/>
      <c r="K28" s="4"/>
      <c r="L28" s="235"/>
      <c r="M28" s="243"/>
      <c r="W28" s="937">
        <f t="shared" si="6"/>
        <v>401.30178258863094</v>
      </c>
      <c r="X28" s="928">
        <v>481.56213910635711</v>
      </c>
      <c r="Y28" s="932">
        <v>0.80486073740045572</v>
      </c>
      <c r="Z28" s="930">
        <v>0.82599999999999996</v>
      </c>
      <c r="AA28" s="933">
        <v>0.84096566109229565</v>
      </c>
      <c r="AF28" s="716"/>
      <c r="AG28" s="685"/>
      <c r="AH28" s="685"/>
      <c r="AI28" s="685"/>
      <c r="AJ28" s="686"/>
      <c r="AK28" s="12"/>
      <c r="AM28" s="680">
        <v>9.6999999999999993</v>
      </c>
      <c r="AN28" s="681">
        <v>107</v>
      </c>
      <c r="AO28" s="681">
        <v>84.8</v>
      </c>
      <c r="AP28" s="682"/>
      <c r="AQ28" s="714"/>
      <c r="AR28" s="683">
        <v>90</v>
      </c>
      <c r="AS28" s="684">
        <v>82.5</v>
      </c>
      <c r="AT28" s="682">
        <v>81.5</v>
      </c>
      <c r="AU28" s="682">
        <v>82</v>
      </c>
      <c r="AV28" s="715"/>
      <c r="AW28" s="703"/>
      <c r="AX28" s="703"/>
      <c r="AY28" s="703"/>
      <c r="AZ28" s="703"/>
      <c r="BA28" s="703"/>
      <c r="BB28" s="703"/>
      <c r="BC28" s="703"/>
      <c r="BD28" s="703"/>
      <c r="BE28" s="703"/>
      <c r="BF28" s="704"/>
    </row>
    <row r="29" spans="5:58" ht="15" x14ac:dyDescent="0.2">
      <c r="E29" s="870">
        <f t="shared" si="3"/>
        <v>600</v>
      </c>
      <c r="F29" s="344"/>
      <c r="G29" s="938">
        <f t="shared" si="4"/>
        <v>0.85099999999999998</v>
      </c>
      <c r="H29" s="939">
        <f t="shared" si="5"/>
        <v>0.79900000000000004</v>
      </c>
      <c r="I29" s="233"/>
      <c r="J29" s="4"/>
      <c r="K29" s="4"/>
      <c r="L29" s="235"/>
      <c r="M29" s="243"/>
      <c r="W29" s="937">
        <f t="shared" si="6"/>
        <v>496.13419310736049</v>
      </c>
      <c r="X29" s="928">
        <v>595.36103172883259</v>
      </c>
      <c r="Y29" s="932">
        <v>0.78956300426978132</v>
      </c>
      <c r="Z29" s="930">
        <v>0.80300000000000005</v>
      </c>
      <c r="AA29" s="933">
        <v>0.85333204949697727</v>
      </c>
      <c r="AF29" s="232"/>
      <c r="AM29" s="681"/>
      <c r="AN29" s="681">
        <v>130</v>
      </c>
      <c r="AO29" s="681"/>
      <c r="AP29" s="682"/>
      <c r="AQ29" s="714"/>
      <c r="AR29" s="683">
        <v>130</v>
      </c>
      <c r="AS29" s="684">
        <v>82.5</v>
      </c>
      <c r="AT29" s="682">
        <v>80</v>
      </c>
      <c r="AU29" s="682">
        <v>80.2</v>
      </c>
      <c r="AV29" s="715"/>
      <c r="AW29" s="703"/>
      <c r="AX29" s="703"/>
      <c r="AY29" s="703"/>
      <c r="AZ29" s="703"/>
      <c r="BA29" s="703"/>
      <c r="BB29" s="703"/>
      <c r="BC29" s="703"/>
      <c r="BD29" s="703"/>
      <c r="BE29" s="703"/>
      <c r="BF29" s="704"/>
    </row>
    <row r="30" spans="5:58" x14ac:dyDescent="0.15">
      <c r="E30" s="870">
        <f t="shared" si="3"/>
        <v>700</v>
      </c>
      <c r="F30" s="344"/>
      <c r="G30" s="938">
        <f t="shared" si="4"/>
        <v>0.85</v>
      </c>
      <c r="H30" s="939">
        <f t="shared" si="5"/>
        <v>0.79099999999999993</v>
      </c>
      <c r="I30" s="233"/>
      <c r="J30" s="4"/>
      <c r="K30" s="4"/>
      <c r="L30" s="235"/>
      <c r="M30" s="243"/>
      <c r="AF30" s="232"/>
      <c r="AM30" s="703"/>
      <c r="AN30" s="703"/>
      <c r="AO30" s="703"/>
      <c r="AP30" s="703"/>
      <c r="AR30" s="731">
        <f>AR29</f>
        <v>130</v>
      </c>
      <c r="AS30" s="731">
        <f t="shared" ref="AS30:AU30" si="7">AS29</f>
        <v>82.5</v>
      </c>
      <c r="AT30" s="731">
        <f t="shared" si="7"/>
        <v>80</v>
      </c>
      <c r="AU30" s="731">
        <f t="shared" si="7"/>
        <v>80.2</v>
      </c>
      <c r="AV30" s="703"/>
      <c r="AW30" s="703"/>
      <c r="AX30" s="703"/>
      <c r="AY30" s="703"/>
      <c r="AZ30" s="703"/>
      <c r="BA30" s="703"/>
      <c r="BB30" s="703"/>
      <c r="BC30" s="703"/>
      <c r="BD30" s="703"/>
      <c r="BE30" s="703"/>
      <c r="BF30" s="704"/>
    </row>
    <row r="31" spans="5:58" x14ac:dyDescent="0.15">
      <c r="F31" s="233"/>
      <c r="G31" s="233"/>
      <c r="H31" s="233"/>
      <c r="I31" s="233"/>
      <c r="J31" s="4"/>
      <c r="K31" s="4"/>
      <c r="L31" s="235"/>
      <c r="M31" s="243"/>
      <c r="AF31" s="232"/>
      <c r="BF31" s="364"/>
    </row>
    <row r="32" spans="5:58" x14ac:dyDescent="0.15">
      <c r="F32" s="4" t="s">
        <v>289</v>
      </c>
      <c r="G32" s="630" t="s">
        <v>1256</v>
      </c>
      <c r="H32" s="630" t="s">
        <v>1259</v>
      </c>
      <c r="I32" s="233"/>
      <c r="J32" s="4"/>
      <c r="K32" s="4"/>
      <c r="L32" s="235"/>
      <c r="M32" s="243"/>
      <c r="AF32" s="232"/>
      <c r="AM32" s="703"/>
      <c r="AN32" s="703"/>
      <c r="AO32" s="703"/>
      <c r="AP32" s="703"/>
      <c r="AR32" s="703"/>
      <c r="AS32" s="703"/>
      <c r="AT32" s="703"/>
      <c r="AU32" s="703"/>
      <c r="AV32" s="703"/>
      <c r="AW32" s="703"/>
      <c r="AX32" s="703"/>
      <c r="AY32" s="703"/>
      <c r="AZ32" s="703"/>
      <c r="BA32" s="703"/>
      <c r="BB32" s="703"/>
      <c r="BC32" s="703"/>
      <c r="BD32" s="703"/>
      <c r="BE32" s="703"/>
      <c r="BF32" s="704"/>
    </row>
    <row r="33" spans="5:58" x14ac:dyDescent="0.15">
      <c r="E33" s="95" t="s">
        <v>450</v>
      </c>
      <c r="F33" s="344">
        <f>E24</f>
        <v>100</v>
      </c>
      <c r="G33" s="940">
        <f>G24</f>
        <v>0.83</v>
      </c>
      <c r="H33" s="940">
        <f>H24</f>
        <v>0.87</v>
      </c>
      <c r="I33" s="233"/>
      <c r="J33" s="4"/>
      <c r="K33" s="4"/>
      <c r="L33" s="235"/>
      <c r="M33" s="243"/>
      <c r="AF33" s="232"/>
      <c r="AM33" s="703"/>
      <c r="AN33" s="703"/>
      <c r="AO33" s="703"/>
      <c r="AP33" s="703"/>
      <c r="AR33" s="703"/>
      <c r="AS33" s="703"/>
      <c r="AT33" s="703"/>
      <c r="AU33" s="703"/>
      <c r="AV33" s="703"/>
      <c r="AW33" s="703"/>
      <c r="AX33" s="703"/>
      <c r="AY33" s="703"/>
      <c r="AZ33" s="703"/>
      <c r="BA33" s="703"/>
      <c r="BB33" s="703"/>
      <c r="BC33" s="703"/>
      <c r="BD33" s="703"/>
      <c r="BE33" s="703"/>
      <c r="BF33" s="704"/>
    </row>
    <row r="34" spans="5:58" ht="15" x14ac:dyDescent="0.2">
      <c r="E34" s="95" t="s">
        <v>22</v>
      </c>
      <c r="F34" s="344">
        <f>MAX(E24:E30)</f>
        <v>700</v>
      </c>
      <c r="G34" s="940">
        <f>G27</f>
        <v>0.85299999999999998</v>
      </c>
      <c r="H34" s="940">
        <f>H27</f>
        <v>0.82200000000000006</v>
      </c>
      <c r="I34" s="233"/>
      <c r="J34" s="4"/>
      <c r="K34" s="4"/>
      <c r="L34" s="235"/>
      <c r="M34" s="243"/>
      <c r="AF34" s="232"/>
      <c r="AM34" s="1501" t="s">
        <v>585</v>
      </c>
      <c r="AN34" s="1501"/>
      <c r="AO34" s="1501"/>
      <c r="AP34" s="1502"/>
      <c r="AQ34" s="709"/>
      <c r="AR34" s="710"/>
      <c r="AS34" s="710"/>
      <c r="AT34" s="710"/>
      <c r="AU34" s="710"/>
      <c r="AV34" s="710"/>
      <c r="AW34" s="703"/>
      <c r="AX34" s="703"/>
      <c r="AY34" s="703"/>
      <c r="AZ34" s="703"/>
      <c r="BA34" s="703"/>
      <c r="BB34" s="703"/>
      <c r="BC34" s="703"/>
      <c r="BD34" s="703"/>
      <c r="BE34" s="703"/>
      <c r="BF34" s="704"/>
    </row>
    <row r="35" spans="5:58" ht="48" x14ac:dyDescent="0.2">
      <c r="F35" s="233"/>
      <c r="G35" s="233"/>
      <c r="H35" s="233"/>
      <c r="I35" s="233"/>
      <c r="J35" s="4"/>
      <c r="K35" s="4"/>
      <c r="L35" s="235"/>
      <c r="M35" s="243"/>
      <c r="AF35" s="232"/>
      <c r="AM35" s="676" t="s">
        <v>1216</v>
      </c>
      <c r="AN35" s="677" t="s">
        <v>1217</v>
      </c>
      <c r="AO35" s="678" t="s">
        <v>1232</v>
      </c>
      <c r="AP35" s="679"/>
      <c r="AQ35" s="712"/>
      <c r="AR35" s="679" t="s">
        <v>1219</v>
      </c>
      <c r="AS35" s="679" t="s">
        <v>1233</v>
      </c>
      <c r="AT35" s="679" t="s">
        <v>1234</v>
      </c>
      <c r="AU35" s="679" t="s">
        <v>1235</v>
      </c>
      <c r="AV35" s="713"/>
      <c r="AW35" s="703"/>
      <c r="AX35" s="703"/>
      <c r="AY35" s="703"/>
      <c r="AZ35" s="703"/>
      <c r="BA35" s="703"/>
      <c r="BB35" s="703"/>
      <c r="BC35" s="703"/>
      <c r="BD35" s="703"/>
      <c r="BE35" s="703"/>
      <c r="BF35" s="704"/>
    </row>
    <row r="36" spans="5:58" ht="15" x14ac:dyDescent="0.2">
      <c r="E36" t="s">
        <v>1262</v>
      </c>
      <c r="F36" s="80">
        <f>F53</f>
        <v>500</v>
      </c>
      <c r="H36" s="233"/>
      <c r="I36" s="233"/>
      <c r="J36" s="4"/>
      <c r="K36" s="4"/>
      <c r="L36" s="235"/>
      <c r="M36" s="243"/>
      <c r="AF36" s="232"/>
      <c r="AM36" s="680"/>
      <c r="AN36" s="681">
        <v>25</v>
      </c>
      <c r="AO36" s="681"/>
      <c r="AP36" s="682"/>
      <c r="AQ36" s="714"/>
      <c r="AR36" s="683">
        <v>18</v>
      </c>
      <c r="AS36" s="684">
        <v>77.5</v>
      </c>
      <c r="AT36" s="682">
        <v>77.5</v>
      </c>
      <c r="AU36" s="682">
        <v>79.5</v>
      </c>
      <c r="AV36" s="715"/>
      <c r="AW36" s="703"/>
      <c r="AX36" s="703"/>
      <c r="AY36" s="703"/>
      <c r="AZ36" s="703"/>
      <c r="BA36" s="703"/>
      <c r="BB36" s="703"/>
      <c r="BC36" s="703"/>
      <c r="BD36" s="703"/>
      <c r="BE36" s="703"/>
      <c r="BF36" s="704"/>
    </row>
    <row r="37" spans="5:58" ht="15" x14ac:dyDescent="0.2">
      <c r="E37" s="2" t="s">
        <v>1263</v>
      </c>
      <c r="F37" s="732">
        <f>IF(F36&lt;E24,E24,IF(F36&gt;F34,F34,F36))</f>
        <v>500</v>
      </c>
      <c r="I37" s="233"/>
      <c r="J37" s="4"/>
      <c r="K37" s="4"/>
      <c r="L37" s="235"/>
      <c r="M37" s="243"/>
      <c r="AF37" s="232"/>
      <c r="AM37" s="687"/>
      <c r="AN37" s="681">
        <v>34</v>
      </c>
      <c r="AO37" s="681">
        <v>77.5</v>
      </c>
      <c r="AP37" s="682"/>
      <c r="AQ37" s="714"/>
      <c r="AR37" s="683">
        <v>29</v>
      </c>
      <c r="AS37" s="684">
        <v>77.5</v>
      </c>
      <c r="AT37" s="682">
        <v>77.5</v>
      </c>
      <c r="AU37" s="682">
        <v>79</v>
      </c>
      <c r="AV37" s="715"/>
      <c r="AW37" s="703"/>
      <c r="AX37" s="703"/>
      <c r="AY37" s="703"/>
      <c r="AZ37" s="703"/>
      <c r="BA37" s="703"/>
      <c r="BB37" s="703"/>
      <c r="BC37" s="703"/>
      <c r="BD37" s="703"/>
      <c r="BE37" s="703"/>
      <c r="BF37" s="704"/>
    </row>
    <row r="38" spans="5:58" ht="15" x14ac:dyDescent="0.2">
      <c r="E38" s="2" t="s">
        <v>1256</v>
      </c>
      <c r="F38" s="970">
        <f>IF(F36&lt;F33,G33,IF(F36&gt;F34,G34,_xlfn.FORECAST.LINEAR(F36,F43:F44,E43:E44)))</f>
        <v>0.85299999999999998</v>
      </c>
      <c r="G38" s="734">
        <f>F38</f>
        <v>0.85299999999999998</v>
      </c>
      <c r="I38" s="233"/>
      <c r="J38" s="4"/>
      <c r="K38" s="4"/>
      <c r="L38" s="235"/>
      <c r="M38" s="243"/>
      <c r="AF38" s="232"/>
      <c r="AM38" s="687"/>
      <c r="AN38" s="681">
        <v>43</v>
      </c>
      <c r="AO38" s="681">
        <v>77.5</v>
      </c>
      <c r="AP38" s="682"/>
      <c r="AQ38" s="714"/>
      <c r="AR38" s="683">
        <v>36</v>
      </c>
      <c r="AS38" s="684">
        <v>77.5</v>
      </c>
      <c r="AT38" s="682">
        <v>77.5</v>
      </c>
      <c r="AU38" s="682">
        <v>78.5</v>
      </c>
      <c r="AV38" s="715"/>
      <c r="AW38" s="703"/>
      <c r="AX38" s="703"/>
      <c r="AY38" s="703"/>
      <c r="AZ38" s="703"/>
      <c r="BA38" s="703"/>
      <c r="BB38" s="703"/>
      <c r="BC38" s="703"/>
      <c r="BD38" s="703"/>
      <c r="BE38" s="703"/>
      <c r="BF38" s="704"/>
    </row>
    <row r="39" spans="5:58" ht="15" x14ac:dyDescent="0.2">
      <c r="E39" s="2" t="s">
        <v>1259</v>
      </c>
      <c r="F39" s="970">
        <f>IF(F36&lt;F33,H33,IF(F36&gt;F34,H34,_xlfn.FORECAST.LINEAR(F36,G43:G44,E43:E44)))</f>
        <v>0.80999999999999994</v>
      </c>
      <c r="G39" s="734">
        <f>F39</f>
        <v>0.80999999999999994</v>
      </c>
      <c r="H39" s="233"/>
      <c r="I39" s="233"/>
      <c r="J39" s="4"/>
      <c r="K39" s="4"/>
      <c r="L39" s="235"/>
      <c r="M39" s="243"/>
      <c r="AF39" s="232"/>
      <c r="AM39" s="687"/>
      <c r="AN39" s="681">
        <v>71</v>
      </c>
      <c r="AO39" s="681">
        <v>77.5</v>
      </c>
      <c r="AP39" s="682"/>
      <c r="AQ39" s="714"/>
      <c r="AR39" s="683">
        <v>60</v>
      </c>
      <c r="AS39" s="684">
        <v>77.5</v>
      </c>
      <c r="AT39" s="682">
        <v>77</v>
      </c>
      <c r="AU39" s="682">
        <v>77.5</v>
      </c>
      <c r="AV39" s="715"/>
      <c r="AW39" s="703"/>
      <c r="AX39" s="703"/>
      <c r="AY39" s="703"/>
      <c r="AZ39" s="703"/>
      <c r="BA39" s="703"/>
      <c r="BB39" s="703"/>
      <c r="BC39" s="703"/>
      <c r="BD39" s="703"/>
      <c r="BE39" s="703"/>
      <c r="BF39" s="704"/>
    </row>
    <row r="40" spans="5:58" ht="15" x14ac:dyDescent="0.2">
      <c r="H40" s="233"/>
      <c r="I40" s="233"/>
      <c r="J40" s="4"/>
      <c r="K40" s="4"/>
      <c r="L40" s="235"/>
      <c r="M40" s="243"/>
      <c r="AF40" s="232"/>
      <c r="AM40" s="688"/>
      <c r="AN40" s="681">
        <v>107</v>
      </c>
      <c r="AO40" s="681">
        <v>77.5</v>
      </c>
      <c r="AP40" s="682"/>
      <c r="AQ40" s="714"/>
      <c r="AR40" s="683">
        <v>90</v>
      </c>
      <c r="AS40" s="684">
        <v>77.5</v>
      </c>
      <c r="AT40" s="682">
        <v>75.5</v>
      </c>
      <c r="AU40" s="682">
        <v>76</v>
      </c>
      <c r="AV40" s="715"/>
      <c r="AW40" s="703"/>
      <c r="AX40" s="703"/>
      <c r="AY40" s="703"/>
      <c r="AZ40" s="703"/>
      <c r="BA40" s="703"/>
      <c r="BB40" s="703"/>
      <c r="BC40" s="703"/>
      <c r="BD40" s="703"/>
      <c r="BE40" s="703"/>
      <c r="BF40" s="704"/>
    </row>
    <row r="41" spans="5:58" ht="15" x14ac:dyDescent="0.2">
      <c r="H41" s="233"/>
      <c r="I41" s="233"/>
      <c r="J41" s="4"/>
      <c r="K41" s="4"/>
      <c r="L41" s="235"/>
      <c r="M41" s="243"/>
      <c r="AF41" s="232"/>
      <c r="AM41" s="681"/>
      <c r="AN41" s="681">
        <v>140</v>
      </c>
      <c r="AO41" s="681"/>
      <c r="AP41" s="682"/>
      <c r="AQ41" s="714"/>
      <c r="AR41" s="683">
        <v>140</v>
      </c>
      <c r="AS41" s="684">
        <v>77.5</v>
      </c>
      <c r="AT41" s="682">
        <v>73.5</v>
      </c>
      <c r="AU41" s="682">
        <v>74</v>
      </c>
      <c r="AV41" s="715"/>
      <c r="AW41" s="703"/>
      <c r="AX41" s="703"/>
      <c r="AY41" s="703"/>
      <c r="AZ41" s="703"/>
      <c r="BA41" s="703"/>
      <c r="BB41" s="703"/>
      <c r="BC41" s="703"/>
      <c r="BD41" s="703"/>
      <c r="BE41" s="703"/>
      <c r="BF41" s="704"/>
    </row>
    <row r="42" spans="5:58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AF42" s="232"/>
      <c r="AM42" s="703"/>
      <c r="AN42" s="703"/>
      <c r="AO42" s="717"/>
      <c r="AP42" s="703"/>
      <c r="AR42" s="731">
        <f>AR41</f>
        <v>140</v>
      </c>
      <c r="AS42" s="731">
        <f t="shared" ref="AS42:AU42" si="8">AS41</f>
        <v>77.5</v>
      </c>
      <c r="AT42" s="731">
        <f t="shared" si="8"/>
        <v>73.5</v>
      </c>
      <c r="AU42" s="731">
        <f t="shared" si="8"/>
        <v>74</v>
      </c>
      <c r="AV42" s="703"/>
      <c r="AW42" s="703"/>
      <c r="AX42" s="703"/>
      <c r="AY42" s="703"/>
      <c r="AZ42" s="703"/>
      <c r="BA42" s="703"/>
      <c r="BB42" s="703"/>
      <c r="BC42" s="703"/>
      <c r="BD42" s="703"/>
      <c r="BE42" s="703"/>
      <c r="BF42" s="704"/>
    </row>
    <row r="43" spans="5:58" x14ac:dyDescent="0.15">
      <c r="E43" s="74">
        <f>INDEX(E24:E30,MATCH($F$37,$E$24:$E$30,1))</f>
        <v>500</v>
      </c>
      <c r="F43" s="344">
        <f>INDEX(G24:G30,MATCH($F$37,$E$24:$E$30))</f>
        <v>0.85299999999999998</v>
      </c>
      <c r="G43" s="344">
        <f>INDEX(H24:H30,MATCH($F$37,$E$24:$E$30))</f>
        <v>0.81</v>
      </c>
      <c r="H43" s="233"/>
      <c r="I43" s="233"/>
      <c r="J43" s="4"/>
      <c r="K43" s="4"/>
      <c r="L43" s="235"/>
      <c r="M43" s="243"/>
      <c r="AF43" s="232"/>
      <c r="BF43" s="364"/>
    </row>
    <row r="44" spans="5:58" x14ac:dyDescent="0.15">
      <c r="E44" s="74" cm="1">
        <f t="array" ref="E44">INDEX(E24:E30,MATCH($F$37,$E$24:$E$30,1)+1)</f>
        <v>600</v>
      </c>
      <c r="F44" s="344" cm="1">
        <f t="array" ref="F44">INDEX(G24:G30,MATCH($F$37,$E$24:$E$30)+1)</f>
        <v>0.85099999999999998</v>
      </c>
      <c r="G44" s="344" cm="1">
        <f t="array" ref="G44">INDEX(H24:H30,MATCH($F$37,$E$24:$E$30)+1)</f>
        <v>0.79900000000000004</v>
      </c>
      <c r="H44" s="233"/>
      <c r="I44" s="233"/>
      <c r="J44" s="4"/>
      <c r="K44" s="4"/>
      <c r="L44" s="235"/>
      <c r="M44" s="243"/>
      <c r="AF44" s="232"/>
      <c r="AM44" s="703"/>
      <c r="AN44" s="703"/>
      <c r="AO44" s="703"/>
      <c r="AP44" s="703"/>
      <c r="AR44" s="703"/>
      <c r="AS44" s="703"/>
      <c r="AT44" s="703"/>
      <c r="AU44" s="703"/>
      <c r="AV44" s="703"/>
      <c r="AW44" s="703"/>
      <c r="AX44" s="703"/>
      <c r="AY44" s="703"/>
      <c r="AZ44" s="703"/>
      <c r="BA44" s="703"/>
      <c r="BB44" s="703"/>
      <c r="BC44" s="703"/>
      <c r="BD44" s="703"/>
      <c r="BE44" s="703"/>
      <c r="BF44" s="704"/>
    </row>
    <row r="45" spans="5:58" x14ac:dyDescent="0.15">
      <c r="F45" s="233"/>
      <c r="G45" s="233"/>
      <c r="H45" s="233"/>
      <c r="I45" s="233"/>
      <c r="J45" s="4"/>
      <c r="K45" s="4"/>
      <c r="L45" s="235"/>
      <c r="M45" s="243"/>
      <c r="AF45" s="232"/>
      <c r="AM45" s="703"/>
      <c r="AN45" s="703"/>
      <c r="AO45" s="703"/>
      <c r="AP45" s="703"/>
      <c r="AR45" s="703"/>
      <c r="AS45" s="703"/>
      <c r="AT45" s="703"/>
      <c r="AU45" s="703"/>
      <c r="AV45" s="703"/>
      <c r="AW45" s="703"/>
      <c r="AX45" s="703"/>
      <c r="AY45" s="703"/>
      <c r="AZ45" s="703"/>
      <c r="BA45" s="703"/>
      <c r="BB45" s="703"/>
      <c r="BC45" s="703"/>
      <c r="BD45" s="703"/>
      <c r="BE45" s="703"/>
      <c r="BF45" s="704"/>
    </row>
    <row r="46" spans="5:58" ht="15" x14ac:dyDescent="0.2">
      <c r="F46" s="233"/>
      <c r="G46" s="233"/>
      <c r="H46" s="233"/>
      <c r="I46" s="233"/>
      <c r="J46" s="4"/>
      <c r="K46" s="4"/>
      <c r="L46" s="235"/>
      <c r="M46" s="243"/>
      <c r="AF46" s="232"/>
      <c r="AM46" s="1501" t="s">
        <v>129</v>
      </c>
      <c r="AN46" s="1501"/>
      <c r="AO46" s="1501"/>
      <c r="AP46" s="1502"/>
      <c r="AQ46" s="709"/>
      <c r="AR46" s="710"/>
      <c r="AS46" s="710"/>
      <c r="AT46" s="710"/>
      <c r="AU46" s="710"/>
      <c r="AV46" s="710"/>
      <c r="AW46" s="703"/>
      <c r="AX46" s="703"/>
      <c r="AY46" s="703"/>
      <c r="AZ46" s="703"/>
      <c r="BA46" s="703"/>
      <c r="BB46" s="703"/>
      <c r="BC46" s="703"/>
      <c r="BD46" s="703"/>
      <c r="BE46" s="703"/>
      <c r="BF46" s="704"/>
    </row>
    <row r="47" spans="5:58" ht="48" x14ac:dyDescent="0.2">
      <c r="F47" s="233"/>
      <c r="G47" s="233"/>
      <c r="H47" s="233"/>
      <c r="I47" s="233"/>
      <c r="J47" s="4"/>
      <c r="K47" s="4"/>
      <c r="L47" s="235"/>
      <c r="M47" s="243"/>
      <c r="AF47" s="232"/>
      <c r="AM47" s="676" t="s">
        <v>1216</v>
      </c>
      <c r="AN47" s="677" t="s">
        <v>1217</v>
      </c>
      <c r="AO47" s="678" t="s">
        <v>1236</v>
      </c>
      <c r="AP47" s="679"/>
      <c r="AQ47" s="712"/>
      <c r="AR47" s="679" t="s">
        <v>1219</v>
      </c>
      <c r="AS47" s="679" t="s">
        <v>1237</v>
      </c>
      <c r="AT47" s="679" t="s">
        <v>1238</v>
      </c>
      <c r="AU47" s="679" t="s">
        <v>1239</v>
      </c>
      <c r="AV47" s="713"/>
      <c r="AW47" s="703"/>
      <c r="AX47" s="703"/>
      <c r="AY47" s="703"/>
      <c r="AZ47" s="703"/>
      <c r="BA47" s="703"/>
      <c r="BB47" s="703"/>
      <c r="BC47" s="703"/>
      <c r="BD47" s="703"/>
      <c r="BE47" s="703"/>
      <c r="BF47" s="704"/>
    </row>
    <row r="48" spans="5:58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AF48" s="232"/>
      <c r="AM48" s="680"/>
      <c r="AN48" s="681">
        <v>25</v>
      </c>
      <c r="AO48" s="681"/>
      <c r="AP48" s="682"/>
      <c r="AQ48" s="714"/>
      <c r="AR48" s="683">
        <v>18</v>
      </c>
      <c r="AS48" s="684">
        <v>79.5</v>
      </c>
      <c r="AT48" s="682">
        <v>79.5</v>
      </c>
      <c r="AU48" s="682">
        <v>82</v>
      </c>
      <c r="AV48" s="715"/>
      <c r="AW48" s="703"/>
      <c r="AX48" s="703"/>
      <c r="AY48" s="703"/>
      <c r="AZ48" s="703"/>
      <c r="BA48" s="703"/>
      <c r="BB48" s="703"/>
      <c r="BC48" s="703"/>
      <c r="BD48" s="703"/>
      <c r="BE48" s="703"/>
      <c r="BF48" s="704"/>
    </row>
    <row r="49" spans="5:58" ht="15" x14ac:dyDescent="0.2">
      <c r="E49" t="s">
        <v>988</v>
      </c>
      <c r="F49" s="233" t="b">
        <f>KirjastoC!V5</f>
        <v>1</v>
      </c>
      <c r="G49" s="233"/>
      <c r="H49" s="233"/>
      <c r="I49" s="233"/>
      <c r="J49" s="4"/>
      <c r="K49" s="4"/>
      <c r="L49" s="235"/>
      <c r="M49" s="243"/>
      <c r="AF49" s="232"/>
      <c r="AM49" s="687" t="s">
        <v>1240</v>
      </c>
      <c r="AN49" s="681">
        <v>68</v>
      </c>
      <c r="AO49" s="681">
        <v>79.3</v>
      </c>
      <c r="AP49" s="682"/>
      <c r="AQ49" s="714"/>
      <c r="AR49" s="683">
        <v>29</v>
      </c>
      <c r="AS49" s="684">
        <v>79.5</v>
      </c>
      <c r="AT49" s="682">
        <v>79.5</v>
      </c>
      <c r="AU49" s="682">
        <v>81.75</v>
      </c>
      <c r="AV49" s="715"/>
      <c r="AW49" s="703"/>
      <c r="AX49" s="703"/>
      <c r="AY49" s="703"/>
      <c r="AZ49" s="703"/>
      <c r="BA49" s="703"/>
      <c r="BB49" s="703"/>
      <c r="BC49" s="703"/>
      <c r="BD49" s="703"/>
      <c r="BE49" s="703"/>
      <c r="BF49" s="704"/>
    </row>
    <row r="50" spans="5:58" ht="15" x14ac:dyDescent="0.2">
      <c r="E50" t="s">
        <v>1177</v>
      </c>
      <c r="F50" s="233" t="b">
        <f>KirjastoC!V6</f>
        <v>0</v>
      </c>
      <c r="G50" s="233"/>
      <c r="H50" s="233"/>
      <c r="I50" s="233"/>
      <c r="J50" s="4"/>
      <c r="K50" s="4"/>
      <c r="L50" s="235"/>
      <c r="M50" s="243"/>
      <c r="AF50" s="232"/>
      <c r="AM50" s="687" t="s">
        <v>1241</v>
      </c>
      <c r="AN50" s="681">
        <v>91</v>
      </c>
      <c r="AO50" s="681">
        <v>79.5</v>
      </c>
      <c r="AP50" s="682"/>
      <c r="AQ50" s="714"/>
      <c r="AR50" s="683">
        <v>36</v>
      </c>
      <c r="AS50" s="684">
        <v>79.5</v>
      </c>
      <c r="AT50" s="682">
        <v>79.5</v>
      </c>
      <c r="AU50" s="682">
        <v>81.5</v>
      </c>
      <c r="AV50" s="715"/>
      <c r="AW50" s="703"/>
      <c r="AX50" s="703"/>
      <c r="AY50" s="703"/>
      <c r="AZ50" s="703"/>
      <c r="BA50" s="703"/>
      <c r="BB50" s="703"/>
      <c r="BC50" s="703"/>
      <c r="BD50" s="703"/>
      <c r="BE50" s="703"/>
      <c r="BF50" s="704"/>
    </row>
    <row r="51" spans="5:58" ht="15" x14ac:dyDescent="0.2">
      <c r="F51" s="233"/>
      <c r="G51" s="233"/>
      <c r="H51" s="233"/>
      <c r="I51" s="233"/>
      <c r="J51" s="4"/>
      <c r="K51" s="4"/>
      <c r="L51" s="235"/>
      <c r="M51" s="243"/>
      <c r="AF51" s="232"/>
      <c r="AM51" s="687" t="s">
        <v>1242</v>
      </c>
      <c r="AN51" s="681">
        <v>127</v>
      </c>
      <c r="AO51" s="689">
        <v>76.599999999999994</v>
      </c>
      <c r="AP51" s="682"/>
      <c r="AQ51" s="714"/>
      <c r="AR51" s="683">
        <v>80</v>
      </c>
      <c r="AS51" s="684">
        <v>79.5</v>
      </c>
      <c r="AT51" s="682">
        <v>79.5</v>
      </c>
      <c r="AU51" s="682">
        <v>80.5</v>
      </c>
      <c r="AV51" s="715"/>
      <c r="AW51" s="703"/>
      <c r="AX51" s="703"/>
      <c r="AY51" s="703"/>
      <c r="AZ51" s="703"/>
      <c r="BA51" s="703"/>
      <c r="BB51" s="703"/>
      <c r="BC51" s="703"/>
      <c r="BD51" s="703"/>
      <c r="BE51" s="703"/>
      <c r="BF51" s="704"/>
    </row>
    <row r="52" spans="5:58" ht="15" x14ac:dyDescent="0.2">
      <c r="E52" t="s">
        <v>1956</v>
      </c>
      <c r="F52" s="80">
        <f>'C-series'!E42</f>
        <v>500</v>
      </c>
      <c r="G52" t="str">
        <f>'C-series'!F42</f>
        <v>dm³/s</v>
      </c>
      <c r="H52" s="233"/>
      <c r="I52" s="233"/>
      <c r="J52" s="4"/>
      <c r="K52" s="4"/>
      <c r="L52" s="235"/>
      <c r="M52" s="243"/>
      <c r="AF52" s="232"/>
      <c r="AM52" s="688" t="s">
        <v>1243</v>
      </c>
      <c r="AN52" s="681">
        <v>167</v>
      </c>
      <c r="AO52" s="681">
        <v>79.900000000000006</v>
      </c>
      <c r="AP52" s="682"/>
      <c r="AQ52" s="714"/>
      <c r="AR52" s="683">
        <v>120</v>
      </c>
      <c r="AS52" s="684">
        <v>79.5</v>
      </c>
      <c r="AT52" s="682">
        <v>79.5</v>
      </c>
      <c r="AU52" s="682">
        <v>80</v>
      </c>
      <c r="AV52" s="715"/>
      <c r="AW52" s="703"/>
      <c r="AX52" s="703"/>
      <c r="AY52" s="703"/>
      <c r="AZ52" s="703"/>
      <c r="BA52" s="703"/>
      <c r="BB52" s="703"/>
      <c r="BC52" s="703"/>
      <c r="BD52" s="703"/>
      <c r="BE52" s="703"/>
      <c r="BF52" s="704"/>
    </row>
    <row r="53" spans="5:58" ht="15" x14ac:dyDescent="0.2">
      <c r="E53" t="s">
        <v>1957</v>
      </c>
      <c r="F53" s="4">
        <f>IF(F49,'C-series'!E42,'C-series'!E43)</f>
        <v>500</v>
      </c>
      <c r="G53" s="233" t="s">
        <v>13</v>
      </c>
      <c r="H53" s="233"/>
      <c r="I53" s="233"/>
      <c r="J53" s="4"/>
      <c r="K53" s="4"/>
      <c r="L53" s="235"/>
      <c r="M53" s="243"/>
      <c r="AF53" s="232"/>
      <c r="AM53" s="681"/>
      <c r="AN53" s="681">
        <v>200</v>
      </c>
      <c r="AO53" s="681"/>
      <c r="AP53" s="682"/>
      <c r="AQ53" s="714"/>
      <c r="AR53" s="683">
        <v>180</v>
      </c>
      <c r="AS53" s="684">
        <v>79.5</v>
      </c>
      <c r="AT53" s="682">
        <v>79</v>
      </c>
      <c r="AU53" s="682">
        <v>79.5</v>
      </c>
      <c r="AV53" s="715"/>
      <c r="AW53" s="703"/>
      <c r="AX53" s="703"/>
      <c r="AY53" s="703"/>
      <c r="AZ53" s="703"/>
      <c r="BA53" s="703"/>
      <c r="BB53" s="703"/>
      <c r="BC53" s="703"/>
      <c r="BD53" s="703"/>
      <c r="BE53" s="703"/>
      <c r="BF53" s="704"/>
    </row>
    <row r="54" spans="5:58" ht="15" x14ac:dyDescent="0.2">
      <c r="F54" s="233"/>
      <c r="G54" s="233"/>
      <c r="H54" s="233"/>
      <c r="I54" s="233"/>
      <c r="J54" s="4"/>
      <c r="K54" s="4"/>
      <c r="L54" s="235"/>
      <c r="M54" s="243"/>
      <c r="AF54" s="232"/>
      <c r="AM54" s="703"/>
      <c r="AN54" s="703"/>
      <c r="AO54" s="717" t="s">
        <v>1244</v>
      </c>
      <c r="AP54" s="703"/>
      <c r="AR54" s="731">
        <f>AR53</f>
        <v>180</v>
      </c>
      <c r="AS54" s="731">
        <f t="shared" ref="AS54:AU54" si="9">AS53</f>
        <v>79.5</v>
      </c>
      <c r="AT54" s="731">
        <f t="shared" si="9"/>
        <v>79</v>
      </c>
      <c r="AU54" s="731">
        <f t="shared" si="9"/>
        <v>79.5</v>
      </c>
      <c r="AV54" s="703"/>
      <c r="AW54" s="703"/>
      <c r="AX54" s="703"/>
      <c r="AY54" s="703"/>
      <c r="AZ54" s="703"/>
      <c r="BA54" s="703"/>
      <c r="BB54" s="703"/>
      <c r="BC54" s="703"/>
      <c r="BD54" s="703"/>
      <c r="BE54" s="703"/>
      <c r="BF54" s="704"/>
    </row>
    <row r="55" spans="5:58" x14ac:dyDescent="0.15">
      <c r="F55" s="233"/>
      <c r="G55" s="233"/>
      <c r="H55" s="233"/>
      <c r="I55" s="233"/>
      <c r="J55" s="4"/>
      <c r="K55" s="4"/>
      <c r="L55" s="235"/>
      <c r="M55" s="243"/>
      <c r="AF55" s="232"/>
      <c r="BF55" s="364"/>
    </row>
    <row r="56" spans="5:58" x14ac:dyDescent="0.15">
      <c r="E56" t="s">
        <v>2199</v>
      </c>
      <c r="F56" s="233">
        <v>550</v>
      </c>
      <c r="G56" s="233" t="s">
        <v>1219</v>
      </c>
      <c r="H56" s="233"/>
      <c r="I56" s="233"/>
      <c r="J56" s="4"/>
      <c r="K56" s="4"/>
      <c r="L56" s="235"/>
      <c r="M56" s="243"/>
      <c r="AF56" s="232"/>
      <c r="AM56" s="703"/>
      <c r="AN56" s="703"/>
      <c r="AO56" s="703"/>
      <c r="AP56" s="703"/>
      <c r="AR56" s="703"/>
      <c r="AS56" s="703"/>
      <c r="AT56" s="703"/>
      <c r="AU56" s="703"/>
      <c r="AV56" s="703"/>
      <c r="AW56" s="703"/>
      <c r="AX56" s="703"/>
      <c r="AY56" s="703"/>
      <c r="AZ56" s="703"/>
      <c r="BA56" s="703"/>
      <c r="BB56" s="703"/>
      <c r="BC56" s="703"/>
      <c r="BD56" s="703"/>
      <c r="BE56" s="703"/>
      <c r="BF56" s="704"/>
    </row>
    <row r="57" spans="5:58" ht="15" x14ac:dyDescent="0.2">
      <c r="E57" t="s">
        <v>2200</v>
      </c>
      <c r="F57" s="242">
        <v>0.85199999999999998</v>
      </c>
      <c r="G57" s="233"/>
      <c r="H57" s="233"/>
      <c r="I57" s="233"/>
      <c r="J57" s="4"/>
      <c r="K57" s="4"/>
      <c r="L57" s="235"/>
      <c r="M57" s="243"/>
      <c r="AF57" s="232"/>
      <c r="AM57" s="718"/>
      <c r="AN57" s="703"/>
      <c r="AO57" s="719"/>
      <c r="AP57" s="703"/>
      <c r="AR57" s="703"/>
      <c r="AS57" s="703"/>
      <c r="AT57" s="703"/>
      <c r="AU57" s="703"/>
      <c r="AV57" s="703"/>
      <c r="AW57" s="703"/>
      <c r="AX57" s="703"/>
      <c r="AY57" s="703"/>
      <c r="AZ57" s="703"/>
      <c r="BA57" s="703"/>
      <c r="BB57" s="703"/>
      <c r="BC57" s="703"/>
      <c r="BD57" s="703"/>
      <c r="BE57" s="703"/>
      <c r="BF57" s="704"/>
    </row>
    <row r="58" spans="5:58" ht="15" x14ac:dyDescent="0.2">
      <c r="E58" t="s">
        <v>1259</v>
      </c>
      <c r="F58" s="242">
        <v>0.80449999999999999</v>
      </c>
      <c r="G58" s="233"/>
      <c r="H58" s="233"/>
      <c r="I58" s="233"/>
      <c r="J58" s="4"/>
      <c r="K58" s="4"/>
      <c r="L58" s="235"/>
      <c r="M58" s="243"/>
      <c r="AF58" s="232"/>
      <c r="AM58" s="1501" t="s">
        <v>1245</v>
      </c>
      <c r="AN58" s="1501"/>
      <c r="AO58" s="1501"/>
      <c r="AP58" s="1502"/>
      <c r="AQ58" s="709"/>
      <c r="AR58" s="703"/>
      <c r="AS58" s="703"/>
      <c r="AT58" s="703"/>
      <c r="AU58" s="703"/>
      <c r="AV58" s="710"/>
      <c r="AW58" s="703"/>
      <c r="AX58" s="703"/>
      <c r="AY58" s="703"/>
      <c r="AZ58" s="703"/>
      <c r="BA58" s="703"/>
      <c r="BB58" s="703"/>
      <c r="BC58" s="703"/>
      <c r="BD58" s="703"/>
      <c r="BE58" s="703"/>
      <c r="BF58" s="704"/>
    </row>
    <row r="59" spans="5:58" ht="48" x14ac:dyDescent="0.2">
      <c r="F59" s="233"/>
      <c r="G59" s="233"/>
      <c r="H59" s="233"/>
      <c r="I59" s="233"/>
      <c r="J59" s="4"/>
      <c r="K59" s="4"/>
      <c r="L59" s="235"/>
      <c r="M59" s="243"/>
      <c r="AF59" s="232"/>
      <c r="AM59" s="678"/>
      <c r="AN59" s="677" t="s">
        <v>1219</v>
      </c>
      <c r="AO59" s="678"/>
      <c r="AP59" s="690"/>
      <c r="AQ59" s="720"/>
      <c r="AR59" s="679" t="s">
        <v>1219</v>
      </c>
      <c r="AS59" s="679" t="s">
        <v>1246</v>
      </c>
      <c r="AT59" s="679" t="s">
        <v>1247</v>
      </c>
      <c r="AU59" s="679" t="s">
        <v>1248</v>
      </c>
      <c r="AV59" s="707"/>
      <c r="AW59" s="703"/>
      <c r="AX59" s="703"/>
      <c r="AY59" s="703"/>
      <c r="AZ59" s="703"/>
      <c r="BA59" s="703"/>
      <c r="BB59" s="703"/>
      <c r="BC59" s="703"/>
      <c r="BD59" s="703"/>
      <c r="BE59" s="703"/>
      <c r="BF59" s="704"/>
    </row>
    <row r="60" spans="5:58" ht="15" x14ac:dyDescent="0.2">
      <c r="F60" s="233"/>
      <c r="G60" s="233"/>
      <c r="H60" s="233"/>
      <c r="I60" s="233"/>
      <c r="J60" s="4"/>
      <c r="K60" s="4"/>
      <c r="L60" s="235"/>
      <c r="M60" s="243"/>
      <c r="AF60" s="232"/>
      <c r="AM60" s="681"/>
      <c r="AN60" s="691">
        <v>50</v>
      </c>
      <c r="AO60" s="692">
        <v>79.5</v>
      </c>
      <c r="AP60" s="692"/>
      <c r="AQ60" s="32"/>
      <c r="AR60" s="693">
        <v>50</v>
      </c>
      <c r="AS60" s="684">
        <v>79.5</v>
      </c>
      <c r="AT60" s="682">
        <v>79.5</v>
      </c>
      <c r="AU60" s="682">
        <v>81</v>
      </c>
      <c r="AV60" s="721"/>
      <c r="AW60" s="703"/>
      <c r="AX60" s="703"/>
      <c r="AY60" s="703"/>
      <c r="AZ60" s="703"/>
      <c r="BA60" s="703"/>
      <c r="BB60" s="703"/>
      <c r="BC60" s="703"/>
      <c r="BD60" s="703"/>
      <c r="BE60" s="703"/>
      <c r="BF60" s="704"/>
    </row>
    <row r="61" spans="5:58" ht="15" x14ac:dyDescent="0.2">
      <c r="F61" s="233"/>
      <c r="G61" s="233"/>
      <c r="H61" s="233"/>
      <c r="I61" s="233"/>
      <c r="J61" s="4"/>
      <c r="K61" s="4"/>
      <c r="L61" s="235"/>
      <c r="M61" s="243"/>
      <c r="AF61" s="232"/>
      <c r="AM61" s="694"/>
      <c r="AN61" s="691">
        <v>100</v>
      </c>
      <c r="AO61" s="692">
        <v>79.5</v>
      </c>
      <c r="AP61" s="692"/>
      <c r="AQ61" s="32"/>
      <c r="AR61" s="693">
        <v>100</v>
      </c>
      <c r="AS61" s="684">
        <v>79.5</v>
      </c>
      <c r="AT61" s="682">
        <v>79.5</v>
      </c>
      <c r="AU61" s="682">
        <v>80.5</v>
      </c>
      <c r="AV61" s="721"/>
      <c r="AW61" s="703"/>
      <c r="AX61" s="703"/>
      <c r="AY61" s="703"/>
      <c r="AZ61" s="703"/>
      <c r="BA61" s="703"/>
      <c r="BB61" s="703"/>
      <c r="BC61" s="703"/>
      <c r="BD61" s="703"/>
      <c r="BE61" s="703"/>
      <c r="BF61" s="704"/>
    </row>
    <row r="62" spans="5:58" ht="15" x14ac:dyDescent="0.2">
      <c r="F62" s="233"/>
      <c r="G62" s="233"/>
      <c r="H62" s="233"/>
      <c r="I62" s="233"/>
      <c r="J62" s="4"/>
      <c r="K62" s="4"/>
      <c r="L62" s="235"/>
      <c r="M62" s="243"/>
      <c r="AF62" s="232"/>
      <c r="AM62" s="694"/>
      <c r="AN62" s="691">
        <v>150</v>
      </c>
      <c r="AO62" s="692">
        <v>79.5</v>
      </c>
      <c r="AP62" s="692"/>
      <c r="AQ62" s="32"/>
      <c r="AR62" s="693">
        <v>150</v>
      </c>
      <c r="AS62" s="684">
        <v>79.5</v>
      </c>
      <c r="AT62" s="682">
        <v>79.5</v>
      </c>
      <c r="AU62" s="682">
        <v>80</v>
      </c>
      <c r="AV62" s="721"/>
      <c r="AW62" s="703"/>
      <c r="AX62" s="703"/>
      <c r="AY62" s="703"/>
      <c r="AZ62" s="703"/>
      <c r="BA62" s="703"/>
      <c r="BB62" s="703"/>
      <c r="BC62" s="703"/>
      <c r="BD62" s="703"/>
      <c r="BE62" s="703"/>
      <c r="BF62" s="704"/>
    </row>
    <row r="63" spans="5:58" ht="15" x14ac:dyDescent="0.2">
      <c r="F63" s="233"/>
      <c r="G63" s="233"/>
      <c r="H63" s="233"/>
      <c r="I63" s="233"/>
      <c r="J63" s="4"/>
      <c r="K63" s="4"/>
      <c r="L63" s="235"/>
      <c r="M63" s="243"/>
      <c r="AF63" s="232"/>
      <c r="AM63" s="694"/>
      <c r="AN63" s="691">
        <v>200</v>
      </c>
      <c r="AO63" s="692">
        <v>79.3</v>
      </c>
      <c r="AP63" s="692"/>
      <c r="AQ63" s="32"/>
      <c r="AR63" s="693">
        <v>200</v>
      </c>
      <c r="AS63" s="684">
        <v>79.3</v>
      </c>
      <c r="AT63" s="682">
        <v>79</v>
      </c>
      <c r="AU63" s="682">
        <v>79.5</v>
      </c>
      <c r="AV63" s="721"/>
      <c r="AW63" s="703"/>
      <c r="AX63" s="703"/>
      <c r="AY63" s="703"/>
      <c r="AZ63" s="703"/>
      <c r="BA63" s="703"/>
      <c r="BB63" s="703"/>
      <c r="BC63" s="703"/>
      <c r="BD63" s="703"/>
      <c r="BE63" s="703"/>
      <c r="BF63" s="704"/>
    </row>
    <row r="64" spans="5:58" ht="15" x14ac:dyDescent="0.2">
      <c r="F64" s="233"/>
      <c r="G64" s="233"/>
      <c r="H64" s="233"/>
      <c r="I64" s="233"/>
      <c r="J64" s="4"/>
      <c r="K64" s="4"/>
      <c r="L64" s="235"/>
      <c r="M64" s="243"/>
      <c r="AF64" s="232"/>
      <c r="AM64" s="695"/>
      <c r="AN64" s="691">
        <v>250</v>
      </c>
      <c r="AO64" s="692">
        <v>78.2</v>
      </c>
      <c r="AP64" s="692"/>
      <c r="AQ64" s="32"/>
      <c r="AR64" s="693">
        <v>250</v>
      </c>
      <c r="AS64" s="684">
        <v>78.2</v>
      </c>
      <c r="AT64" s="682">
        <v>78.2</v>
      </c>
      <c r="AU64" s="682">
        <v>78.7</v>
      </c>
      <c r="AV64" s="721"/>
      <c r="AW64" s="703"/>
      <c r="AX64" s="703"/>
      <c r="AY64" s="703"/>
      <c r="AZ64" s="703"/>
      <c r="BA64" s="703"/>
      <c r="BB64" s="703"/>
      <c r="BC64" s="703"/>
      <c r="BD64" s="703"/>
      <c r="BE64" s="703"/>
      <c r="BF64" s="704"/>
    </row>
    <row r="65" spans="6:58" ht="15" x14ac:dyDescent="0.2">
      <c r="F65" s="233"/>
      <c r="G65" s="233"/>
      <c r="H65" s="233"/>
      <c r="I65" s="233"/>
      <c r="J65" s="4"/>
      <c r="K65" s="4"/>
      <c r="L65" s="235"/>
      <c r="M65" s="243"/>
      <c r="AF65" s="232"/>
      <c r="AM65" s="681"/>
      <c r="AN65" s="691">
        <v>300</v>
      </c>
      <c r="AO65" s="692">
        <v>77.5</v>
      </c>
      <c r="AP65" s="692"/>
      <c r="AQ65" s="32"/>
      <c r="AR65" s="693">
        <v>300</v>
      </c>
      <c r="AS65" s="684">
        <v>77.5</v>
      </c>
      <c r="AT65" s="682">
        <v>77.5</v>
      </c>
      <c r="AU65" s="682">
        <v>78</v>
      </c>
      <c r="AV65" s="721"/>
      <c r="AW65" s="703"/>
      <c r="AX65" s="703"/>
      <c r="AY65" s="703"/>
      <c r="AZ65" s="703"/>
      <c r="BA65" s="703"/>
      <c r="BB65" s="703"/>
      <c r="BC65" s="703"/>
      <c r="BD65" s="703"/>
      <c r="BE65" s="703"/>
      <c r="BF65" s="704"/>
    </row>
    <row r="66" spans="6:58" ht="16" thickBot="1" x14ac:dyDescent="0.25">
      <c r="F66" s="233"/>
      <c r="G66" s="233"/>
      <c r="H66" s="233"/>
      <c r="I66" s="233"/>
      <c r="J66" s="4"/>
      <c r="K66" s="4"/>
      <c r="L66" s="235"/>
      <c r="M66" s="243"/>
      <c r="AF66" s="236"/>
      <c r="AG66" s="238"/>
      <c r="AH66" s="238"/>
      <c r="AI66" s="238"/>
      <c r="AJ66" s="238"/>
      <c r="AK66" s="238"/>
      <c r="AL66" s="238"/>
      <c r="AM66" s="722"/>
      <c r="AN66" s="722">
        <v>350</v>
      </c>
      <c r="AO66" s="723">
        <v>77.3</v>
      </c>
      <c r="AP66" s="723"/>
      <c r="AQ66" s="724"/>
      <c r="AR66" s="725">
        <v>350</v>
      </c>
      <c r="AS66" s="726">
        <v>77.3</v>
      </c>
      <c r="AT66" s="727">
        <v>76.8</v>
      </c>
      <c r="AU66" s="727">
        <v>77</v>
      </c>
      <c r="AV66" s="728"/>
      <c r="AW66" s="729"/>
      <c r="AX66" s="729"/>
      <c r="AY66" s="729"/>
      <c r="AZ66" s="729"/>
      <c r="BA66" s="729"/>
      <c r="BB66" s="729"/>
      <c r="BC66" s="729"/>
      <c r="BD66" s="729"/>
      <c r="BE66" s="729"/>
      <c r="BF66" s="730"/>
    </row>
    <row r="67" spans="6:58" x14ac:dyDescent="0.15">
      <c r="F67" s="233"/>
      <c r="G67" s="233"/>
      <c r="H67" s="233"/>
      <c r="I67" s="233"/>
      <c r="J67" s="4"/>
      <c r="K67" s="4"/>
      <c r="L67" s="235"/>
      <c r="M67" s="243"/>
    </row>
    <row r="68" spans="6:58" x14ac:dyDescent="0.15">
      <c r="F68" s="233"/>
      <c r="G68" s="233"/>
      <c r="H68" s="233"/>
      <c r="I68" s="233"/>
      <c r="J68" s="4"/>
      <c r="K68" s="4"/>
      <c r="L68" s="235"/>
      <c r="M68" s="243"/>
    </row>
    <row r="69" spans="6:58" x14ac:dyDescent="0.15">
      <c r="F69" s="233"/>
      <c r="G69" s="233"/>
      <c r="H69" s="233"/>
      <c r="I69" s="233"/>
      <c r="J69" s="4"/>
      <c r="K69" s="4"/>
      <c r="L69" s="235"/>
      <c r="M69" s="243"/>
    </row>
    <row r="70" spans="6:58" x14ac:dyDescent="0.15">
      <c r="F70" s="233"/>
      <c r="G70" s="233"/>
      <c r="H70" s="233"/>
      <c r="I70" s="233"/>
      <c r="J70" s="4"/>
      <c r="K70" s="4"/>
      <c r="L70" s="235"/>
      <c r="M70" s="243"/>
    </row>
    <row r="71" spans="6:58" x14ac:dyDescent="0.15">
      <c r="F71" s="233"/>
      <c r="G71" s="233"/>
      <c r="H71" s="233"/>
      <c r="I71" s="233"/>
      <c r="J71" s="4"/>
      <c r="K71" s="4"/>
      <c r="L71" s="235"/>
      <c r="M71" s="243"/>
    </row>
    <row r="72" spans="6:58" x14ac:dyDescent="0.15">
      <c r="F72" s="233"/>
      <c r="G72" s="233"/>
      <c r="H72" s="233"/>
      <c r="I72" s="233"/>
      <c r="J72" s="4"/>
      <c r="K72" s="4"/>
      <c r="L72" s="235"/>
      <c r="M72" s="243"/>
    </row>
    <row r="73" spans="6:58" x14ac:dyDescent="0.15">
      <c r="F73" s="233"/>
      <c r="G73" s="233"/>
      <c r="H73" s="233"/>
      <c r="I73" s="233"/>
      <c r="J73" s="4"/>
      <c r="K73" s="4"/>
      <c r="L73" s="235"/>
      <c r="M73" s="243"/>
    </row>
    <row r="74" spans="6:58" x14ac:dyDescent="0.15">
      <c r="F74" s="233"/>
      <c r="G74" s="233"/>
      <c r="H74" s="233"/>
      <c r="I74" s="233"/>
      <c r="J74" s="4"/>
      <c r="K74" s="4"/>
      <c r="L74" s="235"/>
      <c r="M74" s="243"/>
    </row>
    <row r="75" spans="6:58" x14ac:dyDescent="0.15">
      <c r="F75" s="233"/>
      <c r="G75" s="233"/>
      <c r="H75" s="233"/>
      <c r="I75" s="233"/>
      <c r="J75" s="4"/>
      <c r="K75" s="4"/>
      <c r="L75" s="235"/>
      <c r="M75" s="243"/>
    </row>
    <row r="76" spans="6:58" x14ac:dyDescent="0.15">
      <c r="F76" s="233"/>
      <c r="G76" s="233"/>
      <c r="H76" s="233"/>
      <c r="I76" s="233"/>
      <c r="J76" s="4"/>
      <c r="K76" s="4"/>
      <c r="L76" s="235"/>
      <c r="M76" s="243"/>
    </row>
    <row r="77" spans="6:58" x14ac:dyDescent="0.15">
      <c r="F77" s="233"/>
      <c r="G77" s="233"/>
      <c r="H77" s="233"/>
      <c r="I77" s="233"/>
      <c r="J77" s="4"/>
      <c r="K77" s="4"/>
      <c r="L77" s="235"/>
      <c r="M77" s="243"/>
    </row>
    <row r="78" spans="6:58" x14ac:dyDescent="0.15">
      <c r="F78" s="233"/>
      <c r="G78" s="233"/>
      <c r="H78" s="233"/>
      <c r="I78" s="233"/>
      <c r="J78" s="4"/>
      <c r="K78" s="4"/>
      <c r="L78" s="235"/>
      <c r="M78" s="243"/>
    </row>
    <row r="79" spans="6:58" x14ac:dyDescent="0.15">
      <c r="F79" s="233"/>
      <c r="G79" s="233"/>
      <c r="H79" s="233"/>
      <c r="I79" s="233"/>
      <c r="J79" s="4"/>
      <c r="K79" s="4"/>
      <c r="L79" s="235"/>
      <c r="M79" s="243"/>
    </row>
    <row r="80" spans="6:58" x14ac:dyDescent="0.15">
      <c r="F80" s="233"/>
      <c r="G80" s="233"/>
      <c r="H80" s="233"/>
      <c r="I80" s="233"/>
      <c r="J80" s="4"/>
      <c r="K80" s="4"/>
      <c r="L80" s="235"/>
      <c r="M80" s="243"/>
    </row>
    <row r="81" spans="5:37" x14ac:dyDescent="0.15">
      <c r="F81" s="233"/>
      <c r="G81" s="233"/>
      <c r="H81" s="233"/>
      <c r="I81" s="233"/>
      <c r="J81" s="4"/>
      <c r="K81" s="4"/>
      <c r="L81" s="235"/>
      <c r="M81" s="243"/>
    </row>
    <row r="82" spans="5:37" x14ac:dyDescent="0.15">
      <c r="F82" s="233"/>
      <c r="G82" s="233"/>
      <c r="H82" s="233"/>
      <c r="I82" s="233"/>
      <c r="J82" s="4"/>
      <c r="K82" s="4"/>
      <c r="L82" s="235"/>
      <c r="M82" s="243"/>
    </row>
    <row r="83" spans="5:37" x14ac:dyDescent="0.15">
      <c r="F83" s="233"/>
      <c r="G83" s="233"/>
      <c r="H83" s="233"/>
      <c r="I83" s="233"/>
      <c r="J83" s="4"/>
      <c r="K83" s="4"/>
      <c r="L83" s="235"/>
      <c r="M83" s="243"/>
    </row>
    <row r="84" spans="5:37" x14ac:dyDescent="0.15">
      <c r="F84" s="233"/>
      <c r="G84" s="233"/>
      <c r="H84" s="233"/>
      <c r="I84" s="233"/>
      <c r="J84" s="4"/>
      <c r="K84" s="4"/>
      <c r="L84" s="235"/>
      <c r="M84" s="243"/>
    </row>
    <row r="85" spans="5:37" x14ac:dyDescent="0.15">
      <c r="F85" s="233"/>
      <c r="G85" s="233"/>
      <c r="H85" s="233"/>
      <c r="I85" s="233"/>
      <c r="J85" s="4"/>
      <c r="K85" s="4"/>
      <c r="L85" s="235"/>
      <c r="M85" s="243"/>
    </row>
    <row r="86" spans="5:37" x14ac:dyDescent="0.15">
      <c r="F86" s="233"/>
      <c r="G86" s="233"/>
      <c r="H86" s="233"/>
      <c r="I86" s="233"/>
      <c r="J86" s="4"/>
      <c r="K86" s="4"/>
      <c r="L86" s="235"/>
      <c r="M86" s="243"/>
    </row>
    <row r="87" spans="5:37" x14ac:dyDescent="0.15">
      <c r="F87" s="233"/>
      <c r="G87" s="233"/>
      <c r="H87" s="233"/>
      <c r="I87" s="233"/>
      <c r="J87" s="4"/>
      <c r="K87" s="4"/>
      <c r="L87" s="235"/>
      <c r="M87" s="243"/>
    </row>
    <row r="88" spans="5:37" x14ac:dyDescent="0.15">
      <c r="F88" s="233"/>
      <c r="G88" s="233"/>
      <c r="H88" s="233"/>
      <c r="I88" s="233"/>
      <c r="J88" s="4"/>
      <c r="K88" s="4"/>
      <c r="L88" s="235"/>
      <c r="M88" s="243"/>
    </row>
    <row r="89" spans="5:37" x14ac:dyDescent="0.15">
      <c r="F89" s="233"/>
      <c r="G89" s="233"/>
      <c r="H89" s="233"/>
      <c r="I89" s="233"/>
      <c r="J89" s="4"/>
      <c r="K89" s="4"/>
      <c r="L89" s="235"/>
      <c r="M89" s="243"/>
    </row>
    <row r="90" spans="5:37" x14ac:dyDescent="0.15">
      <c r="F90" s="233"/>
      <c r="G90" s="233"/>
      <c r="H90" s="233"/>
      <c r="I90" s="233"/>
      <c r="J90" s="4"/>
      <c r="K90" s="4"/>
      <c r="L90" s="235"/>
      <c r="M90" s="243"/>
    </row>
    <row r="91" spans="5:37" x14ac:dyDescent="0.15">
      <c r="F91" s="233"/>
      <c r="G91" s="233"/>
      <c r="H91" s="233"/>
      <c r="I91" s="233"/>
      <c r="J91" s="4"/>
      <c r="K91" s="4"/>
      <c r="L91" s="235"/>
      <c r="M91" s="243"/>
    </row>
    <row r="92" spans="5:37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3"/>
    </row>
    <row r="93" spans="5:37" x14ac:dyDescent="0.15">
      <c r="F93" s="233"/>
      <c r="G93" s="233"/>
      <c r="H93" s="233"/>
      <c r="I93" s="233"/>
      <c r="J93" s="4"/>
      <c r="K93" s="4"/>
      <c r="L93" s="235"/>
      <c r="M93" s="243"/>
    </row>
    <row r="94" spans="5:37" x14ac:dyDescent="0.1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37" x14ac:dyDescent="0.15">
      <c r="E95" s="240"/>
      <c r="F95" s="233"/>
      <c r="G95" s="233"/>
      <c r="H95" s="233"/>
      <c r="I95" s="233"/>
      <c r="J95" s="4"/>
      <c r="K95" s="4"/>
      <c r="L95" s="235"/>
      <c r="M95" s="243"/>
      <c r="AK95" t="s">
        <v>482</v>
      </c>
    </row>
    <row r="96" spans="5:37" ht="14" thickBot="1" x14ac:dyDescent="0.2">
      <c r="E96" s="240" t="s">
        <v>281</v>
      </c>
      <c r="F96" s="233"/>
      <c r="G96" s="233"/>
      <c r="H96" s="233"/>
      <c r="I96" s="233"/>
    </row>
    <row r="97" spans="5:52" ht="14" thickBot="1" x14ac:dyDescent="0.2">
      <c r="E97" s="241" t="s">
        <v>285</v>
      </c>
      <c r="F97" s="233"/>
      <c r="G97" s="233"/>
      <c r="H97" s="233"/>
      <c r="I97" s="233"/>
      <c r="AK97" s="324" t="s">
        <v>464</v>
      </c>
      <c r="AL97" s="325"/>
      <c r="AM97" s="325"/>
      <c r="AN97" s="325"/>
      <c r="AO97" s="325"/>
      <c r="AP97" s="325"/>
      <c r="AQ97" s="325"/>
      <c r="AR97" s="325"/>
    </row>
    <row r="98" spans="5:52" x14ac:dyDescent="0.15">
      <c r="E98" s="233"/>
      <c r="F98" s="233"/>
      <c r="G98" s="233"/>
      <c r="H98" s="233"/>
      <c r="I98" s="233"/>
      <c r="AK98" s="326" t="s">
        <v>465</v>
      </c>
      <c r="AL98" s="327"/>
      <c r="AM98" s="327"/>
      <c r="AN98" s="327"/>
      <c r="AO98" s="328" t="s">
        <v>466</v>
      </c>
      <c r="AP98" s="329"/>
      <c r="AQ98" s="330" t="s">
        <v>467</v>
      </c>
      <c r="AR98" s="331"/>
    </row>
    <row r="99" spans="5:52" ht="32" x14ac:dyDescent="0.2">
      <c r="E99" s="233"/>
      <c r="F99" s="233"/>
      <c r="G99" s="233"/>
      <c r="H99" s="233"/>
      <c r="I99" s="233"/>
      <c r="AK99" s="232"/>
      <c r="AL99" s="1499" t="s">
        <v>468</v>
      </c>
      <c r="AM99" s="1500"/>
      <c r="AN99" s="1500"/>
      <c r="AO99" s="332" t="s">
        <v>469</v>
      </c>
      <c r="AP99" s="333"/>
      <c r="AQ99" s="334" t="s">
        <v>469</v>
      </c>
      <c r="AR99" s="334"/>
    </row>
    <row r="100" spans="5:52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AJ100" t="s">
        <v>470</v>
      </c>
      <c r="AK100" s="335" t="s">
        <v>471</v>
      </c>
      <c r="AL100" s="336" t="s">
        <v>472</v>
      </c>
      <c r="AM100" s="337" t="s">
        <v>473</v>
      </c>
      <c r="AN100" s="338" t="s">
        <v>474</v>
      </c>
      <c r="AO100" s="339" t="s">
        <v>475</v>
      </c>
      <c r="AP100" s="340" t="s">
        <v>476</v>
      </c>
      <c r="AQ100" s="341" t="s">
        <v>477</v>
      </c>
      <c r="AR100" s="341" t="s">
        <v>478</v>
      </c>
    </row>
    <row r="101" spans="5:52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AJ101">
        <f>AK101*1000</f>
        <v>50</v>
      </c>
      <c r="AK101" s="342">
        <v>0.05</v>
      </c>
      <c r="AL101" s="343">
        <v>83.5</v>
      </c>
      <c r="AM101" s="344">
        <v>84</v>
      </c>
      <c r="AN101" s="345">
        <v>19</v>
      </c>
      <c r="AO101" s="346">
        <v>79.5</v>
      </c>
      <c r="AP101" s="347">
        <v>76.099999999999994</v>
      </c>
      <c r="AQ101" s="348">
        <v>79.5</v>
      </c>
      <c r="AR101" s="348">
        <v>76.099999999999994</v>
      </c>
    </row>
    <row r="102" spans="5:52" ht="14" x14ac:dyDescent="0.2">
      <c r="E102" s="233"/>
      <c r="F102" s="233"/>
      <c r="G102" s="233"/>
      <c r="H102" s="233"/>
      <c r="I102" s="233"/>
      <c r="AJ102">
        <f t="shared" ref="AJ102:AJ108" si="10">AK102*1000</f>
        <v>75</v>
      </c>
      <c r="AK102" s="342">
        <v>7.4999999999999997E-2</v>
      </c>
      <c r="AL102" s="343">
        <v>81.5</v>
      </c>
      <c r="AM102" s="344">
        <v>82</v>
      </c>
      <c r="AN102" s="345">
        <v>33</v>
      </c>
      <c r="AO102" s="346">
        <f>AO101</f>
        <v>79.5</v>
      </c>
      <c r="AP102" s="347">
        <v>76.099999999999994</v>
      </c>
      <c r="AQ102" s="348">
        <v>79.5</v>
      </c>
      <c r="AR102" s="348">
        <v>76.099999999999994</v>
      </c>
    </row>
    <row r="103" spans="5:52" ht="14" x14ac:dyDescent="0.2">
      <c r="E103" s="233" t="s">
        <v>289</v>
      </c>
      <c r="F103" s="233" t="s">
        <v>279</v>
      </c>
      <c r="G103" s="233"/>
      <c r="H103" s="233"/>
      <c r="I103" s="233"/>
      <c r="AJ103">
        <f t="shared" si="10"/>
        <v>100</v>
      </c>
      <c r="AK103" s="342">
        <v>0.1</v>
      </c>
      <c r="AL103" s="343">
        <v>80.2</v>
      </c>
      <c r="AM103" s="344">
        <v>80.7</v>
      </c>
      <c r="AN103" s="345">
        <v>48</v>
      </c>
      <c r="AO103" s="346">
        <f t="shared" ref="AO103:AO104" si="11">AO102</f>
        <v>79.5</v>
      </c>
      <c r="AP103" s="347">
        <v>76.099999999999994</v>
      </c>
      <c r="AQ103" s="348">
        <v>79.5</v>
      </c>
      <c r="AR103" s="348">
        <v>76.099999999999994</v>
      </c>
    </row>
    <row r="104" spans="5:52" ht="14" x14ac:dyDescent="0.2">
      <c r="E104" s="233">
        <v>100</v>
      </c>
      <c r="F104" s="242">
        <v>0.78100000000000003</v>
      </c>
      <c r="G104" s="242"/>
      <c r="H104" s="243"/>
      <c r="I104" s="233"/>
      <c r="AJ104">
        <f t="shared" si="10"/>
        <v>150</v>
      </c>
      <c r="AK104" s="342">
        <v>0.15</v>
      </c>
      <c r="AL104" s="343">
        <v>78.5</v>
      </c>
      <c r="AM104" s="344">
        <v>78.900000000000006</v>
      </c>
      <c r="AN104" s="345">
        <v>85</v>
      </c>
      <c r="AO104" s="346">
        <f t="shared" si="11"/>
        <v>79.5</v>
      </c>
      <c r="AP104" s="347">
        <v>76.099999999999994</v>
      </c>
      <c r="AQ104" s="348">
        <v>79.5</v>
      </c>
      <c r="AR104" s="348">
        <v>76.099999999999994</v>
      </c>
    </row>
    <row r="105" spans="5:52" ht="15" x14ac:dyDescent="0.2">
      <c r="E105" s="233">
        <v>90</v>
      </c>
      <c r="F105" s="242">
        <v>0.78400000000000003</v>
      </c>
      <c r="G105" s="242"/>
      <c r="H105" s="243"/>
      <c r="I105" s="233"/>
      <c r="AJ105">
        <f t="shared" si="10"/>
        <v>200</v>
      </c>
      <c r="AK105" s="342">
        <v>0.2</v>
      </c>
      <c r="AL105" s="343">
        <v>77.2</v>
      </c>
      <c r="AM105" s="344">
        <v>77.599999999999994</v>
      </c>
      <c r="AN105" s="345">
        <v>126</v>
      </c>
      <c r="AO105" s="346" t="s">
        <v>479</v>
      </c>
      <c r="AP105" s="347" t="s">
        <v>479</v>
      </c>
      <c r="AQ105" s="349">
        <v>77.2</v>
      </c>
      <c r="AR105" s="350">
        <v>74.5</v>
      </c>
    </row>
    <row r="106" spans="5:52" ht="15" x14ac:dyDescent="0.2">
      <c r="E106" s="233">
        <v>80</v>
      </c>
      <c r="F106" s="242">
        <v>0.78700000000000003</v>
      </c>
      <c r="G106" s="242"/>
      <c r="H106" s="243"/>
      <c r="I106" s="233"/>
      <c r="AJ106">
        <f t="shared" si="10"/>
        <v>250</v>
      </c>
      <c r="AK106" s="351">
        <v>0.25</v>
      </c>
      <c r="AL106" s="352">
        <v>76.2</v>
      </c>
      <c r="AM106" s="41">
        <v>76.7</v>
      </c>
      <c r="AN106" s="16">
        <v>168</v>
      </c>
      <c r="AO106" s="346" t="s">
        <v>479</v>
      </c>
      <c r="AP106" s="347" t="s">
        <v>479</v>
      </c>
      <c r="AQ106" s="349">
        <v>76.2</v>
      </c>
      <c r="AR106" s="349">
        <v>74.099999999999994</v>
      </c>
    </row>
    <row r="107" spans="5:52" ht="15" x14ac:dyDescent="0.2">
      <c r="E107" s="233">
        <v>70</v>
      </c>
      <c r="F107" s="242">
        <v>0.79100000000000004</v>
      </c>
      <c r="G107" s="242"/>
      <c r="H107" s="243"/>
      <c r="I107" s="233"/>
      <c r="AJ107">
        <f t="shared" si="10"/>
        <v>300</v>
      </c>
      <c r="AK107" s="351">
        <v>0.3</v>
      </c>
      <c r="AL107" s="352">
        <v>75.599999999999994</v>
      </c>
      <c r="AM107" s="41">
        <v>76.099999999999994</v>
      </c>
      <c r="AN107" s="16">
        <v>231</v>
      </c>
      <c r="AO107" s="346" t="s">
        <v>479</v>
      </c>
      <c r="AP107" s="347" t="s">
        <v>479</v>
      </c>
      <c r="AQ107" s="349">
        <v>75.599999999999994</v>
      </c>
      <c r="AR107" s="349">
        <v>73.599999999999994</v>
      </c>
    </row>
    <row r="108" spans="5:52" ht="16" thickBot="1" x14ac:dyDescent="0.25">
      <c r="E108" s="233">
        <v>60</v>
      </c>
      <c r="F108" s="242">
        <v>0.79500000000000004</v>
      </c>
      <c r="G108" s="242"/>
      <c r="H108" s="243"/>
      <c r="I108" s="233"/>
      <c r="AJ108">
        <f t="shared" si="10"/>
        <v>350</v>
      </c>
      <c r="AK108" s="353">
        <v>0.35</v>
      </c>
      <c r="AL108" s="354">
        <v>75.3</v>
      </c>
      <c r="AM108" s="355">
        <v>75.8</v>
      </c>
      <c r="AN108" s="356">
        <v>306</v>
      </c>
      <c r="AO108" s="357" t="s">
        <v>479</v>
      </c>
      <c r="AP108" s="358" t="s">
        <v>479</v>
      </c>
      <c r="AQ108" s="359">
        <v>75.3</v>
      </c>
      <c r="AR108" s="359">
        <v>73.599999999999994</v>
      </c>
    </row>
    <row r="109" spans="5:52" x14ac:dyDescent="0.15">
      <c r="E109" s="233">
        <v>50</v>
      </c>
      <c r="F109" s="242">
        <v>0.80200000000000005</v>
      </c>
      <c r="G109" s="242"/>
      <c r="H109" s="243"/>
      <c r="I109" s="233"/>
    </row>
    <row r="110" spans="5:52" ht="14" thickBot="1" x14ac:dyDescent="0.2">
      <c r="E110" s="233">
        <v>40</v>
      </c>
      <c r="F110" s="242">
        <v>0.81299999999999994</v>
      </c>
      <c r="G110" s="242"/>
      <c r="H110" s="243"/>
      <c r="I110" s="233"/>
      <c r="AV110" s="2" t="s">
        <v>1253</v>
      </c>
    </row>
    <row r="111" spans="5:52" x14ac:dyDescent="0.15">
      <c r="E111" s="233">
        <v>30</v>
      </c>
      <c r="F111" s="242">
        <v>0.83399999999999996</v>
      </c>
      <c r="G111" s="242"/>
      <c r="H111" s="243"/>
      <c r="I111" s="233"/>
      <c r="AV111" s="228"/>
      <c r="AW111" s="230"/>
      <c r="AX111" s="230"/>
      <c r="AY111" s="230"/>
      <c r="AZ111" s="231"/>
    </row>
    <row r="112" spans="5:52" x14ac:dyDescent="0.15">
      <c r="E112" s="233">
        <v>22</v>
      </c>
      <c r="F112" s="242">
        <v>0.86399999999999999</v>
      </c>
      <c r="G112" s="242"/>
      <c r="H112" s="243"/>
      <c r="I112" s="233"/>
      <c r="AV112" s="232"/>
      <c r="AZ112" s="364"/>
    </row>
    <row r="113" spans="5:52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R113" s="317" t="s">
        <v>22</v>
      </c>
      <c r="AS113" s="317">
        <v>83.5</v>
      </c>
      <c r="AT113" s="317"/>
      <c r="AV113" s="232"/>
      <c r="AW113" t="s">
        <v>22</v>
      </c>
      <c r="AX113">
        <v>79.5</v>
      </c>
      <c r="AZ113" s="364"/>
    </row>
    <row r="114" spans="5:52" x14ac:dyDescent="0.15">
      <c r="AR114" s="317" t="s">
        <v>450</v>
      </c>
      <c r="AS114" s="317">
        <v>75.3</v>
      </c>
      <c r="AT114" s="317"/>
      <c r="AV114" s="232"/>
      <c r="AW114" t="s">
        <v>450</v>
      </c>
      <c r="AX114" s="245">
        <f>AU136</f>
        <v>0.7726223404255318</v>
      </c>
      <c r="AZ114" s="364"/>
    </row>
    <row r="115" spans="5:52" x14ac:dyDescent="0.15">
      <c r="E115" s="233" t="s">
        <v>290</v>
      </c>
      <c r="F115" s="235"/>
      <c r="G115" s="233"/>
      <c r="H115" s="233"/>
      <c r="I115" s="233"/>
      <c r="AR115" s="317"/>
      <c r="AS115" s="317"/>
      <c r="AT115" s="317"/>
      <c r="AV115" s="232"/>
      <c r="AZ115" s="364"/>
    </row>
    <row r="116" spans="5:52" x14ac:dyDescent="0.15">
      <c r="E116" t="s">
        <v>291</v>
      </c>
      <c r="F116" s="235"/>
      <c r="G116" s="233"/>
      <c r="H116" s="233"/>
      <c r="I116" s="233"/>
      <c r="AR116" s="420">
        <f t="array" ref="AR116:AS116">LINEST(LN(AL101:AL108),LN(AJ101:AJ108))</f>
        <v>-5.4190826919211794E-2</v>
      </c>
      <c r="AS116" s="317">
        <v>4.6349616569349115</v>
      </c>
      <c r="AT116" s="420">
        <f>EXP(AS116)</f>
        <v>103.02396766479804</v>
      </c>
      <c r="AV116" s="232"/>
      <c r="AW116" s="2">
        <f t="array" ref="AW116:AY116">LINEST(AV133:AV136,AK133:AK136^{1,2})</f>
        <v>7.6809505717179074E-5</v>
      </c>
      <c r="AX116" s="2">
        <v>-5.5721980890464394E-2</v>
      </c>
      <c r="AY116" s="2">
        <v>87.350769060283667</v>
      </c>
      <c r="AZ116" s="364"/>
    </row>
    <row r="117" spans="5:52" ht="14" thickBot="1" x14ac:dyDescent="0.2">
      <c r="E117" t="s">
        <v>292</v>
      </c>
      <c r="F117" s="235"/>
      <c r="G117" s="233"/>
      <c r="H117" s="233"/>
      <c r="I117" s="233"/>
      <c r="AV117" s="232"/>
      <c r="AZ117" s="364"/>
    </row>
    <row r="118" spans="5:52" ht="14" thickBot="1" x14ac:dyDescent="0.2">
      <c r="E118" s="233" t="s">
        <v>293</v>
      </c>
      <c r="F118" s="244"/>
      <c r="AR118" t="s">
        <v>480</v>
      </c>
      <c r="AV118" s="232"/>
      <c r="AW118" t="s">
        <v>480</v>
      </c>
      <c r="AZ118" s="364"/>
    </row>
    <row r="119" spans="5:52" x14ac:dyDescent="0.15">
      <c r="F119" s="245"/>
      <c r="AR119" s="110">
        <f>'C-series'!E33</f>
        <v>500</v>
      </c>
      <c r="AS119" t="s">
        <v>470</v>
      </c>
      <c r="AV119" s="232"/>
      <c r="AW119">
        <f>AR119</f>
        <v>500</v>
      </c>
      <c r="AX119" t="s">
        <v>470</v>
      </c>
      <c r="AZ119" s="364"/>
    </row>
    <row r="120" spans="5:52" x14ac:dyDescent="0.15">
      <c r="F120" s="245"/>
      <c r="AV120" s="232"/>
      <c r="AZ120" s="364"/>
    </row>
    <row r="121" spans="5:52" ht="14" thickBot="1" x14ac:dyDescent="0.2">
      <c r="E121" s="240" t="s">
        <v>282</v>
      </c>
      <c r="F121" s="233"/>
      <c r="G121" s="233"/>
      <c r="AR121" s="317">
        <f>AT116*AR119^AR116</f>
        <v>73.566290043669369</v>
      </c>
      <c r="AS121" s="317" t="s">
        <v>481</v>
      </c>
      <c r="AV121" s="232"/>
      <c r="AW121" s="3">
        <f>AW116*AW119^2+AX116*AW119+AY116</f>
        <v>78.692155044346237</v>
      </c>
      <c r="AX121" t="s">
        <v>481</v>
      </c>
      <c r="AZ121" s="364"/>
    </row>
    <row r="122" spans="5:52" ht="14" thickBot="1" x14ac:dyDescent="0.2">
      <c r="E122" s="233"/>
      <c r="F122" s="233"/>
      <c r="G122" s="233"/>
      <c r="AR122" s="421">
        <f>IF(AR121&gt;AS113,AS113,IF(AR121&lt;AS114,AS114,AR121))/100</f>
        <v>0.753</v>
      </c>
      <c r="AS122" s="317"/>
      <c r="AV122" s="232"/>
      <c r="AW122" s="423">
        <f>IF(AW121&gt;AX113,AX113,IF(AW121&lt;AX114,AX114,AW121))/100</f>
        <v>0.78692155044346235</v>
      </c>
      <c r="AZ122" s="364"/>
    </row>
    <row r="123" spans="5:52" ht="13.5" customHeight="1" thickBot="1" x14ac:dyDescent="0.2">
      <c r="E123" s="241" t="s">
        <v>294</v>
      </c>
      <c r="F123" s="233"/>
      <c r="G123" s="233"/>
      <c r="AV123" s="236"/>
      <c r="AW123" s="238"/>
      <c r="AX123" s="238"/>
      <c r="AY123" s="238"/>
      <c r="AZ123" s="239"/>
    </row>
    <row r="124" spans="5:52" x14ac:dyDescent="0.15">
      <c r="E124" s="233"/>
      <c r="F124" s="233"/>
      <c r="G124" s="233"/>
    </row>
    <row r="125" spans="5:52" x14ac:dyDescent="0.15">
      <c r="E125" s="233"/>
      <c r="F125" s="233"/>
      <c r="G125" s="233"/>
    </row>
    <row r="126" spans="5:52" x14ac:dyDescent="0.15">
      <c r="E126" s="233" t="s">
        <v>286</v>
      </c>
      <c r="F126" s="233">
        <v>7</v>
      </c>
      <c r="G126" s="233" t="s">
        <v>287</v>
      </c>
    </row>
    <row r="127" spans="5:52" ht="14" thickBot="1" x14ac:dyDescent="0.2">
      <c r="E127" s="233" t="s">
        <v>288</v>
      </c>
      <c r="F127" s="233">
        <v>20</v>
      </c>
      <c r="G127" s="233" t="s">
        <v>287</v>
      </c>
      <c r="AK127" s="2" t="s">
        <v>549</v>
      </c>
    </row>
    <row r="128" spans="5:52" x14ac:dyDescent="0.15">
      <c r="E128" s="233"/>
      <c r="F128" s="233"/>
      <c r="G128" s="233"/>
      <c r="AK128" s="1488" t="s">
        <v>539</v>
      </c>
      <c r="AL128" s="1489"/>
      <c r="AM128" s="1490"/>
      <c r="AN128" s="1491" t="s">
        <v>540</v>
      </c>
      <c r="AO128" s="1492"/>
      <c r="AP128" s="1492"/>
      <c r="AQ128" s="1492"/>
      <c r="AR128" s="1493"/>
      <c r="AS128" s="1494" t="s">
        <v>541</v>
      </c>
      <c r="AT128" s="1489"/>
      <c r="AU128" s="1495"/>
    </row>
    <row r="129" spans="5:48" ht="71" thickBot="1" x14ac:dyDescent="0.2">
      <c r="E129" s="233" t="s">
        <v>289</v>
      </c>
      <c r="F129" s="233" t="s">
        <v>279</v>
      </c>
      <c r="G129" s="233"/>
      <c r="AK129" s="422" t="s">
        <v>485</v>
      </c>
      <c r="AL129" s="396" t="s">
        <v>542</v>
      </c>
      <c r="AM129" s="397" t="s">
        <v>543</v>
      </c>
      <c r="AN129" s="398" t="s">
        <v>544</v>
      </c>
      <c r="AO129" s="399" t="s">
        <v>311</v>
      </c>
      <c r="AP129" s="399" t="s">
        <v>312</v>
      </c>
      <c r="AQ129" s="399" t="s">
        <v>280</v>
      </c>
      <c r="AR129" s="400" t="s">
        <v>545</v>
      </c>
      <c r="AS129" s="399" t="s">
        <v>546</v>
      </c>
      <c r="AT129" s="399" t="s">
        <v>547</v>
      </c>
      <c r="AU129" s="410" t="s">
        <v>548</v>
      </c>
    </row>
    <row r="130" spans="5:48" x14ac:dyDescent="0.15">
      <c r="E130" s="233">
        <v>120</v>
      </c>
      <c r="F130" s="242">
        <v>0.79100000000000004</v>
      </c>
      <c r="G130" s="242"/>
      <c r="AK130" s="411">
        <v>50</v>
      </c>
      <c r="AL130" s="412">
        <v>89.875566893424036</v>
      </c>
      <c r="AM130" s="401">
        <v>0.3</v>
      </c>
      <c r="AN130" s="402">
        <v>-26</v>
      </c>
      <c r="AO130" s="413">
        <v>11.365000000000002</v>
      </c>
      <c r="AP130" s="413">
        <v>21</v>
      </c>
      <c r="AQ130" s="413">
        <v>-16.365000000000002</v>
      </c>
      <c r="AR130" s="403">
        <v>0.24965435248173343</v>
      </c>
      <c r="AS130" s="404">
        <v>0.83499999999999996</v>
      </c>
      <c r="AT130" s="405">
        <v>0.79500000000000004</v>
      </c>
      <c r="AU130" s="406">
        <v>0.79500000000000004</v>
      </c>
      <c r="AV130">
        <f>AU130*100</f>
        <v>79.5</v>
      </c>
    </row>
    <row r="131" spans="5:48" x14ac:dyDescent="0.15">
      <c r="E131" s="233">
        <v>100</v>
      </c>
      <c r="F131" s="242">
        <v>0.79700000000000004</v>
      </c>
      <c r="G131" s="242"/>
      <c r="AK131" s="411">
        <v>100</v>
      </c>
      <c r="AL131" s="412">
        <v>159.50226757369614</v>
      </c>
      <c r="AM131" s="401">
        <v>0.35</v>
      </c>
      <c r="AN131" s="402">
        <v>-26</v>
      </c>
      <c r="AO131" s="413">
        <v>11.365000000000002</v>
      </c>
      <c r="AP131" s="413">
        <v>21</v>
      </c>
      <c r="AQ131" s="413">
        <v>-16.365000000000002</v>
      </c>
      <c r="AR131" s="403">
        <v>0.3797673037468956</v>
      </c>
      <c r="AS131" s="404">
        <v>0.81499999999999995</v>
      </c>
      <c r="AT131" s="405">
        <v>0.79500000000000004</v>
      </c>
      <c r="AU131" s="407">
        <v>0.79500000000000004</v>
      </c>
      <c r="AV131">
        <f>AU131*100</f>
        <v>79.5</v>
      </c>
    </row>
    <row r="132" spans="5:48" x14ac:dyDescent="0.15">
      <c r="E132" s="233">
        <v>90</v>
      </c>
      <c r="F132" s="242">
        <v>0.80100000000000005</v>
      </c>
      <c r="G132" s="242"/>
      <c r="AK132" s="411">
        <v>150</v>
      </c>
      <c r="AL132" s="412">
        <v>246.38010204081638</v>
      </c>
      <c r="AM132" s="401">
        <v>0.4</v>
      </c>
      <c r="AN132" s="402">
        <v>-26</v>
      </c>
      <c r="AO132" s="413">
        <v>11.365000000000002</v>
      </c>
      <c r="AP132" s="413">
        <v>21</v>
      </c>
      <c r="AQ132" s="413">
        <v>-16.365000000000002</v>
      </c>
      <c r="AR132" s="403">
        <v>0.51329187925170083</v>
      </c>
      <c r="AS132" s="404">
        <v>0.80200000000000005</v>
      </c>
      <c r="AT132" s="405">
        <v>0.79500000000000004</v>
      </c>
      <c r="AU132" s="407">
        <v>0.79500000000000004</v>
      </c>
      <c r="AV132">
        <f t="shared" ref="AV132:AV136" si="12">AU132*100</f>
        <v>79.5</v>
      </c>
    </row>
    <row r="133" spans="5:48" x14ac:dyDescent="0.15">
      <c r="E133" s="233">
        <v>70</v>
      </c>
      <c r="F133" s="242">
        <v>0.81299999999999994</v>
      </c>
      <c r="G133" s="242"/>
      <c r="AK133" s="411">
        <v>200</v>
      </c>
      <c r="AL133" s="412">
        <v>349.12018140589578</v>
      </c>
      <c r="AM133" s="401">
        <v>0.4</v>
      </c>
      <c r="AN133" s="402">
        <v>-26</v>
      </c>
      <c r="AO133" s="413">
        <v>10.895000000000003</v>
      </c>
      <c r="AP133" s="413">
        <v>21</v>
      </c>
      <c r="AQ133" s="413">
        <v>-16.365000000000002</v>
      </c>
      <c r="AR133" s="403">
        <v>0.72733371126228286</v>
      </c>
      <c r="AS133" s="404">
        <v>0.78500000000000003</v>
      </c>
      <c r="AT133" s="405">
        <v>0.78500000000000003</v>
      </c>
      <c r="AU133" s="407">
        <v>0.79273759267300314</v>
      </c>
      <c r="AV133">
        <f t="shared" si="12"/>
        <v>79.273759267300321</v>
      </c>
    </row>
    <row r="134" spans="5:48" x14ac:dyDescent="0.15">
      <c r="E134" s="233">
        <v>60</v>
      </c>
      <c r="F134" s="242">
        <v>0.82099999999999995</v>
      </c>
      <c r="G134" s="242"/>
      <c r="AK134" s="411">
        <v>250</v>
      </c>
      <c r="AL134" s="412">
        <v>467.37528344671205</v>
      </c>
      <c r="AM134" s="401">
        <v>0.4</v>
      </c>
      <c r="AN134" s="402">
        <v>-26</v>
      </c>
      <c r="AO134" s="413">
        <v>10.283999999999999</v>
      </c>
      <c r="AP134" s="413">
        <v>21</v>
      </c>
      <c r="AQ134" s="413">
        <v>-16.365000000000002</v>
      </c>
      <c r="AR134" s="403">
        <v>0.9736985071806501</v>
      </c>
      <c r="AS134" s="404">
        <v>0.77200000000000002</v>
      </c>
      <c r="AT134" s="405">
        <v>0.77200000000000002</v>
      </c>
      <c r="AU134" s="407">
        <v>0.78235849475724106</v>
      </c>
      <c r="AV134">
        <f t="shared" si="12"/>
        <v>78.235849475724109</v>
      </c>
    </row>
    <row r="135" spans="5:48" x14ac:dyDescent="0.15">
      <c r="E135" s="233">
        <v>50</v>
      </c>
      <c r="F135" s="242">
        <v>0.83099999999999996</v>
      </c>
      <c r="G135" s="242"/>
      <c r="AK135" s="411">
        <v>300</v>
      </c>
      <c r="AL135" s="412">
        <v>601.0204081632653</v>
      </c>
      <c r="AM135" s="401">
        <v>0.4</v>
      </c>
      <c r="AN135" s="402">
        <v>-26</v>
      </c>
      <c r="AO135" s="413">
        <v>9.8140000000000001</v>
      </c>
      <c r="AP135" s="413">
        <v>21</v>
      </c>
      <c r="AQ135" s="413">
        <v>-16.365000000000002</v>
      </c>
      <c r="AR135" s="403">
        <v>1.252125850340136</v>
      </c>
      <c r="AS135" s="404">
        <v>0.76200000000000001</v>
      </c>
      <c r="AT135" s="405">
        <v>0.76200000000000001</v>
      </c>
      <c r="AU135" s="407">
        <v>0.77532048776957596</v>
      </c>
      <c r="AV135">
        <f t="shared" si="12"/>
        <v>77.532048776957595</v>
      </c>
    </row>
    <row r="136" spans="5:48" ht="14" thickBot="1" x14ac:dyDescent="0.2">
      <c r="E136" s="233">
        <v>40</v>
      </c>
      <c r="F136" s="242">
        <v>0.84299999999999997</v>
      </c>
      <c r="G136" s="242"/>
      <c r="AK136" s="409">
        <v>350</v>
      </c>
      <c r="AL136" s="396">
        <v>750</v>
      </c>
      <c r="AM136" s="414">
        <v>0.4</v>
      </c>
      <c r="AN136" s="415">
        <v>-26</v>
      </c>
      <c r="AO136" s="416">
        <v>9.5319999999999965</v>
      </c>
      <c r="AP136" s="416">
        <v>21</v>
      </c>
      <c r="AQ136" s="416">
        <v>-16.365000000000002</v>
      </c>
      <c r="AR136" s="417">
        <v>1.5625</v>
      </c>
      <c r="AS136" s="418">
        <v>0.75599999999999989</v>
      </c>
      <c r="AT136" s="419">
        <v>0.75599999999999989</v>
      </c>
      <c r="AU136" s="408">
        <v>0.7726223404255318</v>
      </c>
      <c r="AV136">
        <f t="shared" si="12"/>
        <v>77.262234042553175</v>
      </c>
    </row>
    <row r="137" spans="5:48" x14ac:dyDescent="0.15">
      <c r="E137" s="233">
        <v>30</v>
      </c>
      <c r="F137" s="242">
        <v>0.85899999999999999</v>
      </c>
      <c r="G137" s="242"/>
    </row>
    <row r="138" spans="5:48" x14ac:dyDescent="0.15">
      <c r="E138" s="233">
        <v>25</v>
      </c>
      <c r="F138" s="242">
        <v>0.87</v>
      </c>
      <c r="G138" s="242"/>
    </row>
    <row r="139" spans="5:48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48" x14ac:dyDescent="0.15">
      <c r="E141" s="233" t="s">
        <v>290</v>
      </c>
      <c r="F141" s="235">
        <f>F115</f>
        <v>0</v>
      </c>
      <c r="G141" s="233"/>
    </row>
    <row r="142" spans="5:48" x14ac:dyDescent="0.15">
      <c r="E142" t="s">
        <v>291</v>
      </c>
      <c r="F142" s="235">
        <f>F116</f>
        <v>0</v>
      </c>
      <c r="G142" s="233"/>
    </row>
    <row r="143" spans="5:48" ht="14" thickBot="1" x14ac:dyDescent="0.2">
      <c r="E143" t="s">
        <v>292</v>
      </c>
      <c r="F143" s="235">
        <f>F117</f>
        <v>0</v>
      </c>
      <c r="G143" s="233"/>
    </row>
    <row r="144" spans="5:48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12">
    <mergeCell ref="AM9:AP9"/>
    <mergeCell ref="AM22:AP22"/>
    <mergeCell ref="AM34:AP34"/>
    <mergeCell ref="AM46:AP46"/>
    <mergeCell ref="AM58:AP58"/>
    <mergeCell ref="W24:W25"/>
    <mergeCell ref="AK128:AM128"/>
    <mergeCell ref="AN128:AR128"/>
    <mergeCell ref="AS128:AU128"/>
    <mergeCell ref="X24:X25"/>
    <mergeCell ref="Y24:AA24"/>
    <mergeCell ref="AL99:AN9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Laskentataulukot</vt:lpstr>
      </vt:variant>
      <vt:variant>
        <vt:i4>56</vt:i4>
      </vt:variant>
      <vt:variant>
        <vt:lpstr>Nimetyt alueet</vt:lpstr>
      </vt:variant>
      <vt:variant>
        <vt:i4>41</vt:i4>
      </vt:variant>
    </vt:vector>
  </HeadingPairs>
  <TitlesOfParts>
    <vt:vector size="97" baseType="lpstr">
      <vt:lpstr>R-series</vt:lpstr>
      <vt:lpstr>C-selection</vt:lpstr>
      <vt:lpstr>C-series</vt:lpstr>
      <vt:lpstr>C5 validointi</vt:lpstr>
      <vt:lpstr>TuloksetC</vt:lpstr>
      <vt:lpstr>C koodit</vt:lpstr>
      <vt:lpstr>KirjastoC_koodit</vt:lpstr>
      <vt:lpstr>SEC-laskenta_C</vt:lpstr>
      <vt:lpstr>Kojeet ja kennon hyötysuhde_C</vt:lpstr>
      <vt:lpstr>Laskenta tulopuoli C5</vt:lpstr>
      <vt:lpstr>Laskenta poistopuoli C5</vt:lpstr>
      <vt:lpstr>Laskenta vaipan läpi C5</vt:lpstr>
      <vt:lpstr>Laskenta vesipatteri C5</vt:lpstr>
      <vt:lpstr>Laskenta_vuosihyötysuhde_C</vt:lpstr>
      <vt:lpstr>Kirjasto</vt:lpstr>
      <vt:lpstr>KirjastoC</vt:lpstr>
      <vt:lpstr>Tulokset</vt:lpstr>
      <vt:lpstr>SEC-laskenta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SäädataC</vt:lpstr>
      <vt:lpstr>Säädata</vt:lpstr>
      <vt:lpstr>Kojeet ja kennon hyötysuhde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Laskenta vesipatteri 350</vt:lpstr>
      <vt:lpstr>KirjastoC (kaupungit)</vt:lpstr>
      <vt:lpstr>C5 Lämmitys</vt:lpstr>
      <vt:lpstr>C5 Jäähdytys</vt:lpstr>
      <vt:lpstr>C5 LÄM-1</vt:lpstr>
      <vt:lpstr>C5 LÄM-2</vt:lpstr>
      <vt:lpstr>C5 JÄ-1</vt:lpstr>
      <vt:lpstr>C5 JÄ-2</vt:lpstr>
      <vt:lpstr>Muutoslogi</vt:lpstr>
      <vt:lpstr>Koodi_A</vt:lpstr>
      <vt:lpstr>Koodi_B</vt:lpstr>
      <vt:lpstr>Koodi_C</vt:lpstr>
      <vt:lpstr>Koodi_D</vt:lpstr>
      <vt:lpstr>Koodi_E</vt:lpstr>
      <vt:lpstr>Koodi_F</vt:lpstr>
      <vt:lpstr>Koodi_G</vt:lpstr>
      <vt:lpstr>Koodi_H</vt:lpstr>
      <vt:lpstr>Koodi_I</vt:lpstr>
      <vt:lpstr>Koodi_J</vt:lpstr>
      <vt:lpstr>Koodi_K</vt:lpstr>
      <vt:lpstr>Koodi_L</vt:lpstr>
      <vt:lpstr>Koodi_M</vt:lpstr>
      <vt:lpstr>Koodi_N</vt:lpstr>
      <vt:lpstr>Koodi_O</vt:lpstr>
      <vt:lpstr>Koodi_P</vt:lpstr>
      <vt:lpstr>Koodi_Q</vt:lpstr>
      <vt:lpstr>Koodi_R</vt:lpstr>
      <vt:lpstr>Koodi_S</vt:lpstr>
      <vt:lpstr>'C-selection'!Tulostusalue</vt:lpstr>
      <vt:lpstr>'C-series'!Tulostusalue</vt:lpstr>
      <vt:lpstr>'R-series'!Tulostusalue</vt:lpstr>
      <vt:lpstr>Valikko_A</vt:lpstr>
      <vt:lpstr>Valikko_B</vt:lpstr>
      <vt:lpstr>Valikko_C</vt:lpstr>
      <vt:lpstr>Valikko_D</vt:lpstr>
      <vt:lpstr>Valikko_E</vt:lpstr>
      <vt:lpstr>Valikko_F</vt:lpstr>
      <vt:lpstr>Valikko_G</vt:lpstr>
      <vt:lpstr>Valikko_H</vt:lpstr>
      <vt:lpstr>Valikko_I</vt:lpstr>
      <vt:lpstr>Valikko_J</vt:lpstr>
      <vt:lpstr>Valikko_K</vt:lpstr>
      <vt:lpstr>Valikko_L</vt:lpstr>
      <vt:lpstr>Valikko_M</vt:lpstr>
      <vt:lpstr>Valikko_N</vt:lpstr>
      <vt:lpstr>Valikko_O</vt:lpstr>
      <vt:lpstr>Valikko_P</vt:lpstr>
      <vt:lpstr>Valikko_Q</vt:lpstr>
      <vt:lpstr>Valikko_R</vt:lpstr>
      <vt:lpstr>Valikko_S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2025-03-28T09:05:36Z</dcterms:modified>
</cp:coreProperties>
</file>