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13.xml" ContentType="application/vnd.openxmlformats-officedocument.drawing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6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7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8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17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8.xml" ContentType="application/vnd.openxmlformats-officedocument.drawing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9.xml" ContentType="application/vnd.openxmlformats-officedocument.drawing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20.xml" ContentType="application/vnd.openxmlformats-officedocument.drawing+xml"/>
  <Override PartName="/xl/charts/chart6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4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5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21.xml" ContentType="application/vnd.openxmlformats-officedocument.drawing+xml"/>
  <Override PartName="/xl/charts/chart66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7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8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9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0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22.xml" ContentType="application/vnd.openxmlformats-officedocument.drawing+xml"/>
  <Override PartName="/xl/charts/chart7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23.xml" ContentType="application/vnd.openxmlformats-officedocument.drawing+xml"/>
  <Override PartName="/xl/charts/chart7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0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1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24.xml" ContentType="application/vnd.openxmlformats-officedocument.drawing+xml"/>
  <Override PartName="/xl/ctrlProps/ctrlProp21.xml" ContentType="application/vnd.ms-excel.controlproperties+xml"/>
  <Override PartName="/xl/charts/chart82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25.xml" ContentType="application/vnd.openxmlformats-officedocument.drawing+xml"/>
  <Override PartName="/xl/ctrlProps/ctrlProp22.xml" ContentType="application/vnd.ms-excel.controlproperties+xml"/>
  <Override PartName="/xl/ctrlProps/ctrlProp23.xml" ContentType="application/vnd.ms-excel.controlproperti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filterPrivacy="1" codeName="TämäTyökirja"/>
  <xr:revisionPtr revIDLastSave="0" documentId="13_ncr:1_{F9C685AA-6477-924D-AA47-B42EDB06E5CD}" xr6:coauthVersionLast="47" xr6:coauthVersionMax="47" xr10:uidLastSave="{00000000-0000-0000-0000-000000000000}"/>
  <workbookProtection workbookAlgorithmName="SHA-512" workbookHashValue="4OynASNvlPl+hHewsK51gniVRRqJ0HFf3+QgiIRe95S10iPg4S890O7JywKjzANjwMTGNjy+nNa5rWx7lizOmg==" workbookSaltValue="WZCYLWTo15Ir1TUFXamR6g==" workbookSpinCount="100000" lockStructure="1"/>
  <bookViews>
    <workbookView xWindow="15820" yWindow="500" windowWidth="36040" windowHeight="20980" tabRatio="880" xr2:uid="{00000000-000D-0000-FFFF-FFFF00000000}"/>
  </bookViews>
  <sheets>
    <sheet name="Tulostus" sheetId="2" r:id="rId1"/>
    <sheet name="Kirjasto" sheetId="34" state="hidden" r:id="rId2"/>
    <sheet name="Tulokset" sheetId="9" state="hidden" r:id="rId3"/>
    <sheet name="SEC-laskenta" sheetId="15" state="hidden" r:id="rId4"/>
    <sheet name="Kojeet ja kennon hyötysuhde" sheetId="19" state="hidden" r:id="rId5"/>
    <sheet name="Laskenta tulopuoli 130" sheetId="29" state="hidden" r:id="rId6"/>
    <sheet name="Laskenta poistopuoli 130" sheetId="30" state="hidden" r:id="rId7"/>
    <sheet name="Laskenta vaipan läpi 130" sheetId="31" state="hidden" r:id="rId8"/>
    <sheet name="Laskenta tulopuoli 60" sheetId="3" state="hidden" r:id="rId9"/>
    <sheet name="Laskenta poistopuoli 60" sheetId="1" state="hidden" r:id="rId10"/>
    <sheet name="Laskenta keittiöohitus" sheetId="20" state="hidden" r:id="rId11"/>
    <sheet name="Laskenta vaipan läpi 60" sheetId="4" state="hidden" r:id="rId12"/>
    <sheet name="Laskenta tulopuoli 250" sheetId="25" state="hidden" r:id="rId13"/>
    <sheet name="Laskenta poistopuoli 250" sheetId="26" state="hidden" r:id="rId14"/>
    <sheet name="Laskenta vaipan läpi 250" sheetId="27" state="hidden" r:id="rId15"/>
    <sheet name="Laskenta vesipatteri 250" sheetId="28" state="hidden" r:id="rId16"/>
    <sheet name="Laskenta tulopuoli 350" sheetId="21" state="hidden" r:id="rId17"/>
    <sheet name="Laskenta poistopuoli 350" sheetId="22" state="hidden" r:id="rId18"/>
    <sheet name="Laskenta vaipan läpi 350" sheetId="23" state="hidden" r:id="rId19"/>
    <sheet name="Laskenta vesipatteri 350" sheetId="24" state="hidden" r:id="rId20"/>
    <sheet name="Laskenta tulopuoli 100" sheetId="6" state="hidden" r:id="rId21"/>
    <sheet name="Laskenta poistopuoli 100" sheetId="8" state="hidden" r:id="rId22"/>
    <sheet name="Laskenta vaipan läpi 100" sheetId="7" state="hidden" r:id="rId23"/>
    <sheet name="Laskenta tulopuoli 150" sheetId="10" state="hidden" r:id="rId24"/>
    <sheet name="Laskenta poistopuoli 150" sheetId="14" state="hidden" r:id="rId25"/>
    <sheet name="Laskenta vaipan läpi 150" sheetId="12" state="hidden" r:id="rId26"/>
    <sheet name="Säädata" sheetId="42" state="hidden" r:id="rId27"/>
    <sheet name="Laskenta_vuosihyötysuhde" sheetId="35" state="hidden" r:id="rId28"/>
    <sheet name="Kirjasto (maat)" sheetId="38" state="hidden" r:id="rId29"/>
    <sheet name="Kirjasto (kaupungit)" sheetId="39" state="hidden" r:id="rId30"/>
    <sheet name="Syötä maat KIRJASTOLINKIT!" sheetId="40" state="hidden" r:id="rId31"/>
    <sheet name="Syötä kaupungit KIRJASTOLINKIT!" sheetId="41" state="hidden" r:id="rId32"/>
    <sheet name="Syötä pysyvyyskäyrät" sheetId="36" state="hidden" r:id="rId33"/>
    <sheet name="Muutoslogi" sheetId="5" state="hidden" r:id="rId34"/>
  </sheets>
  <externalReferences>
    <externalReference r:id="rId35"/>
  </externalReferences>
  <definedNames>
    <definedName name="Aluelistaus">OFFSET(Säädata!$B$7,Säädata!$D$4,0,Säädata!$E$4,1)</definedName>
    <definedName name="Kuntalistaus">INDIRECT("'"&amp;'Syötä kaupungit KIRJASTOLINKIT!'!$A$1&amp;"'!"&amp;CHAR(64+Laskenta_vuosihyötysuhde!$C$13+1)&amp;"2:"&amp;CHAR(64+Laskenta_vuosihyötysuhde!$C$13+1)&amp;COUNTA(INDIRECT("'"&amp;'Syötä kaupungit KIRJASTOLINKIT!'!$A$1&amp;"'!"&amp;CHAR(64+Laskenta_vuosihyötysuhde!$C$13+1)&amp;":"&amp;CHAR(64+Laskenta_vuosihyötysuhde!$C$13+1))))</definedName>
    <definedName name="kuvatiedosto">INDIRECT('[1]Taul1 (2)'!$B$7)</definedName>
    <definedName name="pohjakuva">INDIRECT('[1]Taul1 (2)'!$C$7)</definedName>
    <definedName name="_xlnm.Print_Area" localSheetId="0">Tulostus!$B$2:$O$78,Tulostus!$Q$2:$AD$73,Tulostus!$B$81:$O$102</definedName>
    <definedName name="Valtiolistaus">INDIRECT("'"&amp;'Syötä maat KIRJASTOLINKIT!'!$A$1&amp;"'!$B$2:$B$"&amp;COUNTA('Syötä maat KIRJASTOLINKIT!'!$B$2:$B$26)+2-1)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2" i="19" l="1"/>
  <c r="C25" i="15" a="1"/>
  <c r="C25" i="15" s="1"/>
  <c r="C24" i="15" a="1"/>
  <c r="C24" i="15" s="1"/>
  <c r="C23" i="15" a="1"/>
  <c r="C23" i="15" s="1"/>
  <c r="C20" i="15" a="1"/>
  <c r="C20" i="15" s="1"/>
  <c r="C19" i="15" a="1"/>
  <c r="C19" i="15" s="1"/>
  <c r="C18" i="15" a="1"/>
  <c r="C18" i="15" s="1"/>
  <c r="C17" i="15" a="1"/>
  <c r="C17" i="15" s="1"/>
  <c r="C14" i="15" a="1"/>
  <c r="C14" i="15" s="1"/>
  <c r="C13" i="15" a="1"/>
  <c r="C13" i="15" s="1"/>
  <c r="C12" i="15" a="1"/>
  <c r="C12" i="15" s="1"/>
  <c r="C11" i="15" a="1"/>
  <c r="C11" i="15" s="1"/>
  <c r="C8" i="15" a="1"/>
  <c r="C8" i="15" s="1"/>
  <c r="C7" i="15" a="1"/>
  <c r="C7" i="15" s="1"/>
  <c r="B33" i="35" a="1"/>
  <c r="B33" i="35" s="1"/>
  <c r="B32" i="35" a="1"/>
  <c r="B32" i="35" s="1"/>
  <c r="H100" i="2" a="1"/>
  <c r="H100" i="2" s="1"/>
  <c r="H99" i="2" a="1"/>
  <c r="H99" i="2" s="1"/>
  <c r="C99" i="2" a="1"/>
  <c r="C99" i="2" s="1"/>
  <c r="H98" i="2" a="1"/>
  <c r="H98" i="2" s="1"/>
  <c r="H97" i="2" a="1"/>
  <c r="H97" i="2" s="1"/>
  <c r="H96" i="2" a="1"/>
  <c r="H96" i="2" s="1"/>
  <c r="H95" i="2" a="1"/>
  <c r="H95" i="2" s="1"/>
  <c r="H94" i="2" a="1"/>
  <c r="H94" i="2" s="1"/>
  <c r="H92" i="2" a="1"/>
  <c r="H92" i="2" s="1"/>
  <c r="C92" i="2" a="1"/>
  <c r="C92" i="2" s="1"/>
  <c r="H91" i="2" a="1"/>
  <c r="H91" i="2" s="1"/>
  <c r="C91" i="2" a="1"/>
  <c r="C91" i="2" s="1"/>
  <c r="H90" i="2" a="1"/>
  <c r="H90" i="2" s="1"/>
  <c r="H89" i="2" a="1"/>
  <c r="H89" i="2" s="1"/>
  <c r="C89" i="2" a="1"/>
  <c r="C89" i="2" s="1"/>
  <c r="H88" i="2" a="1"/>
  <c r="H88" i="2" s="1"/>
  <c r="C88" i="2" a="1"/>
  <c r="C88" i="2" s="1"/>
  <c r="H87" i="2" a="1"/>
  <c r="H87" i="2" s="1"/>
  <c r="C87" i="2" a="1"/>
  <c r="C87" i="2" s="1"/>
  <c r="H86" i="2" a="1"/>
  <c r="H86" i="2" s="1"/>
  <c r="C86" i="2" a="1"/>
  <c r="C86" i="2" s="1"/>
  <c r="C85" i="2" a="1"/>
  <c r="C85" i="2" s="1"/>
  <c r="C84" i="2" a="1"/>
  <c r="C84" i="2" s="1"/>
  <c r="C82" i="2" a="1"/>
  <c r="C82" i="2" s="1"/>
  <c r="R73" i="2" a="1"/>
  <c r="R73" i="2" s="1"/>
  <c r="C78" i="2" a="1"/>
  <c r="C78" i="2" s="1"/>
  <c r="R71" i="2" a="1"/>
  <c r="R71" i="2" s="1"/>
  <c r="C76" i="2" a="1"/>
  <c r="C76" i="2" s="1"/>
  <c r="R70" i="2" a="1"/>
  <c r="R70" i="2" s="1"/>
  <c r="C75" i="2" a="1"/>
  <c r="C75" i="2" s="1"/>
  <c r="C74" i="2" a="1"/>
  <c r="C74" i="2" s="1"/>
  <c r="G73" i="2" a="1"/>
  <c r="G73" i="2" s="1"/>
  <c r="C73" i="2" a="1"/>
  <c r="C73" i="2" s="1"/>
  <c r="C72" i="2" a="1"/>
  <c r="C72" i="2" s="1"/>
  <c r="G71" i="2" a="1"/>
  <c r="G71" i="2" s="1"/>
  <c r="C71" i="2" a="1"/>
  <c r="C71" i="2" s="1"/>
  <c r="C70" i="2" a="1"/>
  <c r="C70" i="2" s="1"/>
  <c r="C69" i="2" a="1"/>
  <c r="C69" i="2" s="1"/>
  <c r="C68" i="2" a="1"/>
  <c r="C68" i="2" s="1"/>
  <c r="C67" i="2" a="1"/>
  <c r="C67" i="2" s="1"/>
  <c r="M66" i="2" a="1"/>
  <c r="M66" i="2" s="1"/>
  <c r="L66" i="2" a="1"/>
  <c r="L66" i="2" s="1"/>
  <c r="C66" i="2" a="1"/>
  <c r="C66" i="2" s="1"/>
  <c r="C64" i="2" a="1"/>
  <c r="C64" i="2" s="1"/>
  <c r="C63" i="2" a="1"/>
  <c r="C63" i="2" s="1"/>
  <c r="C62" i="2" a="1"/>
  <c r="C62" i="2" s="1"/>
  <c r="D60" i="2" a="1"/>
  <c r="D60" i="2" s="1"/>
  <c r="W61" i="2" a="1"/>
  <c r="W61" i="2" s="1"/>
  <c r="C59" i="2" a="1"/>
  <c r="C59" i="2" s="1"/>
  <c r="W59" i="2" a="1"/>
  <c r="W59" i="2" s="1"/>
  <c r="W57" i="2" a="1"/>
  <c r="W57" i="2" s="1"/>
  <c r="C56" i="2" a="1"/>
  <c r="C56" i="2" s="1"/>
  <c r="Z55" i="2" a="1"/>
  <c r="Z55" i="2" s="1"/>
  <c r="C55" i="2" a="1"/>
  <c r="C55" i="2" s="1"/>
  <c r="C54" i="2" a="1"/>
  <c r="C54" i="2" s="1"/>
  <c r="C53" i="2" a="1"/>
  <c r="C53" i="2" s="1"/>
  <c r="D51" i="2" a="1"/>
  <c r="D51" i="2" s="1"/>
  <c r="C51" i="2" a="1"/>
  <c r="C51" i="2" s="1"/>
  <c r="C50" i="2" a="1"/>
  <c r="C50" i="2" s="1"/>
  <c r="C48" i="2" a="1"/>
  <c r="C48" i="2" s="1"/>
  <c r="J47" i="2" a="1"/>
  <c r="J47" i="2" s="1"/>
  <c r="J46" i="2" a="1"/>
  <c r="J46" i="2" s="1"/>
  <c r="C46" i="2" a="1"/>
  <c r="C46" i="2" s="1"/>
  <c r="C45" i="2" a="1"/>
  <c r="C45" i="2" s="1"/>
  <c r="J44" i="2" a="1"/>
  <c r="J44" i="2" s="1"/>
  <c r="C43" i="2" a="1"/>
  <c r="C43" i="2" s="1"/>
  <c r="J42" i="2" a="1"/>
  <c r="J42" i="2" s="1"/>
  <c r="C42" i="2" a="1"/>
  <c r="C42" i="2" s="1"/>
  <c r="G41" i="2" a="1"/>
  <c r="G41" i="2" s="1"/>
  <c r="E41" i="2" a="1"/>
  <c r="E41" i="2" s="1"/>
  <c r="J40" i="2" a="1"/>
  <c r="J40" i="2" s="1"/>
  <c r="J39" i="2" a="1"/>
  <c r="J39" i="2" s="1"/>
  <c r="C39" i="2" a="1"/>
  <c r="C39" i="2" s="1"/>
  <c r="C37" i="2" a="1"/>
  <c r="C37" i="2" s="1"/>
  <c r="J36" i="2" a="1"/>
  <c r="J36" i="2" s="1"/>
  <c r="R35" i="2" a="1"/>
  <c r="R35" i="2" s="1"/>
  <c r="J35" i="2" a="1"/>
  <c r="J35" i="2" s="1"/>
  <c r="C35" i="2" a="1"/>
  <c r="C35" i="2" s="1"/>
  <c r="R34" i="2" a="1"/>
  <c r="R34" i="2" s="1"/>
  <c r="R33" i="2" a="1"/>
  <c r="R33" i="2" s="1"/>
  <c r="R31" i="2" a="1"/>
  <c r="R31" i="2" s="1"/>
  <c r="R29" i="2" a="1"/>
  <c r="R29" i="2" s="1"/>
  <c r="R28" i="2" a="1"/>
  <c r="R28" i="2" s="1"/>
  <c r="R27" i="2" a="1"/>
  <c r="R27" i="2" s="1"/>
  <c r="R26" i="2" a="1"/>
  <c r="R26" i="2" s="1"/>
  <c r="R25" i="2" a="1"/>
  <c r="R25" i="2" s="1"/>
  <c r="R23" i="2" a="1"/>
  <c r="R23" i="2" s="1"/>
  <c r="R22" i="2" a="1"/>
  <c r="R22" i="2" s="1"/>
  <c r="R21" i="2" a="1"/>
  <c r="R21" i="2" s="1"/>
  <c r="R18" i="2" a="1"/>
  <c r="R18" i="2" s="1"/>
  <c r="R17" i="2" a="1"/>
  <c r="R17" i="2" s="1"/>
  <c r="R15" i="2" a="1"/>
  <c r="R15" i="2" s="1"/>
  <c r="R12" i="2" a="1"/>
  <c r="R12" i="2" s="1"/>
  <c r="R11" i="2" a="1"/>
  <c r="R11" i="2" s="1"/>
  <c r="R10" i="2" a="1"/>
  <c r="R10" i="2" s="1"/>
  <c r="Z9" i="2" a="1"/>
  <c r="Z9" i="2" s="1"/>
  <c r="Y9" i="2" a="1"/>
  <c r="Y9" i="2" s="1"/>
  <c r="X9" i="2" a="1"/>
  <c r="X9" i="2" s="1"/>
  <c r="W9" i="2" a="1"/>
  <c r="W9" i="2" s="1"/>
  <c r="R9" i="2" a="1"/>
  <c r="R9" i="2" s="1"/>
  <c r="X7" i="2" a="1"/>
  <c r="X7" i="2" s="1"/>
  <c r="C7" i="2" a="1"/>
  <c r="C7" i="2" s="1"/>
  <c r="C5" i="2" a="1"/>
  <c r="C5" i="2" s="1"/>
  <c r="R4" i="2" a="1"/>
  <c r="R4" i="2" s="1"/>
  <c r="C4" i="2" a="1"/>
  <c r="C4" i="2" s="1"/>
  <c r="R3" i="2" a="1"/>
  <c r="R3" i="2" s="1"/>
  <c r="C3" i="2" a="1"/>
  <c r="C3" i="2" s="1"/>
  <c r="O2" i="2" a="1"/>
  <c r="O2" i="2" s="1"/>
  <c r="CM27" i="9" a="1"/>
  <c r="CM27" i="9" s="1"/>
  <c r="CM24" i="9" a="1"/>
  <c r="CM24" i="9" s="1"/>
  <c r="CM23" i="9" a="1"/>
  <c r="CM23" i="9" s="1"/>
  <c r="CM22" i="9" a="1"/>
  <c r="CM22" i="9" s="1"/>
  <c r="BY16" i="9" a="1"/>
  <c r="BY16" i="9" s="1"/>
  <c r="BW16" i="9" a="1"/>
  <c r="BW16" i="9" s="1"/>
  <c r="BY15" i="9" a="1"/>
  <c r="BY15" i="9" s="1"/>
  <c r="BW15" i="9" a="1"/>
  <c r="BW15" i="9" s="1"/>
  <c r="M21" i="34" a="1"/>
  <c r="M21" i="34" s="1"/>
  <c r="M20" i="34" a="1"/>
  <c r="M20" i="34" s="1"/>
  <c r="M18" i="34" a="1"/>
  <c r="M18" i="34" s="1"/>
  <c r="M17" i="34" a="1"/>
  <c r="M17" i="34" s="1"/>
  <c r="M16" i="34" a="1"/>
  <c r="M16" i="34" s="1"/>
  <c r="M14" i="34" a="1"/>
  <c r="M14" i="34" s="1"/>
  <c r="M13" i="34" a="1"/>
  <c r="M13" i="34" s="1"/>
  <c r="M12" i="34" a="1"/>
  <c r="M12" i="34" s="1"/>
  <c r="M10" i="34" a="1"/>
  <c r="M10" i="34" s="1"/>
  <c r="M9" i="34" a="1"/>
  <c r="M9" i="34" s="1"/>
  <c r="M8" i="34" a="1"/>
  <c r="M8" i="34" s="1"/>
  <c r="M7" i="34" a="1"/>
  <c r="M7" i="34" s="1"/>
  <c r="M6" i="34" a="1"/>
  <c r="M6" i="34" s="1"/>
  <c r="M5" i="34" a="1"/>
  <c r="M5" i="34" s="1"/>
  <c r="V5" i="34" l="1"/>
  <c r="DN18" i="9"/>
  <c r="DN27" i="9" s="1"/>
  <c r="B45" i="35"/>
  <c r="B52" i="35" s="1"/>
  <c r="W63" i="2" s="1"/>
  <c r="C37" i="35"/>
  <c r="AG11" i="35"/>
  <c r="F54" i="35"/>
  <c r="J56" i="35" s="1"/>
  <c r="K56" i="35" s="1" a="1"/>
  <c r="K56" i="35" s="1"/>
  <c r="C40" i="35"/>
  <c r="C41" i="35"/>
  <c r="DN25" i="9"/>
  <c r="AF54" i="19"/>
  <c r="AE54" i="19"/>
  <c r="AD54" i="19"/>
  <c r="AC54" i="19"/>
  <c r="AF42" i="19"/>
  <c r="AE42" i="19"/>
  <c r="AD42" i="19"/>
  <c r="AC42" i="19"/>
  <c r="AD30" i="19"/>
  <c r="AE30" i="19"/>
  <c r="AF30" i="19"/>
  <c r="AC30" i="19"/>
  <c r="AD17" i="19"/>
  <c r="AE17" i="19"/>
  <c r="AF17" i="19"/>
  <c r="AC17" i="19"/>
  <c r="DH5" i="9"/>
  <c r="DH4" i="9"/>
  <c r="V6" i="34" l="1"/>
  <c r="F50" i="19" s="1"/>
  <c r="F49" i="19"/>
  <c r="C35" i="35" a="1"/>
  <c r="C35" i="35" s="1"/>
  <c r="C42" i="35"/>
  <c r="C12" i="35" s="1"/>
  <c r="DN26" i="9"/>
  <c r="C38" i="35"/>
  <c r="J57" i="35"/>
  <c r="K57" i="35" s="1" a="1"/>
  <c r="K57" i="35" s="1"/>
  <c r="AC5" i="9"/>
  <c r="AC8" i="9" s="1"/>
  <c r="AJ5" i="26" a="1"/>
  <c r="AK5" i="26" s="1"/>
  <c r="AB38" i="26"/>
  <c r="W38" i="26"/>
  <c r="X38" i="26"/>
  <c r="V38" i="26"/>
  <c r="AC11" i="9" l="1"/>
  <c r="N45" i="2" s="1"/>
  <c r="DG5" i="9"/>
  <c r="CT20" i="9"/>
  <c r="AC7" i="9"/>
  <c r="DG4" i="9" s="1"/>
  <c r="B2" i="42" s="1"/>
  <c r="AL5" i="26"/>
  <c r="AJ5" i="26"/>
  <c r="CY15" i="9"/>
  <c r="DC15" i="9" s="1"/>
  <c r="CY11" i="9"/>
  <c r="DC11" i="9" s="1"/>
  <c r="F38" i="2" l="1"/>
  <c r="B3" i="42"/>
  <c r="B28" i="42"/>
  <c r="B30" i="42" s="1"/>
  <c r="D4" i="42"/>
  <c r="E4" i="42"/>
  <c r="H38" i="2"/>
  <c r="DJ14" i="9"/>
  <c r="DK14" i="9" s="1"/>
  <c r="DJ11" i="9"/>
  <c r="DK11" i="9" s="1"/>
  <c r="DJ12" i="9"/>
  <c r="DK12" i="9" s="1"/>
  <c r="DJ10" i="9"/>
  <c r="DK10" i="9" s="1"/>
  <c r="DJ13" i="9"/>
  <c r="DK13" i="9" s="1"/>
  <c r="CT19" i="9"/>
  <c r="DB14" i="9"/>
  <c r="DB10" i="9"/>
  <c r="M11" i="9"/>
  <c r="B11" i="9"/>
  <c r="AC15" i="9"/>
  <c r="E38" i="2" s="1"/>
  <c r="AC13" i="9"/>
  <c r="AC10" i="9"/>
  <c r="N44" i="2" s="1"/>
  <c r="AD15" i="9"/>
  <c r="G38" i="2" s="1"/>
  <c r="G33" i="2" s="1"/>
  <c r="CX15" i="9" s="1"/>
  <c r="CY14" i="9" s="1"/>
  <c r="DC14" i="9" s="1"/>
  <c r="CR27" i="9"/>
  <c r="CR26" i="9"/>
  <c r="CR25" i="9"/>
  <c r="CR24" i="9"/>
  <c r="CR23" i="9"/>
  <c r="CR22" i="9"/>
  <c r="CR11" i="9"/>
  <c r="E33" i="2" l="1"/>
  <c r="CX11" i="9" s="1"/>
  <c r="CY10" i="9" s="1"/>
  <c r="DC10" i="9" s="1"/>
  <c r="F53" i="19"/>
  <c r="F36" i="19" s="1"/>
  <c r="Z5" i="42" a="1"/>
  <c r="Z5" i="42" s="1"/>
  <c r="Z21" i="42" a="1"/>
  <c r="Z21" i="42" s="1"/>
  <c r="G15" i="35" s="1"/>
  <c r="Z37" i="42" a="1"/>
  <c r="Z37" i="42" s="1"/>
  <c r="G31" i="35" s="1"/>
  <c r="Z53" i="42" a="1"/>
  <c r="Z53" i="42" s="1"/>
  <c r="G47" i="35" s="1"/>
  <c r="Z69" i="42" a="1"/>
  <c r="Z69" i="42" s="1"/>
  <c r="Z4" i="42" a="1"/>
  <c r="Z4" i="42" s="1"/>
  <c r="Z83" i="42" a="1"/>
  <c r="Z83" i="42" s="1"/>
  <c r="Z6" i="42" a="1"/>
  <c r="Z6" i="42" s="1"/>
  <c r="Z22" i="42" a="1"/>
  <c r="Z22" i="42" s="1"/>
  <c r="G16" i="35" s="1"/>
  <c r="Z38" i="42" a="1"/>
  <c r="Z38" i="42" s="1"/>
  <c r="G32" i="35" s="1"/>
  <c r="Z54" i="42" a="1"/>
  <c r="Z54" i="42" s="1"/>
  <c r="G48" i="35" s="1"/>
  <c r="Z70" i="42" a="1"/>
  <c r="Z70" i="42" s="1"/>
  <c r="Z67" i="42" a="1"/>
  <c r="Z67" i="42" s="1"/>
  <c r="Z7" i="42" a="1"/>
  <c r="Z7" i="42" s="1"/>
  <c r="Z23" i="42" a="1"/>
  <c r="Z23" i="42" s="1"/>
  <c r="G17" i="35" s="1"/>
  <c r="Z39" i="42" a="1"/>
  <c r="Z39" i="42" s="1"/>
  <c r="G33" i="35" s="1"/>
  <c r="Z55" i="42" a="1"/>
  <c r="Z55" i="42" s="1"/>
  <c r="G49" i="35" s="1"/>
  <c r="Z71" i="42" a="1"/>
  <c r="Z71" i="42" s="1"/>
  <c r="Z20" i="42" a="1"/>
  <c r="Z20" i="42" s="1"/>
  <c r="G14" i="35" s="1"/>
  <c r="Z8" i="42" a="1"/>
  <c r="Z8" i="42" s="1"/>
  <c r="Z24" i="42" a="1"/>
  <c r="Z24" i="42" s="1"/>
  <c r="G18" i="35" s="1"/>
  <c r="Z40" i="42" a="1"/>
  <c r="Z40" i="42" s="1"/>
  <c r="G34" i="35" s="1"/>
  <c r="Z56" i="42" a="1"/>
  <c r="Z56" i="42" s="1"/>
  <c r="G50" i="35" s="1"/>
  <c r="Z72" i="42" a="1"/>
  <c r="Z72" i="42" s="1"/>
  <c r="Z35" i="42" a="1"/>
  <c r="Z35" i="42" s="1"/>
  <c r="G29" i="35" s="1"/>
  <c r="Z9" i="42" a="1"/>
  <c r="Z9" i="42" s="1"/>
  <c r="Z25" i="42" a="1"/>
  <c r="Z25" i="42" s="1"/>
  <c r="G19" i="35" s="1"/>
  <c r="Z41" i="42" a="1"/>
  <c r="Z41" i="42" s="1"/>
  <c r="G35" i="35" s="1"/>
  <c r="Z57" i="42" a="1"/>
  <c r="Z57" i="42" s="1"/>
  <c r="Z73" i="42" a="1"/>
  <c r="Z73" i="42" s="1"/>
  <c r="Z51" i="42" a="1"/>
  <c r="Z51" i="42" s="1"/>
  <c r="G45" i="35" s="1"/>
  <c r="Z10" i="42" a="1"/>
  <c r="Z10" i="42" s="1"/>
  <c r="Z26" i="42" a="1"/>
  <c r="Z26" i="42" s="1"/>
  <c r="G20" i="35" s="1"/>
  <c r="Z42" i="42" a="1"/>
  <c r="Z42" i="42" s="1"/>
  <c r="G36" i="35" s="1"/>
  <c r="Z58" i="42" a="1"/>
  <c r="Z58" i="42" s="1"/>
  <c r="Z74" i="42" a="1"/>
  <c r="Z74" i="42" s="1"/>
  <c r="Z19" i="42" a="1"/>
  <c r="Z19" i="42" s="1"/>
  <c r="G13" i="35" s="1"/>
  <c r="Z11" i="42" a="1"/>
  <c r="Z11" i="42" s="1"/>
  <c r="Z27" i="42" a="1"/>
  <c r="Z27" i="42" s="1"/>
  <c r="G21" i="35" s="1"/>
  <c r="Z43" i="42" a="1"/>
  <c r="Z43" i="42" s="1"/>
  <c r="G37" i="35" s="1"/>
  <c r="Z59" i="42" a="1"/>
  <c r="Z59" i="42" s="1"/>
  <c r="Z75" i="42" a="1"/>
  <c r="Z75" i="42" s="1"/>
  <c r="Z82" i="42" a="1"/>
  <c r="Z82" i="42" s="1"/>
  <c r="Z68" i="42" a="1"/>
  <c r="Z68" i="42" s="1"/>
  <c r="Z12" i="42" a="1"/>
  <c r="Z12" i="42" s="1"/>
  <c r="G6" i="35" s="1"/>
  <c r="Z28" i="42" a="1"/>
  <c r="Z28" i="42" s="1"/>
  <c r="G22" i="35" s="1"/>
  <c r="Z44" i="42" a="1"/>
  <c r="Z44" i="42" s="1"/>
  <c r="G38" i="35" s="1"/>
  <c r="Z60" i="42" a="1"/>
  <c r="Z60" i="42" s="1"/>
  <c r="Z76" i="42" a="1"/>
  <c r="Z76" i="42" s="1"/>
  <c r="Z36" i="42" a="1"/>
  <c r="Z36" i="42" s="1"/>
  <c r="G30" i="35" s="1"/>
  <c r="Z13" i="42" a="1"/>
  <c r="Z13" i="42" s="1"/>
  <c r="G7" i="35" s="1"/>
  <c r="Z29" i="42" a="1"/>
  <c r="Z29" i="42" s="1"/>
  <c r="G23" i="35" s="1"/>
  <c r="Z45" i="42" a="1"/>
  <c r="Z45" i="42" s="1"/>
  <c r="G39" i="35" s="1"/>
  <c r="Z61" i="42" a="1"/>
  <c r="Z61" i="42" s="1"/>
  <c r="Z77" i="42" a="1"/>
  <c r="Z77" i="42" s="1"/>
  <c r="Z84" i="42" a="1"/>
  <c r="Z84" i="42" s="1"/>
  <c r="Z14" i="42" a="1"/>
  <c r="Z14" i="42" s="1"/>
  <c r="G8" i="35" s="1"/>
  <c r="Z30" i="42" a="1"/>
  <c r="Z30" i="42" s="1"/>
  <c r="G24" i="35" s="1"/>
  <c r="Z46" i="42" a="1"/>
  <c r="Z46" i="42" s="1"/>
  <c r="G40" i="35" s="1"/>
  <c r="Z62" i="42" a="1"/>
  <c r="Z62" i="42" s="1"/>
  <c r="Z78" i="42" a="1"/>
  <c r="Z78" i="42" s="1"/>
  <c r="Z50" i="42" a="1"/>
  <c r="Z50" i="42" s="1"/>
  <c r="G44" i="35" s="1"/>
  <c r="Z52" i="42" a="1"/>
  <c r="Z52" i="42" s="1"/>
  <c r="G46" i="35" s="1"/>
  <c r="Z15" i="42" a="1"/>
  <c r="Z15" i="42" s="1"/>
  <c r="G9" i="35" s="1"/>
  <c r="Z31" i="42" a="1"/>
  <c r="Z31" i="42" s="1"/>
  <c r="G25" i="35" s="1"/>
  <c r="Z47" i="42" a="1"/>
  <c r="Z47" i="42" s="1"/>
  <c r="G41" i="35" s="1"/>
  <c r="Z63" i="42" a="1"/>
  <c r="Z63" i="42" s="1"/>
  <c r="Z79" i="42" a="1"/>
  <c r="Z79" i="42" s="1"/>
  <c r="Z34" i="42" a="1"/>
  <c r="Z34" i="42" s="1"/>
  <c r="G28" i="35" s="1"/>
  <c r="Z16" i="42" a="1"/>
  <c r="Z16" i="42" s="1"/>
  <c r="G10" i="35" s="1"/>
  <c r="Z32" i="42" a="1"/>
  <c r="Z32" i="42" s="1"/>
  <c r="G26" i="35" s="1"/>
  <c r="Z48" i="42" a="1"/>
  <c r="Z48" i="42" s="1"/>
  <c r="G42" i="35" s="1"/>
  <c r="Z64" i="42" a="1"/>
  <c r="Z64" i="42" s="1"/>
  <c r="Z80" i="42" a="1"/>
  <c r="Z80" i="42" s="1"/>
  <c r="Z18" i="42" a="1"/>
  <c r="Z18" i="42" s="1"/>
  <c r="G12" i="35" s="1"/>
  <c r="Z17" i="42" a="1"/>
  <c r="Z17" i="42" s="1"/>
  <c r="G11" i="35" s="1"/>
  <c r="Z33" i="42" a="1"/>
  <c r="Z33" i="42" s="1"/>
  <c r="G27" i="35" s="1"/>
  <c r="Z49" i="42" a="1"/>
  <c r="Z49" i="42" s="1"/>
  <c r="G43" i="35" s="1"/>
  <c r="Z65" i="42" a="1"/>
  <c r="Z65" i="42" s="1"/>
  <c r="Z81" i="42" a="1"/>
  <c r="Z81" i="42" s="1"/>
  <c r="Z66" i="42" a="1"/>
  <c r="Z66" i="42" s="1"/>
  <c r="DK4" i="9" a="1"/>
  <c r="DK4" i="9" s="1"/>
  <c r="DB15" i="9"/>
  <c r="AN11" i="9"/>
  <c r="AL11" i="9"/>
  <c r="AJ11" i="9"/>
  <c r="AY11" i="9"/>
  <c r="AW11" i="9"/>
  <c r="AU11" i="9"/>
  <c r="AS11" i="9"/>
  <c r="AP11" i="9"/>
  <c r="H37" i="2"/>
  <c r="F37" i="2"/>
  <c r="G52" i="19" s="1"/>
  <c r="CS16" i="9"/>
  <c r="DC35" i="9"/>
  <c r="DB11" i="9" l="1"/>
  <c r="CR16" i="9"/>
  <c r="CR19" i="9" s="1"/>
  <c r="CR35" i="9" s="1"/>
  <c r="CX16" i="9"/>
  <c r="DB16" i="9" s="1"/>
  <c r="CS19" i="9"/>
  <c r="CS35" i="9" s="1"/>
  <c r="CS20" i="9"/>
  <c r="CS36" i="9" s="1"/>
  <c r="AO36" i="22"/>
  <c r="AL36" i="14"/>
  <c r="AS36" i="30"/>
  <c r="AI36" i="1"/>
  <c r="AP36" i="26"/>
  <c r="CS17" i="9"/>
  <c r="AO37" i="22" s="1"/>
  <c r="AL36" i="8"/>
  <c r="C11" i="35"/>
  <c r="C5" i="35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B903" i="36" a="1"/>
  <c r="B903" i="36" s="1"/>
  <c r="B813" i="36" a="1"/>
  <c r="B813" i="36" s="1"/>
  <c r="B723" i="36" a="1"/>
  <c r="B723" i="36" s="1"/>
  <c r="B633" i="36" a="1"/>
  <c r="B633" i="36" s="1"/>
  <c r="B4" i="39"/>
  <c r="B4" i="38"/>
  <c r="Z1" i="41"/>
  <c r="Y1" i="41"/>
  <c r="X1" i="41"/>
  <c r="W1" i="41"/>
  <c r="V1" i="41"/>
  <c r="U1" i="41"/>
  <c r="T1" i="41"/>
  <c r="S1" i="41"/>
  <c r="R1" i="41"/>
  <c r="Q1" i="41"/>
  <c r="P1" i="41"/>
  <c r="O1" i="41"/>
  <c r="N1" i="41"/>
  <c r="M1" i="41"/>
  <c r="L1" i="41"/>
  <c r="K1" i="41"/>
  <c r="J1" i="41"/>
  <c r="I1" i="41"/>
  <c r="A1" i="41" a="1"/>
  <c r="A1" i="41" s="1"/>
  <c r="A1" i="40" a="1"/>
  <c r="A1" i="40" s="1"/>
  <c r="B1" i="39" a="1"/>
  <c r="B1" i="39" s="1"/>
  <c r="A44" i="41" s="1"/>
  <c r="B1" i="38" a="1"/>
  <c r="B1" i="38" s="1"/>
  <c r="A31" i="40" s="1"/>
  <c r="C16" i="35"/>
  <c r="C15" i="35"/>
  <c r="A1" i="36" a="1"/>
  <c r="A1" i="36" s="1"/>
  <c r="C13" i="35"/>
  <c r="AI36" i="3" l="1"/>
  <c r="AO36" i="21"/>
  <c r="CX12" i="9"/>
  <c r="DB12" i="9" s="1"/>
  <c r="AP36" i="25"/>
  <c r="AL36" i="6"/>
  <c r="AL36" i="10"/>
  <c r="CR17" i="9"/>
  <c r="AO37" i="21" s="1"/>
  <c r="AS36" i="29"/>
  <c r="CR20" i="9"/>
  <c r="CR36" i="9" s="1"/>
  <c r="H1" i="41"/>
  <c r="B2" i="40"/>
  <c r="H2" i="41"/>
  <c r="B543" i="36" s="1" a="1"/>
  <c r="B543" i="36" s="1"/>
  <c r="G2" i="41"/>
  <c r="F2" i="41"/>
  <c r="E2" i="41"/>
  <c r="D2" i="41"/>
  <c r="C2" i="41"/>
  <c r="B5" i="41"/>
  <c r="B4" i="41"/>
  <c r="B3" i="41"/>
  <c r="B2" i="41"/>
  <c r="B23" i="42" a="1"/>
  <c r="B23" i="42" s="1"/>
  <c r="X3" i="42" s="1"/>
  <c r="B7" i="42" a="1"/>
  <c r="B7" i="42" s="1"/>
  <c r="B22" i="42" a="1"/>
  <c r="B22" i="42" s="1"/>
  <c r="W3" i="42" s="1"/>
  <c r="B21" i="42" a="1"/>
  <c r="B21" i="42" s="1"/>
  <c r="V3" i="42" s="1"/>
  <c r="B20" i="42" a="1"/>
  <c r="B20" i="42" s="1"/>
  <c r="U3" i="42" s="1"/>
  <c r="B19" i="42" a="1"/>
  <c r="B19" i="42" s="1"/>
  <c r="T3" i="42" s="1"/>
  <c r="B18" i="42" a="1"/>
  <c r="B18" i="42" s="1"/>
  <c r="S3" i="42" s="1"/>
  <c r="B17" i="42" a="1"/>
  <c r="B17" i="42" s="1"/>
  <c r="R3" i="42" s="1"/>
  <c r="B16" i="42" a="1"/>
  <c r="B16" i="42" s="1"/>
  <c r="Q3" i="42" s="1"/>
  <c r="B15" i="42" a="1"/>
  <c r="B15" i="42" s="1"/>
  <c r="P3" i="42" s="1"/>
  <c r="B14" i="42" a="1"/>
  <c r="B14" i="42" s="1"/>
  <c r="O3" i="42" s="1"/>
  <c r="B13" i="42" a="1"/>
  <c r="B13" i="42" s="1"/>
  <c r="N3" i="42" s="1"/>
  <c r="B12" i="42" a="1"/>
  <c r="B12" i="42" s="1"/>
  <c r="M3" i="42" s="1"/>
  <c r="B8" i="42" a="1"/>
  <c r="B8" i="42" s="1"/>
  <c r="B11" i="42" a="1"/>
  <c r="B11" i="42" s="1"/>
  <c r="L3" i="42" s="1"/>
  <c r="B10" i="42" a="1"/>
  <c r="B10" i="42" s="1"/>
  <c r="B9" i="42" a="1"/>
  <c r="B9" i="42" s="1"/>
  <c r="M44" i="35"/>
  <c r="CY16" i="9"/>
  <c r="DC16" i="9" s="1"/>
  <c r="AS37" i="30"/>
  <c r="AL37" i="14"/>
  <c r="AL37" i="8"/>
  <c r="AP37" i="26"/>
  <c r="CU35" i="9"/>
  <c r="AI37" i="1"/>
  <c r="C1" i="41"/>
  <c r="D1" i="41"/>
  <c r="E1" i="41"/>
  <c r="F1" i="41"/>
  <c r="G1" i="41"/>
  <c r="M6" i="35"/>
  <c r="M32" i="35"/>
  <c r="M43" i="35"/>
  <c r="M8" i="35"/>
  <c r="M9" i="35"/>
  <c r="M17" i="35"/>
  <c r="M12" i="35"/>
  <c r="M18" i="35"/>
  <c r="M45" i="35"/>
  <c r="M11" i="35"/>
  <c r="M49" i="35"/>
  <c r="M25" i="35"/>
  <c r="M47" i="35"/>
  <c r="M35" i="35"/>
  <c r="M40" i="35"/>
  <c r="M23" i="35"/>
  <c r="M50" i="35"/>
  <c r="M38" i="35"/>
  <c r="M26" i="35"/>
  <c r="M21" i="35"/>
  <c r="M48" i="35"/>
  <c r="M36" i="35"/>
  <c r="M41" i="35"/>
  <c r="M29" i="35"/>
  <c r="M24" i="35"/>
  <c r="M19" i="35"/>
  <c r="M16" i="35"/>
  <c r="M13" i="35"/>
  <c r="M10" i="35"/>
  <c r="M7" i="35"/>
  <c r="M3" i="35"/>
  <c r="M46" i="35"/>
  <c r="M34" i="35"/>
  <c r="M27" i="35"/>
  <c r="M22" i="35"/>
  <c r="M39" i="35"/>
  <c r="M42" i="35"/>
  <c r="M30" i="35"/>
  <c r="M28" i="35"/>
  <c r="M33" i="35"/>
  <c r="H17" i="35"/>
  <c r="H14" i="35"/>
  <c r="H11" i="35"/>
  <c r="H8" i="35"/>
  <c r="H18" i="35"/>
  <c r="H15" i="35"/>
  <c r="H12" i="35"/>
  <c r="H9" i="35"/>
  <c r="H6" i="35"/>
  <c r="H16" i="35"/>
  <c r="H13" i="35"/>
  <c r="H10" i="35"/>
  <c r="H7" i="35"/>
  <c r="H3" i="35"/>
  <c r="M15" i="35"/>
  <c r="M31" i="35"/>
  <c r="M14" i="35"/>
  <c r="M20" i="35"/>
  <c r="M37" i="35"/>
  <c r="AL37" i="6" l="1"/>
  <c r="AS37" i="29"/>
  <c r="AI37" i="3"/>
  <c r="CY12" i="9"/>
  <c r="DC12" i="9" s="1"/>
  <c r="AL37" i="10"/>
  <c r="AP37" i="25"/>
  <c r="CT35" i="9"/>
  <c r="B31" i="42" a="1"/>
  <c r="B31" i="42" s="1"/>
  <c r="Z3" i="42" a="1"/>
  <c r="Z3" i="42" s="1"/>
  <c r="D7" i="42" a="1"/>
  <c r="D7" i="42" s="1"/>
  <c r="B273" i="36" a="1"/>
  <c r="B273" i="36" s="1"/>
  <c r="B93" i="36" a="1"/>
  <c r="B93" i="36" s="1"/>
  <c r="B453" i="36" a="1"/>
  <c r="B453" i="36" s="1"/>
  <c r="B363" i="36" a="1"/>
  <c r="B363" i="36" s="1"/>
  <c r="B183" i="36" a="1"/>
  <c r="B183" i="36" s="1"/>
  <c r="B1" i="41"/>
  <c r="H46" i="35"/>
  <c r="H34" i="35"/>
  <c r="H27" i="35"/>
  <c r="H22" i="35"/>
  <c r="H39" i="35"/>
  <c r="H49" i="35"/>
  <c r="H37" i="35"/>
  <c r="H25" i="35"/>
  <c r="H20" i="35"/>
  <c r="H47" i="35"/>
  <c r="H35" i="35"/>
  <c r="H40" i="35"/>
  <c r="H28" i="35"/>
  <c r="H23" i="35"/>
  <c r="H26" i="35"/>
  <c r="H45" i="35"/>
  <c r="H33" i="35"/>
  <c r="H21" i="35"/>
  <c r="H50" i="35"/>
  <c r="H38" i="35"/>
  <c r="H41" i="35"/>
  <c r="H29" i="35"/>
  <c r="H24" i="35"/>
  <c r="H19" i="35"/>
  <c r="H48" i="35"/>
  <c r="H43" i="35"/>
  <c r="H31" i="35"/>
  <c r="H44" i="35"/>
  <c r="H42" i="35"/>
  <c r="H36" i="35"/>
  <c r="H30" i="35"/>
  <c r="H32" i="35"/>
  <c r="C14" i="35"/>
  <c r="B3" i="36" l="1" a="1"/>
  <c r="B3" i="36" s="1"/>
  <c r="C19" i="35"/>
  <c r="F3" i="35" s="1"/>
  <c r="X34" i="2" l="1"/>
  <c r="X20" i="2"/>
  <c r="X53" i="2"/>
  <c r="X17" i="2"/>
  <c r="X19" i="2"/>
  <c r="X30" i="2"/>
  <c r="X24" i="2"/>
  <c r="X21" i="2"/>
  <c r="X27" i="2"/>
  <c r="X25" i="2"/>
  <c r="X51" i="2"/>
  <c r="X47" i="2"/>
  <c r="X50" i="2"/>
  <c r="X38" i="2"/>
  <c r="X37" i="2"/>
  <c r="X44" i="2"/>
  <c r="X36" i="2"/>
  <c r="X32" i="2"/>
  <c r="X23" i="2"/>
  <c r="X49" i="2"/>
  <c r="X31" i="2"/>
  <c r="X41" i="2"/>
  <c r="X48" i="2"/>
  <c r="X12" i="2"/>
  <c r="X22" i="2"/>
  <c r="X39" i="2"/>
  <c r="X42" i="2"/>
  <c r="X54" i="2"/>
  <c r="X46" i="2"/>
  <c r="X16" i="2"/>
  <c r="X45" i="2"/>
  <c r="X52" i="2"/>
  <c r="X10" i="2"/>
  <c r="X15" i="2"/>
  <c r="X14" i="2"/>
  <c r="X28" i="2"/>
  <c r="X13" i="2"/>
  <c r="X40" i="2"/>
  <c r="X26" i="2"/>
  <c r="X35" i="2"/>
  <c r="X11" i="2"/>
  <c r="X33" i="2"/>
  <c r="X29" i="2"/>
  <c r="X18" i="2"/>
  <c r="X43" i="2"/>
  <c r="U8" i="35"/>
  <c r="AA12" i="2" s="1"/>
  <c r="U21" i="35"/>
  <c r="AA25" i="2" s="1"/>
  <c r="U14" i="35"/>
  <c r="AA18" i="2" s="1"/>
  <c r="U23" i="35"/>
  <c r="AA27" i="2" s="1"/>
  <c r="U7" i="35"/>
  <c r="AA11" i="2" s="1"/>
  <c r="U46" i="35"/>
  <c r="AA50" i="2" s="1"/>
  <c r="U38" i="35"/>
  <c r="AA42" i="2" s="1"/>
  <c r="U20" i="35"/>
  <c r="AA24" i="2" s="1"/>
  <c r="U28" i="35"/>
  <c r="AA32" i="2" s="1"/>
  <c r="U10" i="35"/>
  <c r="AA14" i="2" s="1"/>
  <c r="U45" i="35"/>
  <c r="AA49" i="2" s="1"/>
  <c r="U33" i="35"/>
  <c r="AA37" i="2" s="1"/>
  <c r="U9" i="35"/>
  <c r="AA13" i="2" s="1"/>
  <c r="U37" i="35"/>
  <c r="AA41" i="2" s="1"/>
  <c r="U40" i="35"/>
  <c r="AA44" i="2" s="1"/>
  <c r="U13" i="35"/>
  <c r="AA17" i="2" s="1"/>
  <c r="U34" i="35"/>
  <c r="AA38" i="2" s="1"/>
  <c r="U17" i="35"/>
  <c r="AA21" i="2" s="1"/>
  <c r="U50" i="35"/>
  <c r="AA54" i="2" s="1"/>
  <c r="U35" i="35"/>
  <c r="AA39" i="2" s="1"/>
  <c r="U16" i="35"/>
  <c r="AA20" i="2" s="1"/>
  <c r="U27" i="35"/>
  <c r="AA31" i="2" s="1"/>
  <c r="U25" i="35"/>
  <c r="AA29" i="2" s="1"/>
  <c r="U11" i="35"/>
  <c r="AA15" i="2" s="1"/>
  <c r="U47" i="35"/>
  <c r="AA51" i="2" s="1"/>
  <c r="U19" i="35"/>
  <c r="AA23" i="2" s="1"/>
  <c r="U31" i="35"/>
  <c r="AA35" i="2" s="1"/>
  <c r="U22" i="35"/>
  <c r="AA26" i="2" s="1"/>
  <c r="U39" i="35"/>
  <c r="AA43" i="2" s="1"/>
  <c r="U30" i="35"/>
  <c r="AA34" i="2" s="1"/>
  <c r="U24" i="35"/>
  <c r="AA28" i="2" s="1"/>
  <c r="U43" i="35"/>
  <c r="AA47" i="2" s="1"/>
  <c r="U26" i="35"/>
  <c r="AA30" i="2" s="1"/>
  <c r="U42" i="35"/>
  <c r="AA46" i="2" s="1"/>
  <c r="U29" i="35"/>
  <c r="AA33" i="2" s="1"/>
  <c r="U6" i="35"/>
  <c r="AA10" i="2" s="1"/>
  <c r="U36" i="35"/>
  <c r="AA40" i="2" s="1"/>
  <c r="U49" i="35"/>
  <c r="AA53" i="2" s="1"/>
  <c r="U41" i="35"/>
  <c r="AA45" i="2" s="1"/>
  <c r="U12" i="35"/>
  <c r="AA16" i="2" s="1"/>
  <c r="U48" i="35"/>
  <c r="AA52" i="2" s="1"/>
  <c r="U32" i="35"/>
  <c r="AA36" i="2" s="1"/>
  <c r="U15" i="35"/>
  <c r="AA19" i="2" s="1"/>
  <c r="U18" i="35"/>
  <c r="AA22" i="2" s="1"/>
  <c r="U44" i="35"/>
  <c r="AA48" i="2" s="1"/>
  <c r="L3" i="35"/>
  <c r="U4" i="35" l="1"/>
  <c r="M43" i="2" l="1"/>
  <c r="L43" i="2"/>
  <c r="O102" i="2"/>
  <c r="Q25" i="30"/>
  <c r="Q24" i="30"/>
  <c r="Q23" i="30"/>
  <c r="Q25" i="29"/>
  <c r="Q26" i="29"/>
  <c r="Q24" i="29"/>
  <c r="AK5" i="9" l="1"/>
  <c r="AK6" i="9"/>
  <c r="L36" i="2"/>
  <c r="E36" i="2"/>
  <c r="M36" i="2"/>
  <c r="G36" i="2"/>
  <c r="BW17" i="9"/>
  <c r="W7" i="9" a="1"/>
  <c r="W7" i="9" s="1"/>
  <c r="C6" i="9" s="1"/>
  <c r="DI35" i="9" l="1"/>
  <c r="DN35" i="9"/>
  <c r="DN37" i="9" s="1"/>
  <c r="BY17" i="9"/>
  <c r="X55" i="29" a="1"/>
  <c r="X55" i="29" s="1"/>
  <c r="Z55" i="29" l="1"/>
  <c r="Y55" i="29"/>
  <c r="T31" i="31" l="1" a="1"/>
  <c r="T31" i="31" s="1"/>
  <c r="D39" i="31"/>
  <c r="E39" i="31"/>
  <c r="F39" i="31"/>
  <c r="G39" i="31"/>
  <c r="H39" i="31"/>
  <c r="I39" i="31"/>
  <c r="J39" i="31"/>
  <c r="C39" i="31"/>
  <c r="L31" i="31"/>
  <c r="M31" i="31"/>
  <c r="N31" i="31"/>
  <c r="O31" i="31"/>
  <c r="P31" i="31"/>
  <c r="Q31" i="31"/>
  <c r="R31" i="31"/>
  <c r="K31" i="31"/>
  <c r="L30" i="31"/>
  <c r="M30" i="31"/>
  <c r="N30" i="31"/>
  <c r="O30" i="31"/>
  <c r="P30" i="31"/>
  <c r="Q30" i="31"/>
  <c r="R30" i="31"/>
  <c r="K30" i="31"/>
  <c r="L26" i="31"/>
  <c r="M26" i="31"/>
  <c r="N26" i="31"/>
  <c r="O26" i="31"/>
  <c r="P26" i="31"/>
  <c r="Q26" i="31"/>
  <c r="R26" i="31"/>
  <c r="L27" i="31"/>
  <c r="M27" i="31"/>
  <c r="N27" i="31"/>
  <c r="O27" i="31"/>
  <c r="P27" i="31"/>
  <c r="Q27" i="31"/>
  <c r="R27" i="31"/>
  <c r="L28" i="31"/>
  <c r="M28" i="31"/>
  <c r="N28" i="31"/>
  <c r="O28" i="31"/>
  <c r="P28" i="31"/>
  <c r="Q28" i="31"/>
  <c r="R28" i="31"/>
  <c r="L29" i="31"/>
  <c r="M29" i="31"/>
  <c r="N29" i="31"/>
  <c r="O29" i="31"/>
  <c r="P29" i="31"/>
  <c r="Q29" i="31"/>
  <c r="R29" i="31"/>
  <c r="K27" i="31"/>
  <c r="K28" i="31"/>
  <c r="K29" i="31"/>
  <c r="K26" i="31"/>
  <c r="C12" i="31" a="1"/>
  <c r="C12" i="31" s="1"/>
  <c r="D12" i="31" l="1"/>
  <c r="R60" i="29" l="1" a="1"/>
  <c r="R60" i="29" s="1"/>
  <c r="R65" i="29" a="1"/>
  <c r="S65" i="29" s="1"/>
  <c r="R70" i="29" a="1"/>
  <c r="R70" i="29" s="1"/>
  <c r="R75" i="29" a="1"/>
  <c r="R75" i="29" s="1"/>
  <c r="T60" i="29" l="1"/>
  <c r="S60" i="29"/>
  <c r="R65" i="29"/>
  <c r="T65" i="29"/>
  <c r="S70" i="29"/>
  <c r="T70" i="29"/>
  <c r="S75" i="29"/>
  <c r="T75" i="29"/>
  <c r="X51" i="30" l="1" a="1"/>
  <c r="X51" i="30" s="1"/>
  <c r="X55" i="30" a="1"/>
  <c r="Z55" i="30" s="1"/>
  <c r="X54" i="30" a="1"/>
  <c r="Z54" i="30" s="1"/>
  <c r="X53" i="30" a="1"/>
  <c r="Z53" i="30" s="1"/>
  <c r="X52" i="30" a="1"/>
  <c r="Z52" i="30" s="1"/>
  <c r="X38" i="30"/>
  <c r="W38" i="30"/>
  <c r="V38" i="30"/>
  <c r="X51" i="29" a="1"/>
  <c r="X51" i="29" s="1"/>
  <c r="X53" i="29" a="1"/>
  <c r="X53" i="29" s="1"/>
  <c r="X54" i="29" a="1"/>
  <c r="X54" i="29" s="1"/>
  <c r="X52" i="29" a="1"/>
  <c r="X52" i="29" s="1"/>
  <c r="AB34" i="29"/>
  <c r="AB37" i="29"/>
  <c r="W38" i="29"/>
  <c r="X38" i="29"/>
  <c r="V38" i="29"/>
  <c r="Z51" i="30" l="1"/>
  <c r="Y51" i="30"/>
  <c r="X52" i="30"/>
  <c r="X54" i="30"/>
  <c r="Y52" i="30"/>
  <c r="Y54" i="30"/>
  <c r="X53" i="30"/>
  <c r="X55" i="30"/>
  <c r="Y53" i="30"/>
  <c r="Y55" i="30"/>
  <c r="Z51" i="29"/>
  <c r="Y51" i="29"/>
  <c r="Z53" i="29"/>
  <c r="Y53" i="29"/>
  <c r="Z54" i="29"/>
  <c r="Y54" i="29"/>
  <c r="Z52" i="29"/>
  <c r="Y52" i="29"/>
  <c r="T10" i="9" l="1"/>
  <c r="AX10" i="9" s="1"/>
  <c r="R10" i="9"/>
  <c r="AV10" i="9" s="1"/>
  <c r="P10" i="9"/>
  <c r="AT10" i="9" s="1"/>
  <c r="N10" i="9"/>
  <c r="AR10" i="9" s="1"/>
  <c r="P12" i="9"/>
  <c r="AT12" i="9" s="1"/>
  <c r="R12" i="9"/>
  <c r="AV12" i="9" s="1"/>
  <c r="T12" i="9"/>
  <c r="AX12" i="9" s="1"/>
  <c r="P13" i="9"/>
  <c r="AT13" i="9" s="1"/>
  <c r="R13" i="9"/>
  <c r="AV13" i="9" s="1"/>
  <c r="T13" i="9"/>
  <c r="AX13" i="9" s="1"/>
  <c r="P14" i="9"/>
  <c r="AT14" i="9" s="1"/>
  <c r="R14" i="9"/>
  <c r="AV14" i="9" s="1"/>
  <c r="T14" i="9"/>
  <c r="AX14" i="9" s="1"/>
  <c r="P15" i="9"/>
  <c r="AT15" i="9" s="1"/>
  <c r="R15" i="9"/>
  <c r="AV15" i="9" s="1"/>
  <c r="S15" i="9"/>
  <c r="AW15" i="9" s="1"/>
  <c r="T15" i="9"/>
  <c r="AX15" i="9" s="1"/>
  <c r="P16" i="9"/>
  <c r="AT16" i="9" s="1"/>
  <c r="R16" i="9"/>
  <c r="AV16" i="9" s="1"/>
  <c r="T16" i="9"/>
  <c r="AX16" i="9" s="1"/>
  <c r="P17" i="9"/>
  <c r="AT17" i="9" s="1"/>
  <c r="R17" i="9"/>
  <c r="AV17" i="9" s="1"/>
  <c r="P18" i="9"/>
  <c r="AT18" i="9" s="1"/>
  <c r="N13" i="9"/>
  <c r="AR13" i="9" s="1"/>
  <c r="N14" i="9"/>
  <c r="AR14" i="9" s="1"/>
  <c r="N15" i="9"/>
  <c r="AR15" i="9" s="1"/>
  <c r="N16" i="9"/>
  <c r="AR16" i="9" s="1"/>
  <c r="N17" i="9"/>
  <c r="AR17" i="9" s="1"/>
  <c r="N18" i="9"/>
  <c r="AR18" i="9" s="1"/>
  <c r="N12" i="9"/>
  <c r="AR12" i="9" s="1"/>
  <c r="I10" i="9"/>
  <c r="AO10" i="9" s="1"/>
  <c r="G10" i="9"/>
  <c r="AM10" i="9" s="1"/>
  <c r="E10" i="9"/>
  <c r="AK10" i="9" s="1"/>
  <c r="C10" i="9"/>
  <c r="AI10" i="9" s="1"/>
  <c r="E12" i="9"/>
  <c r="AK12" i="9" s="1"/>
  <c r="G12" i="9"/>
  <c r="AM12" i="9" s="1"/>
  <c r="I12" i="9"/>
  <c r="AO12" i="9" s="1"/>
  <c r="E13" i="9"/>
  <c r="AK13" i="9" s="1"/>
  <c r="G13" i="9"/>
  <c r="AM13" i="9" s="1"/>
  <c r="I13" i="9"/>
  <c r="AO13" i="9" s="1"/>
  <c r="E14" i="9"/>
  <c r="AK14" i="9" s="1"/>
  <c r="G14" i="9"/>
  <c r="AM14" i="9" s="1"/>
  <c r="I14" i="9"/>
  <c r="AO14" i="9" s="1"/>
  <c r="E15" i="9"/>
  <c r="AK15" i="9" s="1"/>
  <c r="G15" i="9"/>
  <c r="AM15" i="9" s="1"/>
  <c r="I15" i="9"/>
  <c r="AO15" i="9" s="1"/>
  <c r="E16" i="9"/>
  <c r="AK16" i="9" s="1"/>
  <c r="G16" i="9"/>
  <c r="AM16" i="9" s="1"/>
  <c r="I16" i="9"/>
  <c r="AO16" i="9" s="1"/>
  <c r="E17" i="9"/>
  <c r="AK17" i="9" s="1"/>
  <c r="G17" i="9"/>
  <c r="AM17" i="9" s="1"/>
  <c r="E18" i="9"/>
  <c r="AK18" i="9" s="1"/>
  <c r="C13" i="9"/>
  <c r="AI13" i="9" s="1"/>
  <c r="C14" i="9"/>
  <c r="AI14" i="9" s="1"/>
  <c r="C15" i="9"/>
  <c r="AI15" i="9" s="1"/>
  <c r="C16" i="9"/>
  <c r="AI16" i="9" s="1"/>
  <c r="C17" i="9"/>
  <c r="AI17" i="9" s="1"/>
  <c r="C18" i="9"/>
  <c r="AI18" i="9" s="1"/>
  <c r="C12" i="9"/>
  <c r="AI12" i="9" s="1"/>
  <c r="M28" i="9"/>
  <c r="BD3" i="9"/>
  <c r="F6" i="2" s="1" a="1"/>
  <c r="F6" i="2" s="1"/>
  <c r="N35" i="9"/>
  <c r="J35" i="9"/>
  <c r="R75" i="30" a="1"/>
  <c r="T75" i="30" s="1"/>
  <c r="H75" i="30" a="1"/>
  <c r="J75" i="30" s="1"/>
  <c r="R70" i="30" a="1"/>
  <c r="R70" i="30" s="1"/>
  <c r="H70" i="30" a="1"/>
  <c r="J70" i="30" s="1"/>
  <c r="R65" i="30" a="1"/>
  <c r="R65" i="30" s="1"/>
  <c r="H65" i="30" a="1"/>
  <c r="J65" i="30" s="1"/>
  <c r="R60" i="30" a="1"/>
  <c r="T60" i="30" s="1"/>
  <c r="H60" i="30" a="1"/>
  <c r="J60" i="30" s="1"/>
  <c r="X37" i="30"/>
  <c r="W37" i="30"/>
  <c r="V37" i="30"/>
  <c r="X36" i="30"/>
  <c r="W36" i="30"/>
  <c r="V36" i="30"/>
  <c r="X35" i="30"/>
  <c r="W35" i="30"/>
  <c r="V35" i="30"/>
  <c r="X34" i="30"/>
  <c r="W34" i="30"/>
  <c r="V34" i="30"/>
  <c r="AD12" i="30"/>
  <c r="Q18" i="9" s="1"/>
  <c r="AU18" i="9" s="1"/>
  <c r="AB12" i="30"/>
  <c r="O18" i="9" s="1"/>
  <c r="AF11" i="30"/>
  <c r="S17" i="9" s="1"/>
  <c r="AW17" i="9" s="1"/>
  <c r="AD11" i="30"/>
  <c r="Q17" i="9" s="1"/>
  <c r="AU17" i="9" s="1"/>
  <c r="AB11" i="30"/>
  <c r="O17" i="9" s="1"/>
  <c r="AH10" i="30"/>
  <c r="U16" i="9" s="1"/>
  <c r="AY16" i="9" s="1"/>
  <c r="AF10" i="30"/>
  <c r="S16" i="9" s="1"/>
  <c r="AW16" i="9" s="1"/>
  <c r="AD10" i="30"/>
  <c r="Q16" i="9" s="1"/>
  <c r="AU16" i="9" s="1"/>
  <c r="AB10" i="30"/>
  <c r="O16" i="9" s="1"/>
  <c r="AH9" i="30"/>
  <c r="U15" i="9" s="1"/>
  <c r="AY15" i="9" s="1"/>
  <c r="AF9" i="30"/>
  <c r="AD9" i="30"/>
  <c r="Q15" i="9" s="1"/>
  <c r="AU15" i="9" s="1"/>
  <c r="AB9" i="30"/>
  <c r="O15" i="9" s="1"/>
  <c r="AH8" i="30"/>
  <c r="U14" i="9" s="1"/>
  <c r="AY14" i="9" s="1"/>
  <c r="AF8" i="30"/>
  <c r="S14" i="9" s="1"/>
  <c r="AW14" i="9" s="1"/>
  <c r="AD8" i="30"/>
  <c r="Q14" i="9" s="1"/>
  <c r="AU14" i="9" s="1"/>
  <c r="AB8" i="30"/>
  <c r="O14" i="9" s="1"/>
  <c r="AH7" i="30"/>
  <c r="U13" i="9" s="1"/>
  <c r="AY13" i="9" s="1"/>
  <c r="AF7" i="30"/>
  <c r="S13" i="9" s="1"/>
  <c r="AW13" i="9" s="1"/>
  <c r="AD7" i="30"/>
  <c r="Q13" i="9" s="1"/>
  <c r="AU13" i="9" s="1"/>
  <c r="AB7" i="30"/>
  <c r="O13" i="9" s="1"/>
  <c r="AH6" i="30"/>
  <c r="AB37" i="30" s="1"/>
  <c r="AF6" i="30"/>
  <c r="AB36" i="30" s="1"/>
  <c r="AD6" i="30"/>
  <c r="Q12" i="9" s="1"/>
  <c r="AU12" i="9" s="1"/>
  <c r="AB6" i="30"/>
  <c r="AB34" i="30" s="1"/>
  <c r="L3" i="30"/>
  <c r="J3" i="30"/>
  <c r="H75" i="29" a="1"/>
  <c r="J75" i="29" s="1"/>
  <c r="H70" i="29" a="1"/>
  <c r="J70" i="29" s="1"/>
  <c r="H65" i="29" a="1"/>
  <c r="J65" i="29" s="1"/>
  <c r="H60" i="29" a="1"/>
  <c r="J60" i="29" s="1"/>
  <c r="X37" i="29"/>
  <c r="W37" i="29"/>
  <c r="V37" i="29"/>
  <c r="X36" i="29"/>
  <c r="W36" i="29"/>
  <c r="V36" i="29"/>
  <c r="X35" i="29"/>
  <c r="W35" i="29"/>
  <c r="V35" i="29"/>
  <c r="X34" i="29"/>
  <c r="W34" i="29"/>
  <c r="V34" i="29"/>
  <c r="AD12" i="29"/>
  <c r="AB12" i="29"/>
  <c r="AF11" i="29"/>
  <c r="AD11" i="29"/>
  <c r="AB11" i="29"/>
  <c r="AH10" i="29"/>
  <c r="AF10" i="29"/>
  <c r="AD10" i="29"/>
  <c r="AB10" i="29"/>
  <c r="AH9" i="29"/>
  <c r="AF9" i="29"/>
  <c r="AD9" i="29"/>
  <c r="AB9" i="29"/>
  <c r="AH8" i="29"/>
  <c r="AF8" i="29"/>
  <c r="AD8" i="29"/>
  <c r="AB8" i="29"/>
  <c r="AH7" i="29"/>
  <c r="AF7" i="29"/>
  <c r="AD7" i="29"/>
  <c r="AB7" i="29"/>
  <c r="AH6" i="29"/>
  <c r="AF6" i="29"/>
  <c r="AB36" i="29" s="1"/>
  <c r="AD6" i="29"/>
  <c r="AB35" i="29" s="1"/>
  <c r="AB6" i="29"/>
  <c r="L3" i="29"/>
  <c r="J3" i="29"/>
  <c r="AS16" i="9" l="1"/>
  <c r="M16" i="9"/>
  <c r="AS15" i="9"/>
  <c r="M15" i="9"/>
  <c r="AS18" i="9"/>
  <c r="M18" i="9"/>
  <c r="M13" i="9"/>
  <c r="AS13" i="9"/>
  <c r="AS14" i="9"/>
  <c r="M14" i="9"/>
  <c r="AS17" i="9"/>
  <c r="M17" i="9"/>
  <c r="S60" i="30"/>
  <c r="I75" i="29"/>
  <c r="I60" i="29"/>
  <c r="U29" i="29"/>
  <c r="U29" i="30"/>
  <c r="W21" i="29"/>
  <c r="U12" i="9"/>
  <c r="AY12" i="9" s="1"/>
  <c r="S12" i="9"/>
  <c r="AW12" i="9" s="1"/>
  <c r="AB35" i="30"/>
  <c r="O12" i="9"/>
  <c r="S65" i="30"/>
  <c r="S70" i="30"/>
  <c r="H60" i="29"/>
  <c r="H60" i="30"/>
  <c r="T65" i="30"/>
  <c r="T70" i="30"/>
  <c r="R75" i="30"/>
  <c r="I60" i="30"/>
  <c r="S75" i="30"/>
  <c r="H65" i="29"/>
  <c r="H70" i="29"/>
  <c r="H65" i="30"/>
  <c r="H70" i="30"/>
  <c r="I65" i="29"/>
  <c r="I70" i="29"/>
  <c r="I65" i="30"/>
  <c r="I70" i="30"/>
  <c r="H75" i="29"/>
  <c r="R60" i="30"/>
  <c r="H75" i="30"/>
  <c r="I75" i="30"/>
  <c r="I6" i="24"/>
  <c r="AS12" i="9" l="1"/>
  <c r="M12" i="9"/>
  <c r="Y35" i="29"/>
  <c r="AA35" i="29" s="1"/>
  <c r="P22" i="29"/>
  <c r="Y37" i="30"/>
  <c r="AA37" i="30" s="1"/>
  <c r="P21" i="30"/>
  <c r="Y38" i="29"/>
  <c r="AA38" i="29" s="1"/>
  <c r="Y36" i="29"/>
  <c r="AA36" i="29" s="1"/>
  <c r="Y37" i="29"/>
  <c r="Z37" i="29" s="1"/>
  <c r="Y34" i="29"/>
  <c r="AA34" i="29" s="1"/>
  <c r="Y34" i="30"/>
  <c r="Z34" i="30" s="1"/>
  <c r="Y36" i="30"/>
  <c r="AA36" i="30" s="1"/>
  <c r="Y35" i="30"/>
  <c r="Y38" i="30"/>
  <c r="M27" i="9"/>
  <c r="I10" i="24"/>
  <c r="I16" i="24" s="1"/>
  <c r="Z37" i="30" l="1"/>
  <c r="AC37" i="30" s="1"/>
  <c r="AG37" i="30" s="1"/>
  <c r="Z36" i="29"/>
  <c r="AC36" i="29" s="1"/>
  <c r="AJ36" i="29" s="1"/>
  <c r="AM37" i="29" s="1"/>
  <c r="Z35" i="29"/>
  <c r="AC35" i="29" s="1"/>
  <c r="AG35" i="29" s="1"/>
  <c r="AA34" i="30"/>
  <c r="AC34" i="30" s="1"/>
  <c r="AA37" i="29"/>
  <c r="AC37" i="29" s="1"/>
  <c r="AD37" i="29" s="1"/>
  <c r="Z34" i="29"/>
  <c r="AC34" i="29" s="1"/>
  <c r="Z38" i="29"/>
  <c r="AC38" i="29" s="1"/>
  <c r="AJ38" i="29" s="1"/>
  <c r="AM35" i="29" s="1"/>
  <c r="Z36" i="30"/>
  <c r="AC36" i="30" s="1"/>
  <c r="AJ36" i="30" s="1"/>
  <c r="AM37" i="30" s="1"/>
  <c r="Z38" i="30"/>
  <c r="AA38" i="30"/>
  <c r="AA35" i="30"/>
  <c r="Z35" i="30"/>
  <c r="CM34" i="9"/>
  <c r="CM19" i="9"/>
  <c r="AU14" i="25"/>
  <c r="AU14" i="21"/>
  <c r="P47" i="28" a="1"/>
  <c r="Q47" i="28" s="1"/>
  <c r="P32" i="28" a="1"/>
  <c r="P24" i="28" a="1"/>
  <c r="P16" i="28" a="1"/>
  <c r="P9" i="28" a="1"/>
  <c r="J8" i="2" l="1" a="1"/>
  <c r="J8" i="2" s="1"/>
  <c r="M62" i="9" a="1"/>
  <c r="M62" i="9" s="1"/>
  <c r="CM26" i="9" a="1"/>
  <c r="CM26" i="9" s="1"/>
  <c r="CM25" i="9" a="1"/>
  <c r="CM25" i="9" s="1"/>
  <c r="AF34" i="30"/>
  <c r="AS34" i="30"/>
  <c r="CW27" i="9" s="1"/>
  <c r="AV34" i="30"/>
  <c r="CY27" i="9" s="1"/>
  <c r="AS34" i="29"/>
  <c r="CV27" i="9" s="1"/>
  <c r="AV34" i="29"/>
  <c r="CX27" i="9" s="1"/>
  <c r="AD35" i="29"/>
  <c r="AF35" i="29"/>
  <c r="AJ35" i="29"/>
  <c r="AM36" i="29" s="1"/>
  <c r="AD36" i="29"/>
  <c r="AE36" i="29"/>
  <c r="AF36" i="29"/>
  <c r="AG36" i="29"/>
  <c r="AC38" i="30"/>
  <c r="AJ38" i="30" s="1"/>
  <c r="AM35" i="30" s="1"/>
  <c r="AE36" i="30"/>
  <c r="AD37" i="30"/>
  <c r="AE37" i="30"/>
  <c r="AF37" i="30"/>
  <c r="AJ37" i="30"/>
  <c r="AM38" i="30" s="1"/>
  <c r="AG34" i="30"/>
  <c r="AF37" i="29"/>
  <c r="AJ34" i="29"/>
  <c r="AM34" i="29" s="1"/>
  <c r="Q10" i="29" s="1" a="1"/>
  <c r="Q10" i="29" s="1"/>
  <c r="AG34" i="29"/>
  <c r="AD34" i="29"/>
  <c r="AJ37" i="29"/>
  <c r="AM38" i="29" s="1"/>
  <c r="AG37" i="29"/>
  <c r="AF34" i="29"/>
  <c r="AE34" i="30"/>
  <c r="AD34" i="30"/>
  <c r="AJ34" i="30"/>
  <c r="AM34" i="30" s="1"/>
  <c r="AF36" i="30"/>
  <c r="AE34" i="29"/>
  <c r="AE38" i="29"/>
  <c r="AD38" i="29"/>
  <c r="AD36" i="30"/>
  <c r="AG36" i="30"/>
  <c r="AC35" i="30"/>
  <c r="AD35" i="30" s="1"/>
  <c r="U39" i="31" a="1"/>
  <c r="T39" i="31" a="1"/>
  <c r="CL26" i="9"/>
  <c r="CL25" i="9"/>
  <c r="CL35" i="9" s="1" a="1"/>
  <c r="CL35" i="9" s="1"/>
  <c r="R47" i="28"/>
  <c r="S47" i="28"/>
  <c r="P47" i="28"/>
  <c r="Q9" i="28"/>
  <c r="P9" i="28"/>
  <c r="Q24" i="28"/>
  <c r="P24" i="28"/>
  <c r="Q32" i="28"/>
  <c r="P32" i="28"/>
  <c r="P16" i="28"/>
  <c r="Q16" i="28"/>
  <c r="Q9" i="29" l="1" a="1"/>
  <c r="Q9" i="29" s="1"/>
  <c r="CM35" i="9" a="1"/>
  <c r="CM35" i="9" s="1"/>
  <c r="P6" i="29" a="1"/>
  <c r="Q6" i="29" s="1"/>
  <c r="AD38" i="30"/>
  <c r="AE38" i="30"/>
  <c r="R10" i="29"/>
  <c r="AE35" i="30"/>
  <c r="AG35" i="30"/>
  <c r="AF35" i="30"/>
  <c r="AJ35" i="30"/>
  <c r="Q10" i="30" a="1"/>
  <c r="CL37" i="9"/>
  <c r="C9" i="2" s="1"/>
  <c r="AC7" i="26"/>
  <c r="AD7" i="26"/>
  <c r="AC8" i="26"/>
  <c r="AD8" i="26"/>
  <c r="AC9" i="26"/>
  <c r="AD9" i="26"/>
  <c r="AC10" i="26"/>
  <c r="AD10" i="26"/>
  <c r="AC11" i="26"/>
  <c r="AD11" i="26"/>
  <c r="AC12" i="26"/>
  <c r="AD12" i="26"/>
  <c r="AD6" i="26"/>
  <c r="AC6" i="26"/>
  <c r="AB7" i="26"/>
  <c r="AB8" i="26"/>
  <c r="AB9" i="26"/>
  <c r="AB10" i="26"/>
  <c r="AB11" i="26"/>
  <c r="AB12" i="26"/>
  <c r="AB6" i="26"/>
  <c r="CM37" i="9" l="1" a="1"/>
  <c r="CM37" i="9" s="1"/>
  <c r="C10" i="2" s="1"/>
  <c r="R9" i="29"/>
  <c r="AV36" i="29" s="1"/>
  <c r="CZ27" i="9" s="1"/>
  <c r="S10" i="29"/>
  <c r="P6" i="29"/>
  <c r="W6" i="29" s="1"/>
  <c r="Y28" i="9" s="1"/>
  <c r="R10" i="30"/>
  <c r="Q10" i="30"/>
  <c r="AN43" i="29" a="1"/>
  <c r="AO43" i="29" a="1"/>
  <c r="AO44" i="29" a="1"/>
  <c r="AN44" i="29" a="1"/>
  <c r="AA7" i="25"/>
  <c r="AA8" i="25"/>
  <c r="AA9" i="25"/>
  <c r="AA10" i="25"/>
  <c r="AA11" i="25"/>
  <c r="AA12" i="25"/>
  <c r="AW27" i="25"/>
  <c r="AP35" i="29" l="1"/>
  <c r="S9" i="29"/>
  <c r="W9" i="29"/>
  <c r="W10" i="29" s="1"/>
  <c r="D28" i="9" s="1"/>
  <c r="AI44" i="29"/>
  <c r="S28" i="9" s="1"/>
  <c r="AG44" i="29"/>
  <c r="Q28" i="9" s="1"/>
  <c r="AM44" i="29"/>
  <c r="W28" i="9" s="1"/>
  <c r="AF44" i="29"/>
  <c r="P28" i="9" s="1"/>
  <c r="AJ44" i="29"/>
  <c r="T28" i="9" s="1"/>
  <c r="AH44" i="29"/>
  <c r="R28" i="9" s="1"/>
  <c r="AK44" i="29"/>
  <c r="U28" i="9" s="1"/>
  <c r="AL44" i="29"/>
  <c r="V28" i="9" s="1"/>
  <c r="S10" i="30"/>
  <c r="AO44" i="30" a="1"/>
  <c r="AN44" i="30" a="1"/>
  <c r="AN43" i="30" a="1"/>
  <c r="AO43" i="30" a="1"/>
  <c r="AV27" i="25"/>
  <c r="AX27" i="25"/>
  <c r="L8" i="19"/>
  <c r="M26" i="9"/>
  <c r="I10" i="28"/>
  <c r="I16" i="28" s="1"/>
  <c r="I9" i="28"/>
  <c r="I8" i="28"/>
  <c r="I6" i="28"/>
  <c r="P48" i="28" s="1"/>
  <c r="D39" i="27"/>
  <c r="O26" i="27"/>
  <c r="N26" i="27"/>
  <c r="P26" i="27" s="1"/>
  <c r="M26" i="27"/>
  <c r="L26" i="27"/>
  <c r="P25" i="27"/>
  <c r="O25" i="27"/>
  <c r="N25" i="27"/>
  <c r="M25" i="27"/>
  <c r="L25" i="27"/>
  <c r="P24" i="27"/>
  <c r="O24" i="27"/>
  <c r="N24" i="27"/>
  <c r="M24" i="27"/>
  <c r="L24" i="27"/>
  <c r="O23" i="27"/>
  <c r="N23" i="27"/>
  <c r="P23" i="27" s="1"/>
  <c r="M23" i="27"/>
  <c r="L23" i="27"/>
  <c r="P22" i="27"/>
  <c r="O22" i="27"/>
  <c r="N22" i="27"/>
  <c r="M22" i="27"/>
  <c r="L22" i="27"/>
  <c r="P21" i="27"/>
  <c r="O21" i="27"/>
  <c r="N21" i="27"/>
  <c r="M21" i="27"/>
  <c r="L21" i="27"/>
  <c r="O20" i="27"/>
  <c r="N20" i="27"/>
  <c r="P20" i="27" s="1"/>
  <c r="M20" i="27"/>
  <c r="L20" i="27"/>
  <c r="P19" i="27"/>
  <c r="O19" i="27"/>
  <c r="N19" i="27"/>
  <c r="M19" i="27"/>
  <c r="L19" i="27"/>
  <c r="O18" i="27"/>
  <c r="N18" i="27"/>
  <c r="P18" i="27" s="1"/>
  <c r="M18" i="27"/>
  <c r="L18" i="27"/>
  <c r="L29" i="27" s="1" a="1"/>
  <c r="L29" i="27" s="1"/>
  <c r="AP17" i="27"/>
  <c r="J39" i="27" s="1"/>
  <c r="AP16" i="27"/>
  <c r="AO16" i="27"/>
  <c r="AO17" i="27" s="1"/>
  <c r="I39" i="27" s="1"/>
  <c r="AP14" i="27"/>
  <c r="AO14" i="27"/>
  <c r="AN14" i="27"/>
  <c r="AM14" i="27"/>
  <c r="AL14" i="27"/>
  <c r="AK14" i="27"/>
  <c r="AJ14" i="27"/>
  <c r="AI14" i="27"/>
  <c r="AP13" i="27"/>
  <c r="AO13" i="27"/>
  <c r="AN13" i="27"/>
  <c r="AM13" i="27"/>
  <c r="AL13" i="27"/>
  <c r="AK13" i="27"/>
  <c r="AJ13" i="27"/>
  <c r="AI13" i="27"/>
  <c r="AP12" i="27"/>
  <c r="AO12" i="27"/>
  <c r="AN12" i="27"/>
  <c r="AM12" i="27"/>
  <c r="AL12" i="27"/>
  <c r="AK12" i="27"/>
  <c r="AJ12" i="27"/>
  <c r="AI12" i="27"/>
  <c r="AP11" i="27"/>
  <c r="AO11" i="27"/>
  <c r="AN11" i="27"/>
  <c r="AM11" i="27"/>
  <c r="AL11" i="27"/>
  <c r="AK11" i="27"/>
  <c r="AJ11" i="27"/>
  <c r="AJ16" i="27" s="1"/>
  <c r="AJ17" i="27" s="1"/>
  <c r="AI11" i="27"/>
  <c r="AI16" i="27" s="1"/>
  <c r="AI17" i="27" s="1"/>
  <c r="C39" i="27" s="1"/>
  <c r="AP10" i="27"/>
  <c r="AO10" i="27"/>
  <c r="AN10" i="27"/>
  <c r="AM10" i="27"/>
  <c r="AL10" i="27"/>
  <c r="AK10" i="27"/>
  <c r="AJ10" i="27"/>
  <c r="AI10" i="27"/>
  <c r="AP9" i="27"/>
  <c r="AO9" i="27"/>
  <c r="AN9" i="27"/>
  <c r="AM9" i="27"/>
  <c r="AL9" i="27"/>
  <c r="AK9" i="27"/>
  <c r="AJ9" i="27"/>
  <c r="AI9" i="27"/>
  <c r="AP8" i="27"/>
  <c r="AO8" i="27"/>
  <c r="AN8" i="27"/>
  <c r="AM8" i="27"/>
  <c r="AL8" i="27"/>
  <c r="AK8" i="27"/>
  <c r="AJ8" i="27"/>
  <c r="AI8" i="27"/>
  <c r="AP7" i="27"/>
  <c r="AO7" i="27"/>
  <c r="AN7" i="27"/>
  <c r="AM7" i="27"/>
  <c r="AL7" i="27"/>
  <c r="AK7" i="27"/>
  <c r="AJ7" i="27"/>
  <c r="AI7" i="27"/>
  <c r="AP6" i="27"/>
  <c r="AO6" i="27"/>
  <c r="AN6" i="27"/>
  <c r="AN16" i="27" s="1"/>
  <c r="AN17" i="27" s="1"/>
  <c r="H39" i="27" s="1"/>
  <c r="AM6" i="27"/>
  <c r="AM16" i="27" s="1"/>
  <c r="AM17" i="27" s="1"/>
  <c r="G39" i="27" s="1"/>
  <c r="AL6" i="27"/>
  <c r="AL16" i="27" s="1"/>
  <c r="AL17" i="27" s="1"/>
  <c r="F39" i="27" s="1"/>
  <c r="AK6" i="27"/>
  <c r="AK16" i="27" s="1"/>
  <c r="AK17" i="27" s="1"/>
  <c r="E39" i="27" s="1"/>
  <c r="AJ6" i="27"/>
  <c r="AI6" i="27"/>
  <c r="E5" i="27"/>
  <c r="E4" i="27"/>
  <c r="R77" i="26" a="1"/>
  <c r="S77" i="26" s="1"/>
  <c r="H77" i="26" a="1"/>
  <c r="R76" i="26" a="1"/>
  <c r="S76" i="26" s="1"/>
  <c r="H76" i="26" a="1"/>
  <c r="R75" i="26"/>
  <c r="R75" i="26" a="1"/>
  <c r="T75" i="26" s="1"/>
  <c r="J75" i="26"/>
  <c r="I75" i="26"/>
  <c r="H75" i="26"/>
  <c r="H75" i="26" a="1"/>
  <c r="S72" i="26"/>
  <c r="R72" i="26" a="1"/>
  <c r="R72" i="26" s="1"/>
  <c r="I72" i="26"/>
  <c r="H72" i="26"/>
  <c r="H72" i="26" a="1"/>
  <c r="R71" i="26" a="1"/>
  <c r="S71" i="26" s="1"/>
  <c r="I71" i="26"/>
  <c r="H71" i="26"/>
  <c r="H71" i="26" a="1"/>
  <c r="R70" i="26" a="1"/>
  <c r="R70" i="26" s="1"/>
  <c r="H70" i="26" a="1"/>
  <c r="J70" i="26" s="1"/>
  <c r="R67" i="26" a="1"/>
  <c r="H67" i="26" a="1"/>
  <c r="R66" i="26" a="1"/>
  <c r="H66" i="26" a="1"/>
  <c r="R65" i="26"/>
  <c r="R65" i="26" a="1"/>
  <c r="T65" i="26" s="1"/>
  <c r="I65" i="26"/>
  <c r="H65" i="26" a="1"/>
  <c r="J65" i="26" s="1"/>
  <c r="S62" i="26"/>
  <c r="R62" i="26"/>
  <c r="R62" i="26" a="1"/>
  <c r="I62" i="26"/>
  <c r="H62" i="26" a="1"/>
  <c r="H62" i="26" s="1"/>
  <c r="S61" i="26"/>
  <c r="R61" i="26"/>
  <c r="R61" i="26" a="1"/>
  <c r="H61" i="26" a="1"/>
  <c r="H61" i="26" s="1"/>
  <c r="T60" i="26"/>
  <c r="S60" i="26"/>
  <c r="R60" i="26"/>
  <c r="R60" i="26" a="1"/>
  <c r="H60" i="26" a="1"/>
  <c r="AN55" i="26" a="1"/>
  <c r="AN54" i="26" a="1"/>
  <c r="X54" i="26" a="1"/>
  <c r="AN53" i="26" a="1"/>
  <c r="X53" i="26" a="1"/>
  <c r="AN52" i="26" a="1"/>
  <c r="X52" i="26" a="1"/>
  <c r="X51" i="26" a="1"/>
  <c r="X37" i="26"/>
  <c r="W37" i="26"/>
  <c r="V37" i="26"/>
  <c r="AB36" i="26"/>
  <c r="X36" i="26"/>
  <c r="W36" i="26"/>
  <c r="V36" i="26"/>
  <c r="X35" i="26"/>
  <c r="W35" i="26"/>
  <c r="V35" i="26"/>
  <c r="AB34" i="26"/>
  <c r="X34" i="26"/>
  <c r="W34" i="26"/>
  <c r="V34" i="26"/>
  <c r="AF11" i="26"/>
  <c r="AH10" i="26"/>
  <c r="AF10" i="26"/>
  <c r="AH9" i="26"/>
  <c r="AF9" i="26"/>
  <c r="AH8" i="26"/>
  <c r="AF8" i="26"/>
  <c r="AH7" i="26"/>
  <c r="AF7" i="26"/>
  <c r="AH6" i="26"/>
  <c r="AB37" i="26" s="1"/>
  <c r="AF6" i="26"/>
  <c r="AB35" i="26"/>
  <c r="L3" i="26"/>
  <c r="J3" i="26"/>
  <c r="R77" i="25" a="1"/>
  <c r="R77" i="25" s="1"/>
  <c r="I77" i="25"/>
  <c r="H77" i="25"/>
  <c r="H77" i="25" a="1"/>
  <c r="S76" i="25"/>
  <c r="R76" i="25" a="1"/>
  <c r="R76" i="25" s="1"/>
  <c r="H76" i="25" a="1"/>
  <c r="I76" i="25" s="1"/>
  <c r="R75" i="25" a="1"/>
  <c r="S75" i="25" s="1"/>
  <c r="J75" i="25"/>
  <c r="I75" i="25"/>
  <c r="H75" i="25" a="1"/>
  <c r="H75" i="25" s="1"/>
  <c r="S72" i="25"/>
  <c r="R72" i="25" a="1"/>
  <c r="R72" i="25" s="1"/>
  <c r="H72" i="25" a="1"/>
  <c r="H72" i="25" s="1"/>
  <c r="R71" i="25" a="1"/>
  <c r="S71" i="25" s="1"/>
  <c r="H71" i="25" a="1"/>
  <c r="H71" i="25" s="1"/>
  <c r="S70" i="25"/>
  <c r="R70" i="25"/>
  <c r="R70" i="25" a="1"/>
  <c r="T70" i="25" s="1"/>
  <c r="H70" i="25" a="1"/>
  <c r="R67" i="25" a="1"/>
  <c r="S67" i="25" s="1"/>
  <c r="H67" i="25" a="1"/>
  <c r="H67" i="25" s="1"/>
  <c r="S66" i="25"/>
  <c r="R66" i="25"/>
  <c r="R66" i="25" a="1"/>
  <c r="H66" i="25" a="1"/>
  <c r="H66" i="25" s="1"/>
  <c r="T65" i="25"/>
  <c r="S65" i="25"/>
  <c r="R65" i="25"/>
  <c r="R65" i="25" a="1"/>
  <c r="H65" i="25"/>
  <c r="H65" i="25" a="1"/>
  <c r="J65" i="25" s="1"/>
  <c r="R62" i="25" a="1"/>
  <c r="R62" i="25" s="1"/>
  <c r="I62" i="25"/>
  <c r="H62" i="25" a="1"/>
  <c r="H62" i="25" s="1"/>
  <c r="R61" i="25" a="1"/>
  <c r="R61" i="25" s="1"/>
  <c r="H61" i="25" a="1"/>
  <c r="I61" i="25" s="1"/>
  <c r="T60" i="25"/>
  <c r="R60" i="25"/>
  <c r="R60" i="25" a="1"/>
  <c r="S60" i="25" s="1"/>
  <c r="I60" i="25"/>
  <c r="H60" i="25"/>
  <c r="H60" i="25" a="1"/>
  <c r="J60" i="25" s="1"/>
  <c r="AN55" i="25"/>
  <c r="AN55" i="25" a="1"/>
  <c r="AP55" i="25" s="1"/>
  <c r="AN54" i="25" a="1"/>
  <c r="AO54" i="25" s="1"/>
  <c r="X54" i="25" a="1"/>
  <c r="Z54" i="25" s="1"/>
  <c r="AO53" i="25"/>
  <c r="AN53" i="25" a="1"/>
  <c r="AN53" i="25" s="1"/>
  <c r="Y53" i="25"/>
  <c r="X53" i="25" a="1"/>
  <c r="Z53" i="25" s="1"/>
  <c r="AP52" i="25"/>
  <c r="AO52" i="25"/>
  <c r="AN52" i="25"/>
  <c r="AN52" i="25" a="1"/>
  <c r="X52" i="25"/>
  <c r="X52" i="25" a="1"/>
  <c r="Z52" i="25" s="1"/>
  <c r="X51" i="25" a="1"/>
  <c r="Z51" i="25" s="1"/>
  <c r="AX20" i="25"/>
  <c r="E24" i="25" s="1"/>
  <c r="X37" i="25" s="1"/>
  <c r="AW20" i="25"/>
  <c r="D24" i="25" s="1"/>
  <c r="AV20" i="25"/>
  <c r="C24" i="25" s="1"/>
  <c r="AX19" i="25"/>
  <c r="E19" i="25" s="1"/>
  <c r="X36" i="25" s="1"/>
  <c r="AW19" i="25"/>
  <c r="D19" i="25" s="1"/>
  <c r="AV19" i="25"/>
  <c r="C19" i="25" s="1"/>
  <c r="AX18" i="25"/>
  <c r="E14" i="25" s="1"/>
  <c r="X35" i="25" s="1"/>
  <c r="AW18" i="25"/>
  <c r="D14" i="25" s="1"/>
  <c r="AV18" i="25"/>
  <c r="C14" i="25" s="1"/>
  <c r="V35" i="25" s="1"/>
  <c r="AX17" i="25"/>
  <c r="E9" i="25" s="1"/>
  <c r="X34" i="25" s="1"/>
  <c r="AW17" i="25"/>
  <c r="D9" i="25" s="1"/>
  <c r="AV17" i="25"/>
  <c r="C9" i="25" s="1"/>
  <c r="L3" i="25"/>
  <c r="J3" i="25"/>
  <c r="AO44" i="29" l="1"/>
  <c r="AP44" i="29" s="1"/>
  <c r="AN44" i="29"/>
  <c r="X28" i="9" s="1"/>
  <c r="Y9" i="29"/>
  <c r="C4" i="31"/>
  <c r="E28" i="9"/>
  <c r="E18" i="28" a="1"/>
  <c r="E18" i="28" s="1"/>
  <c r="J41" i="9"/>
  <c r="AB12" i="25"/>
  <c r="AB11" i="25"/>
  <c r="AB9" i="25"/>
  <c r="U29" i="26"/>
  <c r="F4" i="27"/>
  <c r="AB6" i="25"/>
  <c r="AB8" i="25"/>
  <c r="AB7" i="25"/>
  <c r="AB10" i="25"/>
  <c r="U29" i="25"/>
  <c r="AH9" i="25"/>
  <c r="V36" i="25"/>
  <c r="AF6" i="25"/>
  <c r="AF9" i="25"/>
  <c r="AF7" i="25"/>
  <c r="AF10" i="25"/>
  <c r="AF8" i="25"/>
  <c r="W36" i="25"/>
  <c r="AF11" i="25"/>
  <c r="W35" i="25"/>
  <c r="R25" i="27"/>
  <c r="V34" i="25"/>
  <c r="V37" i="25"/>
  <c r="AH7" i="25"/>
  <c r="AH6" i="25"/>
  <c r="AN53" i="26"/>
  <c r="AP53" i="26"/>
  <c r="AH8" i="25"/>
  <c r="AH10" i="25"/>
  <c r="W34" i="25"/>
  <c r="X51" i="25"/>
  <c r="AP53" i="25"/>
  <c r="S61" i="25"/>
  <c r="I67" i="25"/>
  <c r="R71" i="25"/>
  <c r="H76" i="25"/>
  <c r="AO53" i="26"/>
  <c r="I76" i="26"/>
  <c r="H76" i="26"/>
  <c r="Y51" i="25"/>
  <c r="X51" i="26"/>
  <c r="Z51" i="26"/>
  <c r="Z54" i="26"/>
  <c r="Y54" i="26"/>
  <c r="X54" i="26"/>
  <c r="M29" i="27"/>
  <c r="X54" i="25"/>
  <c r="AO55" i="25"/>
  <c r="I65" i="25"/>
  <c r="I66" i="25"/>
  <c r="R67" i="25"/>
  <c r="S77" i="25"/>
  <c r="Y51" i="26"/>
  <c r="AN54" i="26"/>
  <c r="AP54" i="26"/>
  <c r="I66" i="26"/>
  <c r="H66" i="26"/>
  <c r="I77" i="26"/>
  <c r="H77" i="26"/>
  <c r="X53" i="25"/>
  <c r="Y54" i="25"/>
  <c r="I72" i="25"/>
  <c r="Z52" i="26"/>
  <c r="Y52" i="26"/>
  <c r="X52" i="26"/>
  <c r="AO54" i="26"/>
  <c r="S66" i="26"/>
  <c r="R66" i="26"/>
  <c r="W37" i="25"/>
  <c r="AN52" i="26"/>
  <c r="AP52" i="26"/>
  <c r="AP55" i="26"/>
  <c r="AO55" i="26"/>
  <c r="AN55" i="26"/>
  <c r="I67" i="26"/>
  <c r="H67" i="26"/>
  <c r="AP54" i="25"/>
  <c r="AN54" i="25"/>
  <c r="H61" i="25"/>
  <c r="R75" i="25"/>
  <c r="AO52" i="26"/>
  <c r="H60" i="26"/>
  <c r="J60" i="26"/>
  <c r="I61" i="26"/>
  <c r="S67" i="26"/>
  <c r="R67" i="26"/>
  <c r="R20" i="27"/>
  <c r="R24" i="27"/>
  <c r="S24" i="27" s="1"/>
  <c r="C11" i="27"/>
  <c r="R26" i="27"/>
  <c r="R23" i="27"/>
  <c r="S26" i="27"/>
  <c r="Y52" i="25"/>
  <c r="J70" i="25"/>
  <c r="H70" i="25"/>
  <c r="I71" i="25"/>
  <c r="S62" i="25"/>
  <c r="I70" i="25"/>
  <c r="T75" i="25"/>
  <c r="Z53" i="26"/>
  <c r="Y53" i="26"/>
  <c r="X53" i="26"/>
  <c r="I60" i="26"/>
  <c r="H65" i="26"/>
  <c r="S70" i="26"/>
  <c r="R71" i="26"/>
  <c r="T70" i="26"/>
  <c r="H70" i="26"/>
  <c r="S75" i="26"/>
  <c r="R76" i="26"/>
  <c r="R77" i="26"/>
  <c r="I7" i="28"/>
  <c r="I12" i="28" s="1"/>
  <c r="I70" i="26"/>
  <c r="S65" i="26"/>
  <c r="Y37" i="26" l="1"/>
  <c r="AA37" i="26" s="1"/>
  <c r="Y38" i="26"/>
  <c r="Y34" i="25"/>
  <c r="Z34" i="25" s="1"/>
  <c r="AD6" i="25"/>
  <c r="AB38" i="25" s="1"/>
  <c r="AD9" i="25"/>
  <c r="AD11" i="25"/>
  <c r="AD10" i="25"/>
  <c r="AD12" i="25"/>
  <c r="AD7" i="25"/>
  <c r="AD8" i="25"/>
  <c r="Y34" i="26"/>
  <c r="AA34" i="26" s="1"/>
  <c r="Y35" i="26"/>
  <c r="AA35" i="26" s="1"/>
  <c r="Y36" i="26"/>
  <c r="AB37" i="25"/>
  <c r="AB36" i="25"/>
  <c r="AB34" i="25"/>
  <c r="Y37" i="25"/>
  <c r="AA37" i="25" s="1"/>
  <c r="Y36" i="25"/>
  <c r="Z36" i="25" s="1"/>
  <c r="Y35" i="25"/>
  <c r="Z35" i="25" s="1"/>
  <c r="D11" i="27"/>
  <c r="R19" i="27"/>
  <c r="S23" i="27"/>
  <c r="R22" i="27"/>
  <c r="R21" i="27"/>
  <c r="S20" i="27"/>
  <c r="R18" i="27"/>
  <c r="S25" i="27"/>
  <c r="T24" i="24"/>
  <c r="AA34" i="25" l="1"/>
  <c r="AC34" i="25" s="1"/>
  <c r="Z37" i="26"/>
  <c r="AC37" i="26" s="1"/>
  <c r="U77" i="26" s="1"/>
  <c r="Z38" i="26"/>
  <c r="AA38" i="26"/>
  <c r="AB35" i="25"/>
  <c r="Z35" i="26"/>
  <c r="AC35" i="26" s="1"/>
  <c r="AE35" i="26" s="1"/>
  <c r="Z34" i="26"/>
  <c r="AC34" i="26" s="1"/>
  <c r="AA36" i="26"/>
  <c r="Z36" i="26"/>
  <c r="AA35" i="25"/>
  <c r="AC35" i="25" s="1"/>
  <c r="AA36" i="25"/>
  <c r="AC36" i="25" s="1"/>
  <c r="AD36" i="25" s="1"/>
  <c r="Z37" i="25"/>
  <c r="AC37" i="25" s="1"/>
  <c r="S19" i="27"/>
  <c r="S21" i="27"/>
  <c r="S22" i="27"/>
  <c r="S18" i="27"/>
  <c r="AI114" i="19"/>
  <c r="AH116" i="19" a="1"/>
  <c r="AJ116" i="19" s="1"/>
  <c r="AG132" i="19"/>
  <c r="AG133" i="19"/>
  <c r="AG134" i="19"/>
  <c r="AG135" i="19"/>
  <c r="AG136" i="19"/>
  <c r="AG131" i="19"/>
  <c r="AG130" i="19"/>
  <c r="AC38" i="26" l="1"/>
  <c r="AD34" i="25"/>
  <c r="AC36" i="26"/>
  <c r="Q9" i="26" s="1" a="1"/>
  <c r="Q9" i="26" s="1"/>
  <c r="U66" i="26"/>
  <c r="U75" i="26"/>
  <c r="K77" i="26"/>
  <c r="U76" i="26"/>
  <c r="AG37" i="26" s="1"/>
  <c r="K76" i="26"/>
  <c r="AD37" i="26"/>
  <c r="AD35" i="26"/>
  <c r="AL37" i="26"/>
  <c r="K75" i="26"/>
  <c r="AE37" i="26"/>
  <c r="AJ38" i="26"/>
  <c r="AJ36" i="26"/>
  <c r="K66" i="26"/>
  <c r="U67" i="26"/>
  <c r="K65" i="26"/>
  <c r="K67" i="26"/>
  <c r="U65" i="26"/>
  <c r="AL35" i="26"/>
  <c r="K61" i="26"/>
  <c r="K62" i="26"/>
  <c r="AJ34" i="26"/>
  <c r="K60" i="26"/>
  <c r="U60" i="26"/>
  <c r="U62" i="26"/>
  <c r="U61" i="26"/>
  <c r="AE34" i="26"/>
  <c r="AL34" i="26"/>
  <c r="AD34" i="26"/>
  <c r="U60" i="25"/>
  <c r="AL34" i="25"/>
  <c r="U61" i="25"/>
  <c r="AJ34" i="25"/>
  <c r="U62" i="25"/>
  <c r="K60" i="25"/>
  <c r="K61" i="25"/>
  <c r="AE34" i="25"/>
  <c r="K62" i="25"/>
  <c r="K70" i="25"/>
  <c r="U70" i="25"/>
  <c r="K72" i="25"/>
  <c r="K71" i="25"/>
  <c r="AJ37" i="25"/>
  <c r="U72" i="25"/>
  <c r="AE36" i="25"/>
  <c r="U71" i="25"/>
  <c r="AL36" i="25"/>
  <c r="K75" i="25"/>
  <c r="AL37" i="25"/>
  <c r="AJ38" i="25"/>
  <c r="U77" i="25"/>
  <c r="U76" i="25"/>
  <c r="K77" i="25"/>
  <c r="AE37" i="25"/>
  <c r="AD37" i="25"/>
  <c r="K76" i="25"/>
  <c r="U75" i="25"/>
  <c r="Q9" i="25" a="1"/>
  <c r="AJ36" i="25"/>
  <c r="U65" i="25"/>
  <c r="K66" i="25"/>
  <c r="AD35" i="25"/>
  <c r="AE35" i="25"/>
  <c r="K67" i="25"/>
  <c r="U66" i="25"/>
  <c r="K65" i="25"/>
  <c r="AL35" i="25"/>
  <c r="U67" i="25"/>
  <c r="AI116" i="19"/>
  <c r="AH116" i="19"/>
  <c r="AD38" i="26" l="1"/>
  <c r="AP34" i="26"/>
  <c r="CW25" i="9" s="1"/>
  <c r="AS34" i="26"/>
  <c r="CY25" i="9" s="1"/>
  <c r="AF37" i="26"/>
  <c r="U71" i="26"/>
  <c r="U72" i="26"/>
  <c r="U70" i="26"/>
  <c r="AE36" i="26"/>
  <c r="P14" i="26" s="1" a="1"/>
  <c r="R14" i="26" s="1"/>
  <c r="K72" i="26"/>
  <c r="K71" i="26"/>
  <c r="AL36" i="26"/>
  <c r="P2" i="26" s="1" a="1"/>
  <c r="K70" i="26"/>
  <c r="AD36" i="26"/>
  <c r="AJ37" i="26"/>
  <c r="R9" i="26"/>
  <c r="AG35" i="26"/>
  <c r="AF35" i="26"/>
  <c r="AF34" i="26"/>
  <c r="AG34" i="26"/>
  <c r="AG36" i="25"/>
  <c r="AG34" i="25"/>
  <c r="AF34" i="25"/>
  <c r="AF36" i="25"/>
  <c r="AG35" i="25"/>
  <c r="P13" i="25" a="1"/>
  <c r="P13" i="25" s="1"/>
  <c r="AF37" i="25"/>
  <c r="P2" i="25" a="1"/>
  <c r="P2" i="25" s="1"/>
  <c r="AG37" i="25"/>
  <c r="AF35" i="25"/>
  <c r="Q9" i="25"/>
  <c r="R9" i="25"/>
  <c r="AS39" i="25" l="1"/>
  <c r="T9" i="26"/>
  <c r="AS39" i="26"/>
  <c r="P13" i="26" a="1"/>
  <c r="Q13" i="26" s="1"/>
  <c r="AG36" i="26"/>
  <c r="P6" i="26" s="1" a="1"/>
  <c r="Q6" i="26" s="1"/>
  <c r="AF36" i="26"/>
  <c r="P5" i="26" s="1" a="1"/>
  <c r="P5" i="26" s="1"/>
  <c r="AJ35" i="26"/>
  <c r="P14" i="26"/>
  <c r="S14" i="26"/>
  <c r="Q14" i="26"/>
  <c r="Q2" i="26"/>
  <c r="R2" i="26"/>
  <c r="P2" i="26"/>
  <c r="T9" i="25"/>
  <c r="R13" i="25"/>
  <c r="Q13" i="25"/>
  <c r="Q2" i="25"/>
  <c r="R2" i="25"/>
  <c r="AJ35" i="25"/>
  <c r="AO44" i="26" a="1"/>
  <c r="AN44" i="26" a="1"/>
  <c r="AV20" i="21"/>
  <c r="C24" i="21" s="1"/>
  <c r="AW20" i="21"/>
  <c r="D24" i="21" s="1"/>
  <c r="AX20" i="21"/>
  <c r="E24" i="21" s="1"/>
  <c r="AW17" i="21"/>
  <c r="D9" i="21" s="1"/>
  <c r="AX17" i="21"/>
  <c r="E9" i="21" s="1"/>
  <c r="AW18" i="21"/>
  <c r="D14" i="21" s="1"/>
  <c r="AX18" i="21"/>
  <c r="E14" i="21" s="1"/>
  <c r="AW19" i="21"/>
  <c r="D19" i="21" s="1"/>
  <c r="AX19" i="21"/>
  <c r="E19" i="21" s="1"/>
  <c r="AV18" i="21"/>
  <c r="C14" i="21" s="1"/>
  <c r="AV19" i="21"/>
  <c r="C19" i="21" s="1"/>
  <c r="AV17" i="21"/>
  <c r="C9" i="21" s="1"/>
  <c r="Q10" i="26" l="1" a="1"/>
  <c r="Q10" i="26" s="1"/>
  <c r="R13" i="26"/>
  <c r="P13" i="26"/>
  <c r="W2" i="26"/>
  <c r="AN9" i="25" s="1"/>
  <c r="P17" i="26"/>
  <c r="Q5" i="26"/>
  <c r="W5" i="26" s="1"/>
  <c r="AJ43" i="26" s="1"/>
  <c r="AN26" i="9" s="1"/>
  <c r="P6" i="26"/>
  <c r="W6" i="26" s="1"/>
  <c r="AJ44" i="26" s="1"/>
  <c r="AX26" i="9" s="1"/>
  <c r="P16" i="25"/>
  <c r="W2" i="25"/>
  <c r="AN8" i="25" s="1"/>
  <c r="Q10" i="25" a="1"/>
  <c r="AN43" i="26" a="1"/>
  <c r="AO43" i="26" a="1"/>
  <c r="I9" i="24"/>
  <c r="I8" i="24"/>
  <c r="AN55" i="22" a="1"/>
  <c r="AP55" i="22" s="1"/>
  <c r="AN54" i="22" a="1"/>
  <c r="AP54" i="22" s="1"/>
  <c r="AN53" i="22" a="1"/>
  <c r="AO53" i="22" s="1"/>
  <c r="R10" i="26" l="1"/>
  <c r="AS40" i="26" s="1"/>
  <c r="P16" i="26"/>
  <c r="P18" i="26" s="1"/>
  <c r="W13" i="26" s="1"/>
  <c r="W16" i="25" s="1"/>
  <c r="BC26" i="9"/>
  <c r="AS26" i="9"/>
  <c r="AL43" i="26"/>
  <c r="AP26" i="9" s="1"/>
  <c r="AK43" i="26"/>
  <c r="AO26" i="9" s="1"/>
  <c r="AH43" i="26"/>
  <c r="AL26" i="9" s="1"/>
  <c r="AF43" i="26"/>
  <c r="AJ26" i="9" s="1"/>
  <c r="AI43" i="26"/>
  <c r="AM26" i="9" s="1"/>
  <c r="AG43" i="26"/>
  <c r="AK26" i="9" s="1"/>
  <c r="AM43" i="26"/>
  <c r="AQ26" i="9" s="1"/>
  <c r="AF44" i="26"/>
  <c r="AT26" i="9" s="1"/>
  <c r="AL44" i="26"/>
  <c r="AZ26" i="9" s="1"/>
  <c r="AM44" i="26"/>
  <c r="BA26" i="9" s="1"/>
  <c r="AH44" i="26"/>
  <c r="AV26" i="9" s="1"/>
  <c r="AG44" i="26"/>
  <c r="AU26" i="9" s="1"/>
  <c r="AI44" i="26"/>
  <c r="AW26" i="9" s="1"/>
  <c r="AK44" i="26"/>
  <c r="AY26" i="9" s="1"/>
  <c r="R10" i="25"/>
  <c r="Q10" i="25"/>
  <c r="AO55" i="22"/>
  <c r="AN55" i="22"/>
  <c r="AO54" i="22"/>
  <c r="AN54" i="22"/>
  <c r="AP53" i="22"/>
  <c r="AN53" i="22"/>
  <c r="T10" i="26" l="1"/>
  <c r="AS40" i="25"/>
  <c r="W14" i="26"/>
  <c r="AN12" i="25" s="1"/>
  <c r="AN17" i="25" s="1"/>
  <c r="AO43" i="26"/>
  <c r="AP43" i="26" s="1"/>
  <c r="AN43" i="26"/>
  <c r="AR26" i="9" s="1"/>
  <c r="AN44" i="26"/>
  <c r="BB26" i="9" s="1"/>
  <c r="AO44" i="26"/>
  <c r="AP44" i="26" s="1"/>
  <c r="T10" i="25"/>
  <c r="AN52" i="22" a="1"/>
  <c r="AP52" i="22" s="1"/>
  <c r="I26" i="9" l="1"/>
  <c r="AN52" i="22"/>
  <c r="AO52" i="22"/>
  <c r="AN53" i="21" l="1" a="1"/>
  <c r="AN53" i="21" s="1"/>
  <c r="AN52" i="21" a="1"/>
  <c r="AP52" i="21" s="1"/>
  <c r="AN55" i="21" a="1"/>
  <c r="AP55" i="21" s="1"/>
  <c r="AN54" i="21" a="1"/>
  <c r="AP54" i="21" s="1"/>
  <c r="AP53" i="21" l="1"/>
  <c r="AO53" i="21"/>
  <c r="AO52" i="21"/>
  <c r="AN52" i="21"/>
  <c r="AO55" i="21"/>
  <c r="AN54" i="21"/>
  <c r="AO54" i="21"/>
  <c r="AN55" i="21"/>
  <c r="G82" i="2" l="1"/>
  <c r="F91" i="2" l="1"/>
  <c r="O62" i="24"/>
  <c r="P47" i="24" a="1"/>
  <c r="P20" i="24" a="1"/>
  <c r="P20" i="24" s="1"/>
  <c r="E18" i="24" l="1" a="1"/>
  <c r="E18" i="24" s="1"/>
  <c r="K41" i="9"/>
  <c r="M41" i="9" s="1" a="1"/>
  <c r="M41" i="9" s="1"/>
  <c r="P28" i="24" a="1"/>
  <c r="P28" i="24" s="1"/>
  <c r="P36" i="24" a="1"/>
  <c r="P36" i="24" s="1"/>
  <c r="I7" i="24"/>
  <c r="I12" i="24" s="1"/>
  <c r="P47" i="24"/>
  <c r="S47" i="24"/>
  <c r="R47" i="24"/>
  <c r="Q47" i="24"/>
  <c r="D56" i="9" l="1"/>
  <c r="D57" i="9" s="1"/>
  <c r="P48" i="24"/>
  <c r="F92" i="2" l="1"/>
  <c r="AC119" i="19" l="1"/>
  <c r="U108" i="19"/>
  <c r="U107" i="19"/>
  <c r="U106" i="19"/>
  <c r="U105" i="19"/>
  <c r="U104" i="19"/>
  <c r="U103" i="19"/>
  <c r="Z102" i="19"/>
  <c r="Z103" i="19" s="1"/>
  <c r="Z104" i="19" s="1"/>
  <c r="U102" i="19"/>
  <c r="U101" i="19"/>
  <c r="AH119" i="19" l="1"/>
  <c r="AH121" i="19" s="1"/>
  <c r="AH122" i="19" s="1"/>
  <c r="M7" i="19" s="1"/>
  <c r="R77" i="22" a="1"/>
  <c r="R77" i="22" s="1"/>
  <c r="R72" i="22" a="1"/>
  <c r="S72" i="22" s="1"/>
  <c r="R67" i="22" a="1"/>
  <c r="R67" i="22" s="1"/>
  <c r="R62" i="22" a="1"/>
  <c r="R62" i="22" s="1"/>
  <c r="H77" i="22" a="1"/>
  <c r="I77" i="22" s="1"/>
  <c r="H72" i="22" a="1"/>
  <c r="H72" i="22" s="1"/>
  <c r="H67" i="22" a="1"/>
  <c r="H67" i="22" s="1"/>
  <c r="H62" i="22" a="1"/>
  <c r="H62" i="22" s="1"/>
  <c r="R77" i="21" a="1"/>
  <c r="S77" i="21" s="1"/>
  <c r="R72" i="21" a="1"/>
  <c r="R72" i="21" s="1"/>
  <c r="R67" i="21" a="1"/>
  <c r="S67" i="21" s="1"/>
  <c r="R62" i="21" a="1"/>
  <c r="S62" i="21" s="1"/>
  <c r="H77" i="21" a="1"/>
  <c r="I77" i="21" s="1"/>
  <c r="H72" i="21" a="1"/>
  <c r="I72" i="21" s="1"/>
  <c r="H67" i="21" a="1"/>
  <c r="I67" i="21" s="1"/>
  <c r="H62" i="21" a="1"/>
  <c r="H62" i="21" s="1"/>
  <c r="O26" i="9" l="1"/>
  <c r="AN6" i="25"/>
  <c r="AN14" i="25" s="1"/>
  <c r="M8" i="19"/>
  <c r="O27" i="9" s="1"/>
  <c r="AN6" i="21"/>
  <c r="S77" i="22"/>
  <c r="R72" i="22"/>
  <c r="S67" i="22"/>
  <c r="S62" i="22"/>
  <c r="H77" i="22"/>
  <c r="I72" i="22"/>
  <c r="I67" i="22"/>
  <c r="I62" i="22"/>
  <c r="R77" i="21"/>
  <c r="S72" i="21"/>
  <c r="R67" i="21"/>
  <c r="R62" i="21"/>
  <c r="H77" i="21"/>
  <c r="H72" i="21"/>
  <c r="H67" i="21"/>
  <c r="I62" i="21"/>
  <c r="D39" i="23"/>
  <c r="E39" i="23"/>
  <c r="F39" i="23"/>
  <c r="G39" i="23"/>
  <c r="H39" i="23"/>
  <c r="I39" i="23"/>
  <c r="J39" i="23"/>
  <c r="C39" i="23"/>
  <c r="AJ17" i="23"/>
  <c r="AK17" i="23"/>
  <c r="AL17" i="23"/>
  <c r="AM17" i="23"/>
  <c r="AN17" i="23"/>
  <c r="AO17" i="23"/>
  <c r="AP17" i="23"/>
  <c r="AI17" i="23"/>
  <c r="AJ16" i="23"/>
  <c r="AK16" i="23"/>
  <c r="AL16" i="23"/>
  <c r="AM16" i="23"/>
  <c r="AN16" i="23"/>
  <c r="AO16" i="23"/>
  <c r="AP16" i="23"/>
  <c r="AI16" i="23"/>
  <c r="AP6" i="23"/>
  <c r="AP7" i="23"/>
  <c r="AP8" i="23"/>
  <c r="AP9" i="23"/>
  <c r="AP10" i="23"/>
  <c r="AP11" i="23"/>
  <c r="AP12" i="23"/>
  <c r="AP13" i="23"/>
  <c r="AP14" i="23"/>
  <c r="AJ6" i="23"/>
  <c r="AK6" i="23"/>
  <c r="AL6" i="23"/>
  <c r="AM6" i="23"/>
  <c r="AN6" i="23"/>
  <c r="AO6" i="23"/>
  <c r="AJ7" i="23"/>
  <c r="AK7" i="23"/>
  <c r="AL7" i="23"/>
  <c r="AM7" i="23"/>
  <c r="AN7" i="23"/>
  <c r="AO7" i="23"/>
  <c r="AJ8" i="23"/>
  <c r="AK8" i="23"/>
  <c r="AL8" i="23"/>
  <c r="AM8" i="23"/>
  <c r="AN8" i="23"/>
  <c r="AO8" i="23"/>
  <c r="AJ9" i="23"/>
  <c r="AK9" i="23"/>
  <c r="AL9" i="23"/>
  <c r="AM9" i="23"/>
  <c r="AN9" i="23"/>
  <c r="AO9" i="23"/>
  <c r="AJ10" i="23"/>
  <c r="AK10" i="23"/>
  <c r="AL10" i="23"/>
  <c r="AM10" i="23"/>
  <c r="AN10" i="23"/>
  <c r="AO10" i="23"/>
  <c r="AJ11" i="23"/>
  <c r="AK11" i="23"/>
  <c r="AL11" i="23"/>
  <c r="AM11" i="23"/>
  <c r="AN11" i="23"/>
  <c r="AO11" i="23"/>
  <c r="AJ12" i="23"/>
  <c r="AK12" i="23"/>
  <c r="AL12" i="23"/>
  <c r="AM12" i="23"/>
  <c r="AN12" i="23"/>
  <c r="AO12" i="23"/>
  <c r="AJ13" i="23"/>
  <c r="AK13" i="23"/>
  <c r="AL13" i="23"/>
  <c r="AM13" i="23"/>
  <c r="AN13" i="23"/>
  <c r="AO13" i="23"/>
  <c r="AJ14" i="23"/>
  <c r="AK14" i="23"/>
  <c r="AL14" i="23"/>
  <c r="AM14" i="23"/>
  <c r="AN14" i="23"/>
  <c r="AO14" i="23"/>
  <c r="AI7" i="23"/>
  <c r="AI8" i="23"/>
  <c r="AI9" i="23"/>
  <c r="AI10" i="23"/>
  <c r="AI11" i="23"/>
  <c r="AI12" i="23"/>
  <c r="AI13" i="23"/>
  <c r="AI14" i="23"/>
  <c r="AI6" i="23"/>
  <c r="O35" i="9" l="1"/>
  <c r="V18" i="23"/>
  <c r="D12" i="23"/>
  <c r="C12" i="23"/>
  <c r="E5" i="23"/>
  <c r="E4" i="23"/>
  <c r="D11" i="23"/>
  <c r="C11" i="23"/>
  <c r="X28" i="23" a="1"/>
  <c r="X28" i="23" s="1"/>
  <c r="O26" i="23"/>
  <c r="N26" i="23"/>
  <c r="P26" i="23" s="1"/>
  <c r="M26" i="23"/>
  <c r="L26" i="23"/>
  <c r="O25" i="23"/>
  <c r="P25" i="23" s="1"/>
  <c r="N25" i="23"/>
  <c r="M25" i="23"/>
  <c r="L25" i="23"/>
  <c r="O24" i="23"/>
  <c r="N24" i="23"/>
  <c r="P24" i="23" s="1"/>
  <c r="M24" i="23"/>
  <c r="L24" i="23"/>
  <c r="O23" i="23"/>
  <c r="P23" i="23" s="1"/>
  <c r="N23" i="23"/>
  <c r="M23" i="23"/>
  <c r="L23" i="23"/>
  <c r="O22" i="23"/>
  <c r="N22" i="23"/>
  <c r="P22" i="23" s="1"/>
  <c r="M22" i="23"/>
  <c r="L22" i="23"/>
  <c r="O21" i="23"/>
  <c r="P21" i="23" s="1"/>
  <c r="N21" i="23"/>
  <c r="M21" i="23"/>
  <c r="L21" i="23"/>
  <c r="O20" i="23"/>
  <c r="N20" i="23"/>
  <c r="P20" i="23" s="1"/>
  <c r="M20" i="23"/>
  <c r="L20" i="23"/>
  <c r="O19" i="23"/>
  <c r="P19" i="23" s="1"/>
  <c r="N19" i="23"/>
  <c r="M19" i="23"/>
  <c r="L19" i="23"/>
  <c r="O18" i="23"/>
  <c r="N18" i="23"/>
  <c r="P18" i="23" s="1"/>
  <c r="M18" i="23"/>
  <c r="L18" i="23"/>
  <c r="F4" i="23" l="1"/>
  <c r="E12" i="23" s="1"/>
  <c r="F12" i="23" s="1"/>
  <c r="L3" i="22"/>
  <c r="J3" i="22"/>
  <c r="L3" i="21"/>
  <c r="J3" i="21"/>
  <c r="T11" i="9"/>
  <c r="AX11" i="9" s="1"/>
  <c r="R11" i="9"/>
  <c r="AV11" i="9" s="1"/>
  <c r="P11" i="9"/>
  <c r="AT11" i="9" s="1"/>
  <c r="N11" i="9"/>
  <c r="AR11" i="9" s="1"/>
  <c r="I11" i="9"/>
  <c r="AO11" i="9" s="1"/>
  <c r="G11" i="9"/>
  <c r="AM11" i="9" s="1"/>
  <c r="E11" i="9"/>
  <c r="AK11" i="9" s="1"/>
  <c r="C11" i="9"/>
  <c r="AI11" i="9" s="1"/>
  <c r="AN14" i="21" l="1"/>
  <c r="X51" i="22" a="1"/>
  <c r="X51" i="22" s="1"/>
  <c r="CJ26" i="9" l="1"/>
  <c r="CJ35" i="9" s="1" a="1"/>
  <c r="CJ35" i="9" s="1"/>
  <c r="T39" i="23" a="1"/>
  <c r="U39" i="23" a="1"/>
  <c r="Z51" i="22"/>
  <c r="Y51" i="22"/>
  <c r="R76" i="22" l="1" a="1"/>
  <c r="R76" i="22" s="1"/>
  <c r="H76" i="22" a="1"/>
  <c r="I76" i="22" s="1"/>
  <c r="R75" i="22" a="1"/>
  <c r="T75" i="22" s="1"/>
  <c r="H75" i="22" a="1"/>
  <c r="H75" i="22" s="1"/>
  <c r="R71" i="22" a="1"/>
  <c r="S71" i="22" s="1"/>
  <c r="H71" i="22" a="1"/>
  <c r="H71" i="22" s="1"/>
  <c r="R70" i="22" a="1"/>
  <c r="T70" i="22" s="1"/>
  <c r="H70" i="22" a="1"/>
  <c r="J70" i="22" s="1"/>
  <c r="R66" i="22" a="1"/>
  <c r="S66" i="22" s="1"/>
  <c r="H66" i="22" a="1"/>
  <c r="H66" i="22" s="1"/>
  <c r="R65" i="22" a="1"/>
  <c r="T65" i="22" s="1"/>
  <c r="H65" i="22" a="1"/>
  <c r="J65" i="22" s="1"/>
  <c r="R61" i="22" a="1"/>
  <c r="R61" i="22" s="1"/>
  <c r="H61" i="22" a="1"/>
  <c r="I61" i="22" s="1"/>
  <c r="R60" i="22" a="1"/>
  <c r="T60" i="22" s="1"/>
  <c r="H60" i="22" a="1"/>
  <c r="J60" i="22" s="1"/>
  <c r="X54" i="22" a="1"/>
  <c r="Z54" i="22" s="1"/>
  <c r="X53" i="22" a="1"/>
  <c r="Z53" i="22" s="1"/>
  <c r="X52" i="22" a="1"/>
  <c r="Z52" i="22" s="1"/>
  <c r="X37" i="22"/>
  <c r="W37" i="22"/>
  <c r="V37" i="22"/>
  <c r="X36" i="22"/>
  <c r="W36" i="22"/>
  <c r="V36" i="22"/>
  <c r="X35" i="22"/>
  <c r="W35" i="22"/>
  <c r="V35" i="22"/>
  <c r="X34" i="22"/>
  <c r="W34" i="22"/>
  <c r="V34" i="22"/>
  <c r="U29" i="22"/>
  <c r="Y36" i="22" s="1"/>
  <c r="AD12" i="22"/>
  <c r="AB12" i="22"/>
  <c r="AF11" i="22"/>
  <c r="AD11" i="22"/>
  <c r="AB11" i="22"/>
  <c r="AH10" i="22"/>
  <c r="AF10" i="22"/>
  <c r="AD10" i="22"/>
  <c r="AB10" i="22"/>
  <c r="AH9" i="22"/>
  <c r="AF9" i="22"/>
  <c r="AD9" i="22"/>
  <c r="AB9" i="22"/>
  <c r="AH8" i="22"/>
  <c r="AF8" i="22"/>
  <c r="AD8" i="22"/>
  <c r="AB8" i="22"/>
  <c r="AH7" i="22"/>
  <c r="AF7" i="22"/>
  <c r="AD7" i="22"/>
  <c r="AB7" i="22"/>
  <c r="AH6" i="22"/>
  <c r="AB37" i="22" s="1"/>
  <c r="AF6" i="22"/>
  <c r="AB36" i="22" s="1"/>
  <c r="AD6" i="22"/>
  <c r="AB35" i="22" s="1"/>
  <c r="AB6" i="22"/>
  <c r="AB34" i="22" s="1"/>
  <c r="R70" i="22" l="1"/>
  <c r="R71" i="22"/>
  <c r="I75" i="22"/>
  <c r="I70" i="22"/>
  <c r="R60" i="22"/>
  <c r="R65" i="22"/>
  <c r="S70" i="22"/>
  <c r="S61" i="22"/>
  <c r="S60" i="22"/>
  <c r="I66" i="22"/>
  <c r="I71" i="22"/>
  <c r="S76" i="22"/>
  <c r="AA36" i="22"/>
  <c r="Z36" i="22"/>
  <c r="Y35" i="22"/>
  <c r="X53" i="22"/>
  <c r="H60" i="22"/>
  <c r="S65" i="22"/>
  <c r="R66" i="22"/>
  <c r="J75" i="22"/>
  <c r="H76" i="22"/>
  <c r="Y53" i="22"/>
  <c r="I60" i="22"/>
  <c r="Y37" i="22"/>
  <c r="Z37" i="22" s="1"/>
  <c r="H61" i="22"/>
  <c r="H65" i="22"/>
  <c r="R75" i="22"/>
  <c r="Y34" i="22"/>
  <c r="Z34" i="22" s="1"/>
  <c r="I65" i="22"/>
  <c r="X52" i="22"/>
  <c r="X54" i="22"/>
  <c r="H70" i="22"/>
  <c r="S75" i="22"/>
  <c r="Y52" i="22"/>
  <c r="Y54" i="22"/>
  <c r="AC36" i="22" l="1"/>
  <c r="AA34" i="22"/>
  <c r="AC34" i="22" s="1"/>
  <c r="AA37" i="22"/>
  <c r="AC37" i="22" s="1"/>
  <c r="AL37" i="22" s="1"/>
  <c r="AA35" i="22"/>
  <c r="Z35" i="22"/>
  <c r="H76" i="21" a="1"/>
  <c r="I76" i="21" s="1"/>
  <c r="H71" i="21" a="1"/>
  <c r="H71" i="21" s="1"/>
  <c r="H66" i="21" a="1"/>
  <c r="I66" i="21" s="1"/>
  <c r="H61" i="21" a="1"/>
  <c r="H61" i="21" s="1"/>
  <c r="AO34" i="22" l="1"/>
  <c r="CW26" i="9" s="1"/>
  <c r="AR34" i="22"/>
  <c r="CY26" i="9" s="1"/>
  <c r="AL34" i="22"/>
  <c r="U72" i="22"/>
  <c r="AL36" i="22"/>
  <c r="K77" i="22"/>
  <c r="U77" i="22"/>
  <c r="K62" i="22"/>
  <c r="U62" i="22"/>
  <c r="AJ37" i="22"/>
  <c r="K72" i="22"/>
  <c r="U71" i="22"/>
  <c r="K70" i="22"/>
  <c r="AD36" i="22"/>
  <c r="AE36" i="22"/>
  <c r="U70" i="22"/>
  <c r="K71" i="22"/>
  <c r="AJ38" i="22"/>
  <c r="U76" i="22"/>
  <c r="K75" i="22"/>
  <c r="AD37" i="22"/>
  <c r="AE37" i="22"/>
  <c r="U75" i="22"/>
  <c r="K76" i="22"/>
  <c r="AJ34" i="22"/>
  <c r="U61" i="22"/>
  <c r="AD34" i="22"/>
  <c r="U60" i="22"/>
  <c r="K60" i="22"/>
  <c r="K61" i="22"/>
  <c r="AE34" i="22"/>
  <c r="AC35" i="22"/>
  <c r="AL35" i="22" s="1"/>
  <c r="H76" i="21"/>
  <c r="I71" i="21"/>
  <c r="H66" i="21"/>
  <c r="I61" i="21"/>
  <c r="AG36" i="22" l="1"/>
  <c r="AG34" i="22"/>
  <c r="AF37" i="22"/>
  <c r="AF34" i="22"/>
  <c r="K67" i="22"/>
  <c r="U67" i="22"/>
  <c r="AG37" i="22"/>
  <c r="AF36" i="22"/>
  <c r="AJ36" i="22"/>
  <c r="Q9" i="22" a="1"/>
  <c r="AD35" i="22"/>
  <c r="K66" i="22"/>
  <c r="U65" i="22"/>
  <c r="K65" i="22"/>
  <c r="AE35" i="22"/>
  <c r="U66" i="22"/>
  <c r="AF35" i="22" l="1"/>
  <c r="AG35" i="22"/>
  <c r="P6" i="22" s="1" a="1"/>
  <c r="Q6" i="22" s="1"/>
  <c r="R9" i="22"/>
  <c r="AX33" i="22" s="1"/>
  <c r="Q9" i="22"/>
  <c r="AW33" i="22" s="1"/>
  <c r="AZ33" i="22" l="1"/>
  <c r="AJ35" i="22"/>
  <c r="P6" i="22"/>
  <c r="W6" i="22" s="1"/>
  <c r="BC27" i="9" s="1"/>
  <c r="T9" i="22"/>
  <c r="Q10" i="22" l="1" a="1"/>
  <c r="Q10" i="22" s="1"/>
  <c r="AW34" i="22" s="1"/>
  <c r="AF44" i="22"/>
  <c r="AT27" i="9" s="1"/>
  <c r="AH44" i="22"/>
  <c r="AV27" i="9" s="1"/>
  <c r="AK44" i="22"/>
  <c r="AY27" i="9" s="1"/>
  <c r="AI44" i="22"/>
  <c r="AW27" i="9" s="1"/>
  <c r="AG44" i="22"/>
  <c r="AU27" i="9" s="1"/>
  <c r="AJ44" i="22"/>
  <c r="AX27" i="9" s="1"/>
  <c r="AL44" i="22"/>
  <c r="AZ27" i="9" s="1"/>
  <c r="AM44" i="22"/>
  <c r="BA27" i="9" s="1"/>
  <c r="AN44" i="22" a="1"/>
  <c r="R10" i="22" l="1"/>
  <c r="AX34" i="22" s="1"/>
  <c r="AZ34" i="22" s="1"/>
  <c r="AO44" i="22" a="1"/>
  <c r="AN44" i="22"/>
  <c r="BB27" i="9" s="1"/>
  <c r="AO44" i="22"/>
  <c r="AP44" i="22" s="1"/>
  <c r="T10" i="22" l="1"/>
  <c r="R76" i="21" a="1"/>
  <c r="R76" i="21" s="1"/>
  <c r="R71" i="21" a="1"/>
  <c r="S71" i="21" s="1"/>
  <c r="R66" i="21" a="1"/>
  <c r="S66" i="21" s="1"/>
  <c r="R61" i="21" a="1"/>
  <c r="S61" i="21" s="1"/>
  <c r="X54" i="21" a="1"/>
  <c r="X54" i="21" s="1"/>
  <c r="X53" i="21" a="1"/>
  <c r="X53" i="21" s="1"/>
  <c r="X52" i="21" a="1"/>
  <c r="X52" i="21" s="1"/>
  <c r="X51" i="21" a="1"/>
  <c r="Z51" i="21" s="1"/>
  <c r="X36" i="21"/>
  <c r="X35" i="21"/>
  <c r="X34" i="21"/>
  <c r="R75" i="21" a="1"/>
  <c r="T75" i="21" s="1"/>
  <c r="H75" i="21" a="1"/>
  <c r="J75" i="21" s="1"/>
  <c r="H70" i="21" a="1"/>
  <c r="J70" i="21" s="1"/>
  <c r="R65" i="21" a="1"/>
  <c r="R65" i="21" s="1"/>
  <c r="H65" i="21" a="1"/>
  <c r="J65" i="21" s="1"/>
  <c r="R60" i="21" a="1"/>
  <c r="T60" i="21" s="1"/>
  <c r="H60" i="21" a="1"/>
  <c r="J60" i="21" s="1"/>
  <c r="S76" i="21" l="1"/>
  <c r="R71" i="21"/>
  <c r="R66" i="21"/>
  <c r="R61" i="21"/>
  <c r="Z54" i="21"/>
  <c r="Y54" i="21"/>
  <c r="Z53" i="21"/>
  <c r="Y53" i="21"/>
  <c r="Z52" i="21"/>
  <c r="Y52" i="21"/>
  <c r="X51" i="21"/>
  <c r="Y51" i="21"/>
  <c r="U29" i="21"/>
  <c r="Y36" i="21" s="1"/>
  <c r="W37" i="21"/>
  <c r="X37" i="21"/>
  <c r="V37" i="21"/>
  <c r="V36" i="21"/>
  <c r="V35" i="21"/>
  <c r="V34" i="21"/>
  <c r="S65" i="21"/>
  <c r="H60" i="21"/>
  <c r="T65" i="21"/>
  <c r="R75" i="21"/>
  <c r="S75" i="21"/>
  <c r="I60" i="21"/>
  <c r="H65" i="21"/>
  <c r="H70" i="21"/>
  <c r="I65" i="21"/>
  <c r="I70" i="21"/>
  <c r="R60" i="21"/>
  <c r="H75" i="21"/>
  <c r="S60" i="21"/>
  <c r="I75" i="21"/>
  <c r="Y35" i="21" l="1"/>
  <c r="Y37" i="21"/>
  <c r="AH7" i="21"/>
  <c r="J13" i="9" s="1"/>
  <c r="AP13" i="9" s="1"/>
  <c r="AH8" i="21"/>
  <c r="J14" i="9" s="1"/>
  <c r="AP14" i="9" s="1"/>
  <c r="AH9" i="21"/>
  <c r="J15" i="9" s="1"/>
  <c r="AP15" i="9" s="1"/>
  <c r="AH10" i="21"/>
  <c r="J16" i="9" s="1"/>
  <c r="AP16" i="9" s="1"/>
  <c r="AH6" i="21"/>
  <c r="J12" i="9" s="1"/>
  <c r="AP12" i="9" s="1"/>
  <c r="AF10" i="21"/>
  <c r="H16" i="9" s="1"/>
  <c r="AN16" i="9" s="1"/>
  <c r="AF6" i="21"/>
  <c r="H12" i="9" s="1"/>
  <c r="AN12" i="9" s="1"/>
  <c r="AF9" i="21"/>
  <c r="H15" i="9" s="1"/>
  <c r="AN15" i="9" s="1"/>
  <c r="W36" i="21"/>
  <c r="Z36" i="21" s="1"/>
  <c r="AF7" i="21"/>
  <c r="H13" i="9" s="1"/>
  <c r="AN13" i="9" s="1"/>
  <c r="AF11" i="21"/>
  <c r="H17" i="9" s="1"/>
  <c r="AN17" i="9" s="1"/>
  <c r="AF8" i="21"/>
  <c r="H14" i="9" s="1"/>
  <c r="AN14" i="9" s="1"/>
  <c r="AD9" i="21"/>
  <c r="F15" i="9" s="1"/>
  <c r="AL15" i="9" s="1"/>
  <c r="AD6" i="21"/>
  <c r="F12" i="9" s="1"/>
  <c r="AL12" i="9" s="1"/>
  <c r="AD11" i="21"/>
  <c r="F17" i="9" s="1"/>
  <c r="AL17" i="9" s="1"/>
  <c r="AD12" i="21"/>
  <c r="F18" i="9" s="1"/>
  <c r="AL18" i="9" s="1"/>
  <c r="AD7" i="21"/>
  <c r="F13" i="9" s="1"/>
  <c r="AL13" i="9" s="1"/>
  <c r="AD8" i="21"/>
  <c r="F14" i="9" s="1"/>
  <c r="AL14" i="9" s="1"/>
  <c r="W35" i="21"/>
  <c r="AD10" i="21"/>
  <c r="F16" i="9" s="1"/>
  <c r="AL16" i="9" s="1"/>
  <c r="Y34" i="21"/>
  <c r="AB9" i="21"/>
  <c r="D15" i="9" s="1"/>
  <c r="AJ15" i="9" s="1"/>
  <c r="AB7" i="21"/>
  <c r="D13" i="9" s="1"/>
  <c r="AJ13" i="9" s="1"/>
  <c r="AB8" i="21"/>
  <c r="D14" i="9" s="1"/>
  <c r="AJ14" i="9" s="1"/>
  <c r="AB6" i="21"/>
  <c r="D12" i="9" s="1"/>
  <c r="AJ12" i="9" s="1"/>
  <c r="AB12" i="21"/>
  <c r="D18" i="9" s="1"/>
  <c r="AJ18" i="9" s="1"/>
  <c r="W34" i="21"/>
  <c r="AB10" i="21"/>
  <c r="D16" i="9" s="1"/>
  <c r="AJ16" i="9" s="1"/>
  <c r="AB11" i="21"/>
  <c r="D17" i="9" s="1"/>
  <c r="AJ17" i="9" s="1"/>
  <c r="B16" i="9" l="1"/>
  <c r="B18" i="9"/>
  <c r="B12" i="9"/>
  <c r="B13" i="9"/>
  <c r="B17" i="9"/>
  <c r="B15" i="9"/>
  <c r="B14" i="9"/>
  <c r="AB35" i="21"/>
  <c r="AB37" i="21"/>
  <c r="AB34" i="21"/>
  <c r="AB36" i="21"/>
  <c r="AA36" i="21"/>
  <c r="AC36" i="21" s="1"/>
  <c r="AL36" i="21" s="1"/>
  <c r="Z35" i="21"/>
  <c r="AA35" i="21"/>
  <c r="Z34" i="21"/>
  <c r="Z37" i="21"/>
  <c r="AA37" i="21"/>
  <c r="AA34" i="21"/>
  <c r="U72" i="21" l="1"/>
  <c r="K72" i="21"/>
  <c r="K70" i="21"/>
  <c r="K71" i="21"/>
  <c r="U71" i="21"/>
  <c r="AC35" i="21"/>
  <c r="AL35" i="21" s="1"/>
  <c r="AD36" i="21"/>
  <c r="AJ37" i="21"/>
  <c r="AC34" i="21"/>
  <c r="AC37" i="21"/>
  <c r="AL37" i="21" s="1"/>
  <c r="AO34" i="21" l="1"/>
  <c r="CV26" i="9" s="1"/>
  <c r="AR34" i="21"/>
  <c r="CX26" i="9" s="1"/>
  <c r="AL34" i="21"/>
  <c r="P2" i="21" s="1" a="1"/>
  <c r="AG36" i="21"/>
  <c r="AF36" i="21"/>
  <c r="U66" i="21"/>
  <c r="U67" i="21"/>
  <c r="K67" i="21"/>
  <c r="U77" i="21"/>
  <c r="K77" i="21"/>
  <c r="K62" i="21"/>
  <c r="U62" i="21"/>
  <c r="K61" i="21"/>
  <c r="K60" i="21"/>
  <c r="K66" i="21"/>
  <c r="K65" i="21"/>
  <c r="K76" i="21"/>
  <c r="K75" i="21"/>
  <c r="U60" i="21"/>
  <c r="U61" i="21"/>
  <c r="AJ36" i="21"/>
  <c r="U65" i="21"/>
  <c r="U75" i="21"/>
  <c r="U76" i="21"/>
  <c r="AD35" i="21"/>
  <c r="AE34" i="21"/>
  <c r="Q9" i="21" a="1"/>
  <c r="AJ34" i="21"/>
  <c r="AD34" i="21"/>
  <c r="AJ38" i="21"/>
  <c r="AD37" i="21"/>
  <c r="AG34" i="21" l="1"/>
  <c r="P2" i="21"/>
  <c r="Q2" i="21"/>
  <c r="R2" i="21"/>
  <c r="AF37" i="21"/>
  <c r="AF34" i="21"/>
  <c r="AF35" i="21"/>
  <c r="AG37" i="21"/>
  <c r="AG35" i="21"/>
  <c r="Q9" i="21"/>
  <c r="AW33" i="21" s="1"/>
  <c r="R9" i="21"/>
  <c r="AX33" i="21" s="1"/>
  <c r="AZ33" i="21" l="1"/>
  <c r="W2" i="21"/>
  <c r="AN8" i="21" s="1"/>
  <c r="P5" i="21" a="1"/>
  <c r="Q5" i="21" s="1"/>
  <c r="AJ35" i="21"/>
  <c r="T9" i="21"/>
  <c r="P5" i="21" l="1"/>
  <c r="W5" i="21" s="1"/>
  <c r="Q10" i="21" a="1"/>
  <c r="R10" i="21" s="1"/>
  <c r="AX34" i="21" s="1"/>
  <c r="AJ43" i="21" l="1"/>
  <c r="AD27" i="9" s="1"/>
  <c r="AI27" i="9"/>
  <c r="AK43" i="21"/>
  <c r="AE27" i="9" s="1"/>
  <c r="AH43" i="21"/>
  <c r="AB27" i="9" s="1"/>
  <c r="AI43" i="21"/>
  <c r="AC27" i="9" s="1"/>
  <c r="AL43" i="21"/>
  <c r="AF27" i="9" s="1"/>
  <c r="AG43" i="21"/>
  <c r="AA27" i="9" s="1"/>
  <c r="AM43" i="21"/>
  <c r="AG27" i="9" s="1"/>
  <c r="AF43" i="21"/>
  <c r="Z27" i="9" s="1"/>
  <c r="AN43" i="21" a="1"/>
  <c r="AO43" i="21" a="1"/>
  <c r="Q10" i="21"/>
  <c r="T10" i="21" l="1"/>
  <c r="AW34" i="21"/>
  <c r="AZ34" i="21" s="1"/>
  <c r="AO43" i="21"/>
  <c r="AP43" i="21" s="1"/>
  <c r="AN43" i="21"/>
  <c r="AH27" i="9" s="1"/>
  <c r="C58" i="2"/>
  <c r="C57" i="2"/>
  <c r="C7" i="20"/>
  <c r="C6" i="20"/>
  <c r="L3" i="1"/>
  <c r="J3" i="1"/>
  <c r="K22" i="20"/>
  <c r="L22" i="20"/>
  <c r="J22" i="20"/>
  <c r="W21" i="30" l="1"/>
  <c r="W21" i="21"/>
  <c r="W21" i="25"/>
  <c r="C25" i="20" a="1"/>
  <c r="C25" i="20" s="1"/>
  <c r="BD4" i="9"/>
  <c r="F59" i="2" s="1" a="1"/>
  <c r="F59" i="2" s="1"/>
  <c r="D25" i="20" l="1"/>
  <c r="R6" i="2"/>
  <c r="R7" i="2"/>
  <c r="T18" i="2"/>
  <c r="AD2" i="2" l="1"/>
  <c r="T10" i="2" l="1"/>
  <c r="C6" i="35" l="1"/>
  <c r="F3" i="19"/>
  <c r="E165" i="19" a="1"/>
  <c r="E165" i="19" s="1"/>
  <c r="E139" i="19" a="1"/>
  <c r="G139" i="19" s="1"/>
  <c r="F142" i="19"/>
  <c r="F168" i="19" s="1"/>
  <c r="F141" i="19"/>
  <c r="F167" i="19" s="1"/>
  <c r="E113" i="19" a="1"/>
  <c r="I113" i="19" s="1"/>
  <c r="F20" i="19" l="1"/>
  <c r="H24" i="19" s="1"/>
  <c r="H33" i="19" s="1"/>
  <c r="F7" i="19"/>
  <c r="F4" i="19"/>
  <c r="F6" i="19"/>
  <c r="F5" i="19"/>
  <c r="F139" i="19"/>
  <c r="F113" i="19"/>
  <c r="H113" i="19"/>
  <c r="H139" i="19"/>
  <c r="F165" i="19"/>
  <c r="I139" i="19"/>
  <c r="G165" i="19"/>
  <c r="F143" i="19"/>
  <c r="F169" i="19" s="1"/>
  <c r="F170" i="19" s="1"/>
  <c r="H165" i="19"/>
  <c r="E113" i="19"/>
  <c r="I165" i="19"/>
  <c r="G113" i="19"/>
  <c r="E139" i="19"/>
  <c r="G30" i="19" l="1"/>
  <c r="G34" i="19" s="1"/>
  <c r="E25" i="19"/>
  <c r="E30" i="19"/>
  <c r="E24" i="19"/>
  <c r="F30" i="19"/>
  <c r="H27" i="19"/>
  <c r="E28" i="19"/>
  <c r="H25" i="19"/>
  <c r="F27" i="19"/>
  <c r="H28" i="19"/>
  <c r="E29" i="19"/>
  <c r="H26" i="19"/>
  <c r="H29" i="19"/>
  <c r="F29" i="19"/>
  <c r="G26" i="19"/>
  <c r="G27" i="19"/>
  <c r="G20" i="19" a="1"/>
  <c r="G20" i="19" s="1"/>
  <c r="G29" i="19"/>
  <c r="F25" i="19"/>
  <c r="G24" i="19"/>
  <c r="F28" i="19"/>
  <c r="F26" i="19"/>
  <c r="G25" i="19"/>
  <c r="E27" i="19"/>
  <c r="F24" i="19"/>
  <c r="E26" i="19"/>
  <c r="G28" i="19"/>
  <c r="H30" i="19"/>
  <c r="H34" i="19" s="1"/>
  <c r="G33" i="19"/>
  <c r="F33" i="19"/>
  <c r="F144" i="19"/>
  <c r="F34" i="19" l="1"/>
  <c r="F37" i="19" s="1"/>
  <c r="AA55" i="2"/>
  <c r="G43" i="19" l="1"/>
  <c r="G44" i="19" a="1"/>
  <c r="G44" i="19" s="1"/>
  <c r="E44" i="19" a="1"/>
  <c r="E44" i="19" s="1"/>
  <c r="F44" i="19" a="1"/>
  <c r="F44" i="19" s="1"/>
  <c r="F43" i="19"/>
  <c r="E43" i="19"/>
  <c r="N37" i="9"/>
  <c r="F36" i="15" s="1"/>
  <c r="F37" i="15" s="1"/>
  <c r="M25" i="9"/>
  <c r="M24" i="9"/>
  <c r="M23" i="9"/>
  <c r="F38" i="19" l="1"/>
  <c r="G38" i="19" s="1"/>
  <c r="F39" i="19"/>
  <c r="G39" i="19" s="1"/>
  <c r="M35" i="9"/>
  <c r="M37" i="9" s="1"/>
  <c r="D69" i="2" s="1"/>
  <c r="O7" i="19" l="1"/>
  <c r="DL26" i="9" s="1"/>
  <c r="O4" i="19"/>
  <c r="DL23" i="9" s="1"/>
  <c r="N7" i="19"/>
  <c r="DK26" i="9" s="1"/>
  <c r="N4" i="19"/>
  <c r="DK23" i="9" s="1"/>
  <c r="O8" i="19"/>
  <c r="DL27" i="9" s="1"/>
  <c r="O6" i="19"/>
  <c r="DL25" i="9" s="1"/>
  <c r="N8" i="19"/>
  <c r="DK27" i="9" s="1"/>
  <c r="N6" i="19"/>
  <c r="DK25" i="9" s="1"/>
  <c r="O5" i="19"/>
  <c r="DL24" i="9" s="1"/>
  <c r="O9" i="19"/>
  <c r="DL28" i="9" s="1"/>
  <c r="N5" i="19"/>
  <c r="DK24" i="9" s="1"/>
  <c r="DK35" i="9" s="1"/>
  <c r="DK37" i="9" s="1"/>
  <c r="T22" i="2" s="1"/>
  <c r="C9" i="35" s="1"/>
  <c r="N9" i="19"/>
  <c r="DK28" i="9" s="1"/>
  <c r="F34" i="15"/>
  <c r="O37" i="9"/>
  <c r="BB14" i="9"/>
  <c r="BB15" i="9"/>
  <c r="BB13" i="9"/>
  <c r="DL35" i="9" l="1"/>
  <c r="DL37" i="9" s="1"/>
  <c r="T21" i="2" s="1"/>
  <c r="T14" i="15"/>
  <c r="T13" i="15"/>
  <c r="T12" i="15"/>
  <c r="T11" i="15"/>
  <c r="T10" i="15"/>
  <c r="T9" i="15"/>
  <c r="T8" i="15"/>
  <c r="T7" i="15"/>
  <c r="N23" i="15" l="1"/>
  <c r="O23" i="15"/>
  <c r="P23" i="15"/>
  <c r="Q23" i="15"/>
  <c r="M23" i="15"/>
  <c r="I17" i="15"/>
  <c r="I11" i="15"/>
  <c r="I7" i="15"/>
  <c r="O11" i="9" l="1"/>
  <c r="Q11" i="9"/>
  <c r="S11" i="9"/>
  <c r="U11" i="9"/>
  <c r="D11" i="9"/>
  <c r="F11" i="9"/>
  <c r="H11" i="9"/>
  <c r="J11" i="9"/>
  <c r="L3" i="14"/>
  <c r="L3" i="10"/>
  <c r="J3" i="10"/>
  <c r="L3" i="8"/>
  <c r="J3" i="6"/>
  <c r="L3" i="6"/>
  <c r="X88" i="14"/>
  <c r="Y88" i="14"/>
  <c r="X89" i="14"/>
  <c r="Y89" i="14"/>
  <c r="X90" i="14"/>
  <c r="Y90" i="14"/>
  <c r="Y87" i="14"/>
  <c r="X87" i="14"/>
  <c r="X80" i="14"/>
  <c r="Y80" i="14"/>
  <c r="X81" i="14"/>
  <c r="Y81" i="14"/>
  <c r="X82" i="14"/>
  <c r="Y82" i="14"/>
  <c r="Y79" i="14"/>
  <c r="X79" i="14"/>
  <c r="X72" i="14"/>
  <c r="Y72" i="14"/>
  <c r="X73" i="14"/>
  <c r="Y73" i="14"/>
  <c r="X74" i="14"/>
  <c r="Y74" i="14"/>
  <c r="Y71" i="14"/>
  <c r="X71" i="14"/>
  <c r="X64" i="14"/>
  <c r="Y64" i="14"/>
  <c r="X65" i="14"/>
  <c r="Y65" i="14"/>
  <c r="X66" i="14"/>
  <c r="Y66" i="14"/>
  <c r="Y63" i="14"/>
  <c r="X63" i="14"/>
  <c r="X37" i="14"/>
  <c r="X36" i="14"/>
  <c r="X35" i="14"/>
  <c r="V35" i="14"/>
  <c r="X34" i="14"/>
  <c r="Y85" i="14"/>
  <c r="X86" i="14"/>
  <c r="Y86" i="14"/>
  <c r="Y84" i="14"/>
  <c r="X84" i="14"/>
  <c r="X77" i="14"/>
  <c r="Y77" i="14"/>
  <c r="X78" i="14"/>
  <c r="Y78" i="14"/>
  <c r="Y76" i="14"/>
  <c r="X76" i="14"/>
  <c r="X69" i="14"/>
  <c r="Y69" i="14"/>
  <c r="X70" i="14"/>
  <c r="Y70" i="14"/>
  <c r="X68" i="14"/>
  <c r="X60" i="14"/>
  <c r="Y60" i="14"/>
  <c r="X61" i="14"/>
  <c r="Y61" i="14"/>
  <c r="X62" i="14"/>
  <c r="Y62" i="14"/>
  <c r="Y59" i="14"/>
  <c r="X59" i="14"/>
  <c r="X85" i="14"/>
  <c r="Y68" i="14"/>
  <c r="AI38" i="14"/>
  <c r="AI36" i="14"/>
  <c r="V36" i="14"/>
  <c r="W35" i="14"/>
  <c r="AI36" i="10"/>
  <c r="AI38" i="10"/>
  <c r="I75" i="14" l="1" a="1"/>
  <c r="J75" i="14" s="1"/>
  <c r="AH9" i="14"/>
  <c r="I70" i="14" a="1"/>
  <c r="I70" i="14" s="1"/>
  <c r="AB12" i="14"/>
  <c r="AF11" i="14"/>
  <c r="V37" i="14"/>
  <c r="AF9" i="14"/>
  <c r="AD6" i="14"/>
  <c r="AB10" i="14"/>
  <c r="AD12" i="14"/>
  <c r="AD10" i="14"/>
  <c r="AD7" i="14"/>
  <c r="AD11" i="14"/>
  <c r="AD9" i="14"/>
  <c r="AB8" i="14"/>
  <c r="V34" i="14"/>
  <c r="AF7" i="14"/>
  <c r="AD8" i="14"/>
  <c r="AF10" i="14"/>
  <c r="W34" i="14"/>
  <c r="W37" i="14"/>
  <c r="AH7" i="14"/>
  <c r="AF8" i="14"/>
  <c r="AH10" i="14"/>
  <c r="AB6" i="14"/>
  <c r="AH8" i="14"/>
  <c r="AB9" i="14"/>
  <c r="W36" i="14"/>
  <c r="AF6" i="14"/>
  <c r="AB11" i="14"/>
  <c r="AH6" i="14"/>
  <c r="AB7" i="14"/>
  <c r="I75" i="14" l="1"/>
  <c r="J70" i="14"/>
  <c r="AB37" i="14"/>
  <c r="AB36" i="14"/>
  <c r="AB35" i="14"/>
  <c r="AB34" i="14"/>
  <c r="Y90" i="10" l="1"/>
  <c r="X90" i="10"/>
  <c r="Y89" i="10"/>
  <c r="X89" i="10"/>
  <c r="Y88" i="10"/>
  <c r="X88" i="10"/>
  <c r="Y87" i="10"/>
  <c r="X87" i="10"/>
  <c r="Y86" i="10"/>
  <c r="X86" i="10"/>
  <c r="Y85" i="10"/>
  <c r="X85" i="10"/>
  <c r="Y84" i="10"/>
  <c r="X84" i="10"/>
  <c r="Y82" i="10"/>
  <c r="X82" i="10"/>
  <c r="Y81" i="10"/>
  <c r="X81" i="10"/>
  <c r="Y80" i="10"/>
  <c r="X80" i="10"/>
  <c r="Y79" i="10"/>
  <c r="X79" i="10"/>
  <c r="Y78" i="10"/>
  <c r="X78" i="10"/>
  <c r="Y77" i="10"/>
  <c r="X77" i="10"/>
  <c r="Y76" i="10"/>
  <c r="X76" i="10"/>
  <c r="R75" i="10" a="1"/>
  <c r="T75" i="10" s="1"/>
  <c r="H75" i="10" a="1"/>
  <c r="J75" i="10" s="1"/>
  <c r="Y74" i="10"/>
  <c r="X74" i="10"/>
  <c r="Y73" i="10"/>
  <c r="X73" i="10"/>
  <c r="Y72" i="10"/>
  <c r="X72" i="10"/>
  <c r="Y71" i="10"/>
  <c r="X71" i="10"/>
  <c r="Y70" i="10"/>
  <c r="X70" i="10"/>
  <c r="R70" i="10" a="1"/>
  <c r="R70" i="10" s="1"/>
  <c r="H70" i="10" a="1"/>
  <c r="J70" i="10" s="1"/>
  <c r="Y69" i="10"/>
  <c r="X69" i="10"/>
  <c r="Y68" i="10"/>
  <c r="X68" i="10"/>
  <c r="Y66" i="10"/>
  <c r="X66" i="10"/>
  <c r="Y65" i="10"/>
  <c r="X65" i="10"/>
  <c r="R65" i="10" a="1"/>
  <c r="R65" i="10" s="1"/>
  <c r="H65" i="10" a="1"/>
  <c r="J65" i="10" s="1"/>
  <c r="Y64" i="10"/>
  <c r="X64" i="10"/>
  <c r="Y63" i="10"/>
  <c r="X63" i="10"/>
  <c r="Y62" i="10"/>
  <c r="X62" i="10"/>
  <c r="Y61" i="10"/>
  <c r="X61" i="10"/>
  <c r="Y60" i="10"/>
  <c r="X60" i="10"/>
  <c r="R60" i="10" a="1"/>
  <c r="T60" i="10" s="1"/>
  <c r="H60" i="10" a="1"/>
  <c r="I60" i="10" s="1"/>
  <c r="Y59" i="10"/>
  <c r="X59" i="10"/>
  <c r="X37" i="10"/>
  <c r="W37" i="10"/>
  <c r="V37" i="10"/>
  <c r="X36" i="10"/>
  <c r="W36" i="10"/>
  <c r="V36" i="10"/>
  <c r="X35" i="10"/>
  <c r="W35" i="10"/>
  <c r="V35" i="10"/>
  <c r="X34" i="10"/>
  <c r="W34" i="10"/>
  <c r="V34" i="10"/>
  <c r="AD12" i="10"/>
  <c r="AB12" i="10"/>
  <c r="AF11" i="10"/>
  <c r="AD11" i="10"/>
  <c r="AB11" i="10"/>
  <c r="AH10" i="10"/>
  <c r="AF10" i="10"/>
  <c r="AD10" i="10"/>
  <c r="AB10" i="10"/>
  <c r="AH9" i="10"/>
  <c r="AF9" i="10"/>
  <c r="AD9" i="10"/>
  <c r="AB9" i="10"/>
  <c r="AH8" i="10"/>
  <c r="AF8" i="10"/>
  <c r="AD8" i="10"/>
  <c r="AB8" i="10"/>
  <c r="AH7" i="10"/>
  <c r="AF7" i="10"/>
  <c r="AD7" i="10"/>
  <c r="AB7" i="10"/>
  <c r="AH6" i="10"/>
  <c r="AF6" i="10"/>
  <c r="AD6" i="10"/>
  <c r="AB6" i="10"/>
  <c r="AB37" i="10" l="1"/>
  <c r="AB36" i="10"/>
  <c r="AB35" i="10"/>
  <c r="AB34" i="10"/>
  <c r="S70" i="10"/>
  <c r="S60" i="10"/>
  <c r="U29" i="10"/>
  <c r="Y35" i="10" s="1"/>
  <c r="Z35" i="10" s="1"/>
  <c r="I75" i="10"/>
  <c r="H60" i="10"/>
  <c r="T65" i="10"/>
  <c r="T70" i="10"/>
  <c r="R75" i="10"/>
  <c r="S65" i="10"/>
  <c r="S75" i="10"/>
  <c r="J60" i="10"/>
  <c r="H65" i="10"/>
  <c r="H70" i="10"/>
  <c r="I65" i="10"/>
  <c r="I70" i="10"/>
  <c r="R60" i="10"/>
  <c r="H75" i="10"/>
  <c r="Y61" i="8"/>
  <c r="Y62" i="8"/>
  <c r="X60" i="8"/>
  <c r="X61" i="8"/>
  <c r="X62" i="8"/>
  <c r="Y37" i="10" l="1"/>
  <c r="Z37" i="10" s="1"/>
  <c r="Y36" i="10"/>
  <c r="AA36" i="10" s="1"/>
  <c r="AA35" i="10"/>
  <c r="AC35" i="10" s="1"/>
  <c r="Y34" i="10"/>
  <c r="W37" i="8"/>
  <c r="X37" i="8"/>
  <c r="W36" i="8"/>
  <c r="X36" i="8"/>
  <c r="W35" i="8"/>
  <c r="X35" i="8"/>
  <c r="X34" i="8"/>
  <c r="Y86" i="8"/>
  <c r="Y78" i="8"/>
  <c r="X78" i="8"/>
  <c r="Y77" i="8"/>
  <c r="X77" i="8"/>
  <c r="X76" i="8"/>
  <c r="Y70" i="8"/>
  <c r="X59" i="8"/>
  <c r="Y88" i="8"/>
  <c r="Y82" i="8"/>
  <c r="X82" i="8"/>
  <c r="Y81" i="8"/>
  <c r="X80" i="8"/>
  <c r="Y79" i="8"/>
  <c r="X79" i="8"/>
  <c r="Y72" i="8"/>
  <c r="Y66" i="8"/>
  <c r="X66" i="8"/>
  <c r="Y65" i="8"/>
  <c r="X64" i="8"/>
  <c r="X63" i="8"/>
  <c r="X87" i="8"/>
  <c r="Y90" i="8"/>
  <c r="X90" i="8"/>
  <c r="Y89" i="8"/>
  <c r="X89" i="8"/>
  <c r="X86" i="8"/>
  <c r="Y76" i="8"/>
  <c r="X88" i="8"/>
  <c r="Y85" i="8"/>
  <c r="X85" i="8"/>
  <c r="Y87" i="8"/>
  <c r="Y84" i="8"/>
  <c r="X84" i="8"/>
  <c r="X74" i="8"/>
  <c r="Y73" i="8"/>
  <c r="X73" i="8"/>
  <c r="X81" i="8"/>
  <c r="Y71" i="8"/>
  <c r="X71" i="8"/>
  <c r="Y80" i="8"/>
  <c r="Y69" i="8"/>
  <c r="X69" i="8"/>
  <c r="Y74" i="8"/>
  <c r="X70" i="8"/>
  <c r="X72" i="8"/>
  <c r="X65" i="8"/>
  <c r="Y68" i="8"/>
  <c r="X68" i="8"/>
  <c r="Y64" i="8"/>
  <c r="Y60" i="8"/>
  <c r="Y63" i="8"/>
  <c r="Y59" i="8"/>
  <c r="AS34" i="10" l="1"/>
  <c r="Z36" i="10"/>
  <c r="AC36" i="10" s="1"/>
  <c r="AF36" i="10" s="1"/>
  <c r="AA37" i="10"/>
  <c r="AC37" i="10" s="1"/>
  <c r="AG37" i="10" s="1"/>
  <c r="Q14" i="10"/>
  <c r="Z34" i="10"/>
  <c r="AA34" i="10"/>
  <c r="AJ35" i="10"/>
  <c r="AD35" i="10"/>
  <c r="AG35" i="10"/>
  <c r="AF35" i="10"/>
  <c r="AH10" i="8"/>
  <c r="V37" i="8"/>
  <c r="AD6" i="8"/>
  <c r="AD8" i="8"/>
  <c r="AD11" i="8"/>
  <c r="V35" i="8"/>
  <c r="AD10" i="8"/>
  <c r="AB8" i="8"/>
  <c r="AB12" i="8"/>
  <c r="AB11" i="8"/>
  <c r="AB6" i="8"/>
  <c r="AB7" i="8"/>
  <c r="V34" i="8"/>
  <c r="AF6" i="8"/>
  <c r="AF8" i="8"/>
  <c r="W34" i="8"/>
  <c r="AF11" i="8"/>
  <c r="AH6" i="8"/>
  <c r="AH8" i="8"/>
  <c r="V36" i="8"/>
  <c r="H60" i="8" a="1"/>
  <c r="AB10" i="8"/>
  <c r="AD7" i="8"/>
  <c r="AF7" i="8"/>
  <c r="AF9" i="8"/>
  <c r="AF10" i="8"/>
  <c r="AB9" i="8"/>
  <c r="AD12" i="8"/>
  <c r="AD9" i="8"/>
  <c r="AH7" i="8"/>
  <c r="AH9" i="8"/>
  <c r="AD36" i="10" l="1"/>
  <c r="AG36" i="10"/>
  <c r="AJ37" i="10"/>
  <c r="AJ36" i="10" s="1"/>
  <c r="AF37" i="10"/>
  <c r="AD37" i="10"/>
  <c r="R12" i="10" a="1"/>
  <c r="R12" i="10" s="1"/>
  <c r="AJ39" i="10"/>
  <c r="AC34" i="10"/>
  <c r="AB37" i="8"/>
  <c r="AB36" i="8"/>
  <c r="AB35" i="8"/>
  <c r="AB34" i="8"/>
  <c r="I60" i="8"/>
  <c r="J60" i="8"/>
  <c r="H60" i="8"/>
  <c r="AL34" i="10" l="1"/>
  <c r="CV24" i="9" s="1"/>
  <c r="AO34" i="10"/>
  <c r="CX24" i="9" s="1"/>
  <c r="AJ38" i="10"/>
  <c r="S12" i="10"/>
  <c r="AD34" i="10"/>
  <c r="AG34" i="10"/>
  <c r="P8" i="10" s="1" a="1"/>
  <c r="AJ34" i="10"/>
  <c r="AF34" i="10"/>
  <c r="P5" i="10" s="1" a="1"/>
  <c r="R13" i="10" a="1"/>
  <c r="Q8" i="10" l="1"/>
  <c r="P8" i="10"/>
  <c r="Q5" i="10"/>
  <c r="P5" i="10"/>
  <c r="R13" i="10"/>
  <c r="S13" i="10"/>
  <c r="S14" i="10" l="1"/>
  <c r="AU34" i="10"/>
  <c r="R14" i="10"/>
  <c r="AT34" i="10"/>
  <c r="S8" i="10"/>
  <c r="W12" i="10" l="1"/>
  <c r="AE52" i="10" s="1"/>
  <c r="AO36" i="10"/>
  <c r="CZ24" i="9" s="1"/>
  <c r="AE48" i="10" l="1"/>
  <c r="AE51" i="10"/>
  <c r="AE45" i="10"/>
  <c r="AE46" i="10"/>
  <c r="AE54" i="10"/>
  <c r="Y12" i="10"/>
  <c r="E25" i="9"/>
  <c r="W13" i="10"/>
  <c r="D25" i="9" s="1"/>
  <c r="AE53" i="10"/>
  <c r="AE47" i="10"/>
  <c r="AE49" i="10" l="1"/>
  <c r="V49" i="10" s="1"/>
  <c r="Z55" i="10" s="1"/>
  <c r="Z43" i="10" s="1"/>
  <c r="AE55" i="10"/>
  <c r="V55" i="10" s="1"/>
  <c r="W55" i="10" l="1"/>
  <c r="W43" i="10" s="1"/>
  <c r="AB49" i="10"/>
  <c r="AB42" i="10" s="1"/>
  <c r="Y55" i="10"/>
  <c r="Y43" i="10" s="1"/>
  <c r="AC55" i="10"/>
  <c r="AC43" i="10" s="1"/>
  <c r="AD49" i="10"/>
  <c r="AD42" i="10" s="1"/>
  <c r="Y49" i="10"/>
  <c r="Y42" i="10" s="1"/>
  <c r="AD55" i="10"/>
  <c r="AD43" i="10" s="1"/>
  <c r="X49" i="10"/>
  <c r="X42" i="10" s="1"/>
  <c r="AA55" i="10"/>
  <c r="AA43" i="10" s="1"/>
  <c r="AB55" i="10"/>
  <c r="AB43" i="10" s="1"/>
  <c r="AA49" i="10"/>
  <c r="AA42" i="10" s="1"/>
  <c r="AC49" i="10"/>
  <c r="AC42" i="10" s="1"/>
  <c r="W49" i="10"/>
  <c r="W42" i="10" s="1"/>
  <c r="Z49" i="10"/>
  <c r="Z42" i="10" s="1"/>
  <c r="X55" i="10"/>
  <c r="X43" i="10" s="1"/>
  <c r="Y85" i="6"/>
  <c r="X86" i="6"/>
  <c r="Y86" i="6"/>
  <c r="X84" i="6"/>
  <c r="X77" i="6"/>
  <c r="X78" i="6"/>
  <c r="X76" i="6"/>
  <c r="X69" i="6"/>
  <c r="X70" i="6"/>
  <c r="X60" i="6"/>
  <c r="X61" i="6"/>
  <c r="X62" i="6"/>
  <c r="X59" i="6"/>
  <c r="Y64" i="6"/>
  <c r="Y65" i="6"/>
  <c r="Y66" i="6"/>
  <c r="Y63" i="6"/>
  <c r="Y72" i="6"/>
  <c r="Y73" i="6"/>
  <c r="Y71" i="6"/>
  <c r="Y80" i="6"/>
  <c r="Y81" i="6"/>
  <c r="Y79" i="6"/>
  <c r="Y88" i="6"/>
  <c r="Y89" i="6"/>
  <c r="Y90" i="6"/>
  <c r="Y87" i="6"/>
  <c r="X88" i="6"/>
  <c r="X89" i="6"/>
  <c r="X87" i="6"/>
  <c r="X80" i="6"/>
  <c r="X81" i="6"/>
  <c r="X82" i="6"/>
  <c r="X79" i="6"/>
  <c r="X72" i="6"/>
  <c r="X73" i="6"/>
  <c r="X71" i="6"/>
  <c r="X64" i="6"/>
  <c r="X65" i="6"/>
  <c r="X66" i="6"/>
  <c r="X63" i="6"/>
  <c r="X37" i="6"/>
  <c r="X90" i="6"/>
  <c r="X85" i="6"/>
  <c r="Y84" i="6"/>
  <c r="Y82" i="6"/>
  <c r="Y74" i="6"/>
  <c r="X74" i="6"/>
  <c r="U29" i="6"/>
  <c r="H60" i="6" l="1" a="1"/>
  <c r="J60" i="6" s="1"/>
  <c r="X68" i="6"/>
  <c r="AH9" i="6"/>
  <c r="AH10" i="6"/>
  <c r="W37" i="6"/>
  <c r="AH8" i="6"/>
  <c r="AH6" i="6"/>
  <c r="V37" i="6"/>
  <c r="AH7" i="6"/>
  <c r="Y37" i="6"/>
  <c r="L3" i="3"/>
  <c r="J3" i="3"/>
  <c r="X69" i="1"/>
  <c r="Y69" i="1"/>
  <c r="H60" i="6" l="1"/>
  <c r="I60" i="6"/>
  <c r="AB37" i="6"/>
  <c r="Z37" i="6"/>
  <c r="AA37" i="6"/>
  <c r="Y85" i="3"/>
  <c r="X85" i="3"/>
  <c r="Y84" i="3"/>
  <c r="X84" i="3"/>
  <c r="Y83" i="3"/>
  <c r="X83" i="3"/>
  <c r="Y77" i="3"/>
  <c r="X77" i="3"/>
  <c r="Y76" i="3"/>
  <c r="X76" i="3"/>
  <c r="Y75" i="3"/>
  <c r="Y69" i="3"/>
  <c r="H65" i="3" a="1"/>
  <c r="Y68" i="3"/>
  <c r="X68" i="3"/>
  <c r="Y67" i="3"/>
  <c r="X67" i="3"/>
  <c r="Y61" i="3"/>
  <c r="X61" i="3"/>
  <c r="X60" i="3"/>
  <c r="Y59" i="3"/>
  <c r="V34" i="3"/>
  <c r="Y89" i="3"/>
  <c r="X89" i="3"/>
  <c r="Y88" i="3"/>
  <c r="X88" i="3"/>
  <c r="X75" i="3"/>
  <c r="Y87" i="3"/>
  <c r="X87" i="3"/>
  <c r="Y86" i="3"/>
  <c r="X86" i="3"/>
  <c r="Y81" i="3"/>
  <c r="X81" i="3"/>
  <c r="Y80" i="3"/>
  <c r="X80" i="3"/>
  <c r="Y79" i="3"/>
  <c r="X79" i="3"/>
  <c r="Y78" i="3"/>
  <c r="X78" i="3"/>
  <c r="Y73" i="3"/>
  <c r="X73" i="3"/>
  <c r="Y72" i="3"/>
  <c r="X72" i="3"/>
  <c r="Y71" i="3"/>
  <c r="X71" i="3"/>
  <c r="Y70" i="3"/>
  <c r="X70" i="3"/>
  <c r="Y65" i="3"/>
  <c r="X65" i="3"/>
  <c r="Y64" i="3"/>
  <c r="X64" i="3"/>
  <c r="Y60" i="3"/>
  <c r="Y63" i="3"/>
  <c r="X63" i="3"/>
  <c r="Y62" i="3"/>
  <c r="X62" i="3"/>
  <c r="U29" i="3"/>
  <c r="W37" i="3"/>
  <c r="V37" i="3"/>
  <c r="X36" i="3"/>
  <c r="V36" i="3"/>
  <c r="X35" i="3"/>
  <c r="W35" i="3"/>
  <c r="V35" i="3"/>
  <c r="AC37" i="6" l="1"/>
  <c r="AJ38" i="6" s="1"/>
  <c r="H60" i="3" a="1"/>
  <c r="I60" i="3" s="1"/>
  <c r="AH9" i="3"/>
  <c r="Y37" i="3"/>
  <c r="AF7" i="3"/>
  <c r="AD6" i="3"/>
  <c r="AB35" i="3" s="1"/>
  <c r="AF11" i="3"/>
  <c r="AD8" i="3"/>
  <c r="AH7" i="3"/>
  <c r="Y34" i="3"/>
  <c r="Y36" i="3"/>
  <c r="AB8" i="3"/>
  <c r="AB11" i="3"/>
  <c r="X59" i="3"/>
  <c r="H65" i="3"/>
  <c r="I65" i="3"/>
  <c r="Y35" i="3"/>
  <c r="AA35" i="3" s="1"/>
  <c r="AB12" i="3"/>
  <c r="X37" i="3"/>
  <c r="X69" i="3"/>
  <c r="AF6" i="3"/>
  <c r="AB36" i="3" s="1"/>
  <c r="AD12" i="3"/>
  <c r="AH6" i="3"/>
  <c r="AH8" i="3"/>
  <c r="AB9" i="3"/>
  <c r="AD10" i="3"/>
  <c r="AF8" i="3"/>
  <c r="AB10" i="3"/>
  <c r="AB7" i="3"/>
  <c r="AD9" i="3"/>
  <c r="AF10" i="3"/>
  <c r="W34" i="3"/>
  <c r="W36" i="3"/>
  <c r="R60" i="3" a="1"/>
  <c r="AD7" i="3"/>
  <c r="AF9" i="3"/>
  <c r="AH10" i="3"/>
  <c r="X34" i="3"/>
  <c r="AD11" i="3"/>
  <c r="AB6" i="3"/>
  <c r="AB34" i="3" s="1"/>
  <c r="Y84" i="1"/>
  <c r="Y85" i="1"/>
  <c r="Y86" i="1"/>
  <c r="Y87" i="1"/>
  <c r="Y88" i="1"/>
  <c r="Y89" i="1"/>
  <c r="Y90" i="1"/>
  <c r="X88" i="1"/>
  <c r="X89" i="1"/>
  <c r="X90" i="1"/>
  <c r="X87" i="1"/>
  <c r="X85" i="1"/>
  <c r="X86" i="1"/>
  <c r="X84" i="1"/>
  <c r="Y76" i="1"/>
  <c r="Y77" i="1"/>
  <c r="Y78" i="1"/>
  <c r="Y79" i="1"/>
  <c r="Y80" i="1"/>
  <c r="Y81" i="1"/>
  <c r="Y82" i="1"/>
  <c r="X80" i="1"/>
  <c r="X81" i="1"/>
  <c r="X82" i="1"/>
  <c r="X79" i="1"/>
  <c r="X77" i="1"/>
  <c r="X78" i="1"/>
  <c r="X76" i="1"/>
  <c r="Y72" i="1"/>
  <c r="Y73" i="1"/>
  <c r="Y74" i="1"/>
  <c r="Y71" i="1"/>
  <c r="Y68" i="1"/>
  <c r="Y70" i="1"/>
  <c r="Y67" i="1"/>
  <c r="X72" i="1"/>
  <c r="X73" i="1"/>
  <c r="X74" i="1"/>
  <c r="X71" i="1"/>
  <c r="X68" i="1"/>
  <c r="X70" i="1"/>
  <c r="X67" i="1"/>
  <c r="Y59" i="1"/>
  <c r="Y60" i="1"/>
  <c r="Y61" i="1"/>
  <c r="Y62" i="1"/>
  <c r="Y63" i="1"/>
  <c r="Y64" i="1"/>
  <c r="Y65" i="1"/>
  <c r="X63" i="1"/>
  <c r="X64" i="1"/>
  <c r="X65" i="1"/>
  <c r="X62" i="1"/>
  <c r="X60" i="1"/>
  <c r="X61" i="1"/>
  <c r="X59" i="1"/>
  <c r="AB37" i="3" l="1"/>
  <c r="AD37" i="6"/>
  <c r="H60" i="3"/>
  <c r="AA37" i="3"/>
  <c r="Z35" i="3"/>
  <c r="AC35" i="3" s="1"/>
  <c r="AF35" i="3" s="1"/>
  <c r="AA36" i="3"/>
  <c r="Z36" i="3"/>
  <c r="T60" i="3"/>
  <c r="S60" i="3"/>
  <c r="R60" i="3"/>
  <c r="AA34" i="3"/>
  <c r="Z34" i="3"/>
  <c r="Z37" i="3"/>
  <c r="AC37" i="3" l="1"/>
  <c r="AD37" i="3" s="1"/>
  <c r="AC36" i="3"/>
  <c r="AD36" i="3" s="1"/>
  <c r="AC34" i="3"/>
  <c r="AI34" i="3" s="1"/>
  <c r="AD35" i="3"/>
  <c r="AF34" i="3" l="1"/>
  <c r="CV22" i="9"/>
  <c r="Q9" i="3" a="1"/>
  <c r="Q9" i="3" s="1"/>
  <c r="AD34" i="3"/>
  <c r="Q10" i="3" a="1"/>
  <c r="Q10" i="3" s="1"/>
  <c r="AG34" i="3"/>
  <c r="R9" i="3" l="1"/>
  <c r="R10" i="3"/>
  <c r="W9" i="3" l="1"/>
  <c r="W10" i="3" s="1"/>
  <c r="R60" i="1" a="1"/>
  <c r="T60" i="1" s="1"/>
  <c r="R65" i="1" a="1"/>
  <c r="T65" i="1" s="1"/>
  <c r="E23" i="9" l="1"/>
  <c r="D23" i="9"/>
  <c r="Y9" i="3"/>
  <c r="R60" i="1"/>
  <c r="S60" i="1"/>
  <c r="S65" i="1"/>
  <c r="R65" i="1"/>
  <c r="C4" i="4" l="1"/>
  <c r="AH7" i="1"/>
  <c r="AF9" i="1"/>
  <c r="AB9" i="1"/>
  <c r="AB6" i="1"/>
  <c r="W37" i="1"/>
  <c r="X37" i="1"/>
  <c r="AH6" i="1"/>
  <c r="W36" i="1"/>
  <c r="X36" i="1"/>
  <c r="W35" i="1"/>
  <c r="X35" i="1"/>
  <c r="W34" i="1"/>
  <c r="X34" i="1"/>
  <c r="AB34" i="1" l="1"/>
  <c r="AB37" i="1"/>
  <c r="AB11" i="1"/>
  <c r="AF8" i="1"/>
  <c r="AD8" i="1"/>
  <c r="V36" i="1"/>
  <c r="AB10" i="1"/>
  <c r="AF7" i="1"/>
  <c r="AD7" i="1"/>
  <c r="AB12" i="1"/>
  <c r="AF6" i="1"/>
  <c r="V34" i="1"/>
  <c r="AB8" i="1"/>
  <c r="AD6" i="1"/>
  <c r="AD9" i="1"/>
  <c r="V37" i="1"/>
  <c r="AB7" i="1"/>
  <c r="AD12" i="1"/>
  <c r="AH10" i="1"/>
  <c r="AF11" i="1"/>
  <c r="AD11" i="1"/>
  <c r="AH9" i="1"/>
  <c r="V35" i="1"/>
  <c r="AF10" i="1"/>
  <c r="AD10" i="1"/>
  <c r="AH8" i="1"/>
  <c r="AB36" i="1" l="1"/>
  <c r="AB35" i="1"/>
  <c r="H65" i="1" a="1"/>
  <c r="I65" i="1" l="1"/>
  <c r="H65" i="1"/>
  <c r="H60" i="1" a="1"/>
  <c r="H60" i="1" l="1"/>
  <c r="I60" i="1"/>
  <c r="H75" i="1" l="1" a="1"/>
  <c r="H75" i="1" s="1"/>
  <c r="J75" i="1" l="1"/>
  <c r="I75" i="1"/>
  <c r="R70" i="1" a="1"/>
  <c r="R70" i="1" s="1"/>
  <c r="T70" i="1" l="1"/>
  <c r="S70" i="1"/>
  <c r="R75" i="1" a="1"/>
  <c r="T75" i="1" s="1"/>
  <c r="S75" i="1" l="1"/>
  <c r="R75" i="1"/>
  <c r="H70" i="1" a="1"/>
  <c r="I70" i="1" s="1"/>
  <c r="H70" i="1" l="1"/>
  <c r="J70" i="1"/>
  <c r="H75" i="3" l="1" a="1"/>
  <c r="H75" i="3" s="1"/>
  <c r="R75" i="3" a="1"/>
  <c r="R75" i="3" s="1"/>
  <c r="R70" i="3" a="1"/>
  <c r="R70" i="3" s="1"/>
  <c r="R65" i="3" a="1"/>
  <c r="T65" i="3" s="1"/>
  <c r="X51" i="3" a="1"/>
  <c r="Z51" i="3" s="1"/>
  <c r="X52" i="3" a="1"/>
  <c r="Z52" i="3" s="1"/>
  <c r="X53" i="3" a="1"/>
  <c r="X53" i="3" s="1"/>
  <c r="S65" i="3" l="1"/>
  <c r="T75" i="3"/>
  <c r="R65" i="3"/>
  <c r="S75" i="3"/>
  <c r="AG37" i="3" s="1"/>
  <c r="T70" i="3"/>
  <c r="S70" i="3"/>
  <c r="AG36" i="3" s="1"/>
  <c r="Y51" i="3"/>
  <c r="X51" i="3"/>
  <c r="Y53" i="3"/>
  <c r="X52" i="3"/>
  <c r="Y52" i="3"/>
  <c r="I75" i="3"/>
  <c r="J75" i="3"/>
  <c r="Z53" i="3"/>
  <c r="AG35" i="3" l="1"/>
  <c r="P6" i="3" s="1" a="1"/>
  <c r="Q6" i="3" s="1"/>
  <c r="AE36" i="3"/>
  <c r="AF37" i="3"/>
  <c r="AE35" i="3"/>
  <c r="AE34" i="3"/>
  <c r="H70" i="3" a="1"/>
  <c r="J70" i="3" s="1"/>
  <c r="X54" i="3" a="1"/>
  <c r="Z54" i="3" s="1"/>
  <c r="P6" i="3" l="1"/>
  <c r="W6" i="3" s="1"/>
  <c r="Y23" i="9" s="1"/>
  <c r="X54" i="3"/>
  <c r="Y54" i="3"/>
  <c r="H70" i="3"/>
  <c r="I70" i="3"/>
  <c r="AM44" i="3" l="1"/>
  <c r="W23" i="9" s="1"/>
  <c r="AG44" i="3"/>
  <c r="Q23" i="9" s="1"/>
  <c r="AI44" i="3"/>
  <c r="S23" i="9" s="1"/>
  <c r="AH44" i="3"/>
  <c r="R23" i="9" s="1"/>
  <c r="AK44" i="3"/>
  <c r="U23" i="9" s="1"/>
  <c r="AJ44" i="3"/>
  <c r="T23" i="9" s="1"/>
  <c r="AL44" i="3"/>
  <c r="V23" i="9" s="1"/>
  <c r="AF44" i="3"/>
  <c r="P23" i="9" s="1"/>
  <c r="AF36" i="3"/>
  <c r="P5" i="3" s="1" a="1"/>
  <c r="AE37" i="3"/>
  <c r="P13" i="3" s="1" a="1"/>
  <c r="AN44" i="3" l="1" a="1"/>
  <c r="AN44" i="3" s="1"/>
  <c r="X23" i="9" s="1"/>
  <c r="AO44" i="3" a="1"/>
  <c r="AO44" i="3" s="1"/>
  <c r="AP44" i="3" s="1"/>
  <c r="R13" i="3"/>
  <c r="P13" i="3"/>
  <c r="Q13" i="3"/>
  <c r="Q5" i="3"/>
  <c r="P5" i="3"/>
  <c r="X54" i="1" a="1"/>
  <c r="Z54" i="1" s="1"/>
  <c r="X52" i="1" a="1"/>
  <c r="Y52" i="1" s="1"/>
  <c r="W5" i="3" l="1"/>
  <c r="AI23" i="9" s="1"/>
  <c r="W13" i="3"/>
  <c r="Y54" i="1"/>
  <c r="X52" i="1"/>
  <c r="X54" i="1"/>
  <c r="Z52" i="1"/>
  <c r="AI43" i="3" l="1"/>
  <c r="AC23" i="9" s="1"/>
  <c r="W14" i="3"/>
  <c r="F23" i="9" s="1"/>
  <c r="AM43" i="3"/>
  <c r="AG23" i="9" s="1"/>
  <c r="AL43" i="3"/>
  <c r="AF23" i="9" s="1"/>
  <c r="AF43" i="3"/>
  <c r="Z23" i="9" s="1"/>
  <c r="AH43" i="3"/>
  <c r="AB23" i="9" s="1"/>
  <c r="AK43" i="3"/>
  <c r="AE23" i="9" s="1"/>
  <c r="AJ43" i="3"/>
  <c r="AD23" i="9" s="1"/>
  <c r="AG43" i="3"/>
  <c r="AA23" i="9" s="1"/>
  <c r="X53" i="1" a="1"/>
  <c r="X53" i="1" s="1"/>
  <c r="X51" i="1" a="1"/>
  <c r="Z51" i="1" s="1"/>
  <c r="AN43" i="3" l="1" a="1"/>
  <c r="AN43" i="3" s="1"/>
  <c r="AH23" i="9" s="1"/>
  <c r="AO43" i="3" a="1"/>
  <c r="AO43" i="3" s="1"/>
  <c r="AP43" i="3" s="1"/>
  <c r="Y53" i="1"/>
  <c r="Z53" i="1"/>
  <c r="X51" i="1"/>
  <c r="Y51" i="1"/>
  <c r="X36" i="6" l="1"/>
  <c r="W35" i="6" l="1"/>
  <c r="V34" i="6"/>
  <c r="Y34" i="6"/>
  <c r="X34" i="6"/>
  <c r="X35" i="6"/>
  <c r="AD6" i="6" l="1"/>
  <c r="V36" i="6"/>
  <c r="Y36" i="6"/>
  <c r="W34" i="6"/>
  <c r="AA34" i="6" s="1"/>
  <c r="AB10" i="6"/>
  <c r="AB12" i="6"/>
  <c r="AB7" i="6"/>
  <c r="AB9" i="6"/>
  <c r="AB11" i="6"/>
  <c r="AB6" i="6"/>
  <c r="AB8" i="6"/>
  <c r="V35" i="6"/>
  <c r="Y35" i="6"/>
  <c r="Z35" i="6" s="1"/>
  <c r="AD8" i="6"/>
  <c r="AD12" i="6"/>
  <c r="AD10" i="6"/>
  <c r="AD9" i="6"/>
  <c r="AD7" i="6"/>
  <c r="AF11" i="6"/>
  <c r="AF7" i="6"/>
  <c r="W36" i="6"/>
  <c r="AF9" i="6"/>
  <c r="AF10" i="6"/>
  <c r="AF6" i="6"/>
  <c r="AF8" i="6"/>
  <c r="AD11" i="6"/>
  <c r="AB35" i="6" l="1"/>
  <c r="Z36" i="6"/>
  <c r="Z34" i="6"/>
  <c r="AC34" i="6" s="1"/>
  <c r="AB36" i="6"/>
  <c r="AB34" i="6"/>
  <c r="AA35" i="6"/>
  <c r="AC35" i="6" s="1"/>
  <c r="AJ36" i="6" s="1"/>
  <c r="AA36" i="6"/>
  <c r="AJ34" i="6" l="1"/>
  <c r="AL34" i="6"/>
  <c r="CV23" i="9" s="1"/>
  <c r="AO34" i="6"/>
  <c r="CX23" i="9" s="1"/>
  <c r="AC36" i="6"/>
  <c r="Q9" i="6" s="1" a="1"/>
  <c r="AD35" i="6"/>
  <c r="AF34" i="6"/>
  <c r="AD34" i="6"/>
  <c r="AJ37" i="6" l="1"/>
  <c r="AD36" i="6"/>
  <c r="Q9" i="6"/>
  <c r="R9" i="6"/>
  <c r="AJ35" i="6" l="1"/>
  <c r="Q10" i="6" l="1" a="1"/>
  <c r="Q10" i="6" s="1"/>
  <c r="R10" i="6" l="1"/>
  <c r="AO36" i="6" s="1"/>
  <c r="CZ23" i="9" s="1"/>
  <c r="W9" i="6" l="1"/>
  <c r="W10" i="6" s="1"/>
  <c r="D24" i="9" s="1"/>
  <c r="Y9" i="6" l="1"/>
  <c r="E24" i="9"/>
  <c r="C4" i="7" s="1"/>
  <c r="Y76" i="6" l="1"/>
  <c r="Y68" i="6"/>
  <c r="Y69" i="6" l="1"/>
  <c r="Y77" i="6"/>
  <c r="Y78" i="6" l="1"/>
  <c r="Y70" i="6"/>
  <c r="Y59" i="6" l="1"/>
  <c r="Y60" i="6" l="1"/>
  <c r="Y61" i="6" l="1"/>
  <c r="Y62" i="6"/>
  <c r="X54" i="6" l="1" a="1"/>
  <c r="X54" i="6" s="1"/>
  <c r="X52" i="6" a="1"/>
  <c r="Z52" i="6" s="1"/>
  <c r="X51" i="6" a="1"/>
  <c r="X51" i="6" s="1"/>
  <c r="X53" i="6" a="1"/>
  <c r="X53" i="6" s="1"/>
  <c r="Z54" i="6" l="1"/>
  <c r="Y54" i="6"/>
  <c r="Y53" i="6"/>
  <c r="Z53" i="6"/>
  <c r="Y52" i="6"/>
  <c r="X52" i="6"/>
  <c r="AE35" i="6" s="1"/>
  <c r="Y51" i="6"/>
  <c r="Z51" i="6"/>
  <c r="AE37" i="6" l="1"/>
  <c r="AE36" i="6"/>
  <c r="AE34" i="6"/>
  <c r="P13" i="6" l="1" a="1"/>
  <c r="P13" i="6" s="1"/>
  <c r="Q13" i="6" l="1"/>
  <c r="R13" i="6"/>
  <c r="R60" i="6" a="1"/>
  <c r="T60" i="6" s="1"/>
  <c r="R65" i="6" a="1"/>
  <c r="T65" i="6" s="1"/>
  <c r="R70" i="6" a="1"/>
  <c r="T70" i="6" s="1"/>
  <c r="R75" i="6" a="1"/>
  <c r="R75" i="6" s="1"/>
  <c r="W13" i="6" l="1"/>
  <c r="W14" i="6" s="1"/>
  <c r="F24" i="9" s="1"/>
  <c r="R70" i="6"/>
  <c r="S70" i="6"/>
  <c r="S65" i="6"/>
  <c r="R65" i="6"/>
  <c r="AG35" i="6" s="1"/>
  <c r="R60" i="6"/>
  <c r="S60" i="6"/>
  <c r="S75" i="6"/>
  <c r="T75" i="6"/>
  <c r="AG37" i="6" l="1"/>
  <c r="AG36" i="6"/>
  <c r="AG34" i="6"/>
  <c r="P6" i="6" l="1" a="1"/>
  <c r="Q6" i="6" s="1"/>
  <c r="P6" i="6" l="1"/>
  <c r="W6" i="6" s="1"/>
  <c r="H70" i="6" a="1"/>
  <c r="J70" i="6" s="1"/>
  <c r="AM44" i="6" l="1"/>
  <c r="W24" i="9" s="1"/>
  <c r="Y24" i="9"/>
  <c r="AK44" i="6"/>
  <c r="U24" i="9" s="1"/>
  <c r="AI44" i="6"/>
  <c r="S24" i="9" s="1"/>
  <c r="AH44" i="6"/>
  <c r="R24" i="9" s="1"/>
  <c r="AL44" i="6"/>
  <c r="V24" i="9" s="1"/>
  <c r="AJ44" i="6"/>
  <c r="T24" i="9" s="1"/>
  <c r="AG44" i="6"/>
  <c r="Q24" i="9" s="1"/>
  <c r="AF44" i="6"/>
  <c r="P24" i="9" s="1"/>
  <c r="H70" i="6"/>
  <c r="I70" i="6"/>
  <c r="AN44" i="6" l="1" a="1"/>
  <c r="AN44" i="6" s="1"/>
  <c r="X24" i="9" s="1"/>
  <c r="AO44" i="6" a="1"/>
  <c r="AO44" i="6" s="1"/>
  <c r="AP44" i="6" s="1"/>
  <c r="AF36" i="6"/>
  <c r="H65" i="8" l="1" a="1"/>
  <c r="H65" i="8" s="1"/>
  <c r="H75" i="8" a="1"/>
  <c r="H75" i="8" s="1"/>
  <c r="R75" i="8" a="1"/>
  <c r="R75" i="8" s="1"/>
  <c r="R70" i="8" a="1"/>
  <c r="R70" i="8" s="1"/>
  <c r="R65" i="8" a="1"/>
  <c r="S65" i="8" s="1"/>
  <c r="X54" i="8" a="1"/>
  <c r="Y54" i="8" s="1"/>
  <c r="X52" i="8" a="1"/>
  <c r="Y52" i="8" s="1"/>
  <c r="X53" i="8" a="1"/>
  <c r="Z53" i="8" s="1"/>
  <c r="J75" i="8" l="1"/>
  <c r="J65" i="8"/>
  <c r="I65" i="8"/>
  <c r="I75" i="8"/>
  <c r="X53" i="8"/>
  <c r="Y53" i="8"/>
  <c r="X52" i="8"/>
  <c r="R65" i="8"/>
  <c r="T75" i="8"/>
  <c r="Z54" i="8"/>
  <c r="Z52" i="8"/>
  <c r="T65" i="8"/>
  <c r="S75" i="8"/>
  <c r="X54" i="8"/>
  <c r="T70" i="8"/>
  <c r="S70" i="8"/>
  <c r="H70" i="8" l="1" a="1"/>
  <c r="H70" i="8" s="1"/>
  <c r="J70" i="8" l="1"/>
  <c r="I70" i="8"/>
  <c r="R60" i="8" l="1" a="1"/>
  <c r="T60" i="8" s="1"/>
  <c r="H75" i="6" a="1"/>
  <c r="J75" i="6" s="1"/>
  <c r="I75" i="6" l="1"/>
  <c r="H75" i="6"/>
  <c r="S60" i="8"/>
  <c r="R60" i="8"/>
  <c r="AF37" i="6" l="1"/>
  <c r="X51" i="8" l="1" a="1"/>
  <c r="Z51" i="8" s="1"/>
  <c r="H65" i="6" a="1"/>
  <c r="J65" i="6" s="1"/>
  <c r="H65" i="6" l="1"/>
  <c r="I65" i="6"/>
  <c r="X51" i="8"/>
  <c r="Y51" i="8"/>
  <c r="AF35" i="6" l="1"/>
  <c r="P5" i="6" s="1" a="1"/>
  <c r="Q5" i="6" l="1"/>
  <c r="P5" i="6"/>
  <c r="W5" i="6" l="1"/>
  <c r="AH43" i="6" l="1"/>
  <c r="AB24" i="9" s="1"/>
  <c r="AI24" i="9"/>
  <c r="AI43" i="6"/>
  <c r="AC24" i="9" s="1"/>
  <c r="AG43" i="6"/>
  <c r="AA24" i="9" s="1"/>
  <c r="AM43" i="6"/>
  <c r="AG24" i="9" s="1"/>
  <c r="AK43" i="6"/>
  <c r="AE24" i="9" s="1"/>
  <c r="AF43" i="6"/>
  <c r="Z24" i="9" s="1"/>
  <c r="AL43" i="6"/>
  <c r="AF24" i="9" s="1"/>
  <c r="AJ43" i="6"/>
  <c r="AD24" i="9" s="1"/>
  <c r="AN43" i="6" l="1" a="1"/>
  <c r="AN43" i="6" s="1"/>
  <c r="AH24" i="9" s="1"/>
  <c r="AO43" i="6" a="1"/>
  <c r="AO43" i="6" s="1"/>
  <c r="AP43" i="6" s="1"/>
  <c r="AB84" i="10" l="1" a="1"/>
  <c r="AB84" i="10" s="1"/>
  <c r="AC84" i="10" l="1"/>
  <c r="AD84" i="10"/>
  <c r="S5" i="10"/>
  <c r="AE35" i="10" l="1"/>
  <c r="AJ42" i="10"/>
  <c r="AL42" i="10"/>
  <c r="AM42" i="10"/>
  <c r="AN42" i="10"/>
  <c r="AO42" i="10"/>
  <c r="AH42" i="10"/>
  <c r="AI42" i="10"/>
  <c r="AK42" i="10"/>
  <c r="AA25" i="9" l="1"/>
  <c r="Z25" i="9"/>
  <c r="AG25" i="9"/>
  <c r="AF25" i="9"/>
  <c r="AE25" i="9"/>
  <c r="AD25" i="9"/>
  <c r="AB25" i="9"/>
  <c r="AC25" i="9"/>
  <c r="AQ42" i="10" a="1"/>
  <c r="AQ42" i="10" s="1"/>
  <c r="AI25" i="9" s="1"/>
  <c r="AP42" i="10" a="1"/>
  <c r="AP42" i="10" s="1"/>
  <c r="AB85" i="10" a="1"/>
  <c r="AD85" i="10" s="1"/>
  <c r="AH25" i="9" l="1"/>
  <c r="AC85" i="10"/>
  <c r="AB85" i="10"/>
  <c r="AB83" i="10" a="1"/>
  <c r="AB83" i="10" s="1"/>
  <c r="AE36" i="10" l="1"/>
  <c r="AD83" i="10"/>
  <c r="AC83" i="10"/>
  <c r="AE34" i="10" s="1"/>
  <c r="P6" i="10" l="1" a="1"/>
  <c r="P6" i="10" s="1"/>
  <c r="P9" i="10" a="1"/>
  <c r="Q9" i="10" s="1"/>
  <c r="P9" i="10" l="1"/>
  <c r="S9" i="10" s="1"/>
  <c r="W8" i="10" s="1"/>
  <c r="Q6" i="10"/>
  <c r="S6" i="10" s="1"/>
  <c r="W5" i="10" s="1"/>
  <c r="AR42" i="10" s="1"/>
  <c r="AN43" i="10" l="1"/>
  <c r="AK43" i="10"/>
  <c r="AL43" i="10"/>
  <c r="AM43" i="10"/>
  <c r="AI43" i="10"/>
  <c r="AO43" i="10"/>
  <c r="AH43" i="10"/>
  <c r="P25" i="9" s="1"/>
  <c r="AJ43" i="10"/>
  <c r="R25" i="9" l="1"/>
  <c r="W25" i="9"/>
  <c r="Q25" i="9"/>
  <c r="U25" i="9"/>
  <c r="T25" i="9"/>
  <c r="S25" i="9"/>
  <c r="V25" i="9"/>
  <c r="AP43" i="10" a="1"/>
  <c r="AP43" i="10" s="1"/>
  <c r="AQ43" i="10" a="1"/>
  <c r="AQ43" i="10" s="1"/>
  <c r="R60" i="14" a="1"/>
  <c r="S60" i="14" s="1"/>
  <c r="R65" i="14" a="1"/>
  <c r="R65" i="14" s="1"/>
  <c r="AB83" i="14" a="1"/>
  <c r="AB83" i="14" s="1"/>
  <c r="AB84" i="14" a="1"/>
  <c r="AC84" i="14" s="1"/>
  <c r="AB85" i="14" a="1"/>
  <c r="AC85" i="14" s="1"/>
  <c r="AB86" i="14" a="1"/>
  <c r="AB86" i="14" s="1"/>
  <c r="AR43" i="10" l="1"/>
  <c r="Y25" i="9"/>
  <c r="X25" i="9"/>
  <c r="T65" i="14"/>
  <c r="S65" i="14"/>
  <c r="R60" i="14"/>
  <c r="T60" i="14"/>
  <c r="AD86" i="14"/>
  <c r="AC86" i="14"/>
  <c r="AB85" i="14"/>
  <c r="AD85" i="14"/>
  <c r="AD84" i="14"/>
  <c r="AB84" i="14"/>
  <c r="AC83" i="14"/>
  <c r="AD83" i="14"/>
  <c r="H60" i="14" l="1" a="1"/>
  <c r="H60" i="14" s="1"/>
  <c r="I60" i="14" l="1"/>
  <c r="J60" i="14"/>
  <c r="R70" i="14" l="1" a="1"/>
  <c r="R70" i="14" s="1"/>
  <c r="T70" i="14" l="1"/>
  <c r="S70" i="14"/>
  <c r="R75" i="14" l="1" a="1"/>
  <c r="T75" i="14" s="1"/>
  <c r="S75" i="14" l="1"/>
  <c r="R75" i="14"/>
  <c r="AB86" i="10" l="1" a="1"/>
  <c r="AB86" i="10" s="1"/>
  <c r="AD86" i="10" l="1"/>
  <c r="AC86" i="10"/>
  <c r="AE37" i="10" l="1"/>
  <c r="P18" i="10" s="1" a="1"/>
  <c r="Q18" i="10" s="1"/>
  <c r="P18" i="10" l="1"/>
  <c r="R18" i="10"/>
  <c r="W16" i="10" l="1"/>
  <c r="W17" i="10" l="1"/>
  <c r="F25" i="9"/>
  <c r="H65" i="14" a="1"/>
  <c r="J65" i="14" s="1"/>
  <c r="H65" i="14" l="1"/>
  <c r="I65" i="14"/>
  <c r="M5" i="15" l="1"/>
  <c r="BQ35" i="9" s="1"/>
  <c r="BQ37" i="9" l="1"/>
  <c r="I71" i="2" s="1"/>
  <c r="S5" i="15"/>
  <c r="T5" i="15" s="1"/>
  <c r="BR35" i="9" s="1"/>
  <c r="BR37" i="9" l="1"/>
  <c r="I73" i="2" s="1"/>
  <c r="K68" i="2" l="1"/>
  <c r="K70" i="2"/>
  <c r="K67" i="2"/>
  <c r="K73" i="2"/>
  <c r="K71" i="2"/>
  <c r="K69" i="2"/>
  <c r="K72" i="2"/>
  <c r="K74" i="2"/>
  <c r="J3" i="8" l="1"/>
  <c r="W21" i="8" s="1"/>
  <c r="J3" i="14"/>
  <c r="T11" i="2"/>
  <c r="S9" i="2" s="1" a="1"/>
  <c r="S9" i="2" s="1"/>
  <c r="U29" i="1"/>
  <c r="C7" i="35" l="1"/>
  <c r="T13" i="2"/>
  <c r="U29" i="8"/>
  <c r="Y35" i="8" s="1"/>
  <c r="C21" i="20"/>
  <c r="C22" i="20" s="1"/>
  <c r="F25" i="20" s="1"/>
  <c r="Y36" i="1"/>
  <c r="Y37" i="1"/>
  <c r="Y35" i="1"/>
  <c r="Y34" i="1"/>
  <c r="T19" i="2"/>
  <c r="U29" i="14"/>
  <c r="W21" i="6"/>
  <c r="W23" i="10"/>
  <c r="W21" i="3"/>
  <c r="C18" i="35" l="1"/>
  <c r="T23" i="2"/>
  <c r="C10" i="35" s="1"/>
  <c r="C8" i="35"/>
  <c r="C17" i="35"/>
  <c r="Y7" i="35"/>
  <c r="Y45" i="35"/>
  <c r="Y34" i="35"/>
  <c r="Y25" i="35"/>
  <c r="Y39" i="35"/>
  <c r="Y29" i="35"/>
  <c r="Y48" i="35"/>
  <c r="Y46" i="35"/>
  <c r="Y33" i="35"/>
  <c r="Y17" i="35"/>
  <c r="Y11" i="35"/>
  <c r="Y30" i="35"/>
  <c r="Y6" i="35"/>
  <c r="Y32" i="35"/>
  <c r="Y8" i="35"/>
  <c r="Y38" i="35"/>
  <c r="Y9" i="35"/>
  <c r="Y50" i="35"/>
  <c r="Y47" i="35"/>
  <c r="Y24" i="35"/>
  <c r="Y36" i="35"/>
  <c r="Y15" i="35"/>
  <c r="Y23" i="35"/>
  <c r="Y13" i="35"/>
  <c r="Y22" i="35"/>
  <c r="Y12" i="35"/>
  <c r="Y21" i="35"/>
  <c r="Y20" i="35"/>
  <c r="Y37" i="35"/>
  <c r="Y35" i="35"/>
  <c r="Y19" i="35"/>
  <c r="Y43" i="35"/>
  <c r="Y49" i="35"/>
  <c r="Y18" i="35"/>
  <c r="Y14" i="35"/>
  <c r="Y28" i="35"/>
  <c r="Y40" i="35"/>
  <c r="Y16" i="35"/>
  <c r="Y31" i="35"/>
  <c r="Y26" i="35"/>
  <c r="Y41" i="35"/>
  <c r="Y44" i="35"/>
  <c r="Y10" i="35"/>
  <c r="Y27" i="35"/>
  <c r="Y42" i="35"/>
  <c r="Y36" i="8"/>
  <c r="AA36" i="8" s="1"/>
  <c r="Y34" i="8"/>
  <c r="Z34" i="8" s="1"/>
  <c r="Y37" i="8"/>
  <c r="AA37" i="8" s="1"/>
  <c r="Y37" i="14"/>
  <c r="Y35" i="14"/>
  <c r="Y36" i="14"/>
  <c r="Y34" i="14"/>
  <c r="AA37" i="1"/>
  <c r="Z37" i="1"/>
  <c r="AA34" i="1"/>
  <c r="Z34" i="1"/>
  <c r="AA35" i="1"/>
  <c r="Z35" i="1"/>
  <c r="AA36" i="1"/>
  <c r="Z36" i="1"/>
  <c r="AA35" i="8"/>
  <c r="Z35" i="8"/>
  <c r="P34" i="35" l="1"/>
  <c r="P50" i="35"/>
  <c r="P46" i="35"/>
  <c r="P14" i="35"/>
  <c r="P31" i="35"/>
  <c r="P35" i="35"/>
  <c r="P38" i="35"/>
  <c r="P39" i="35"/>
  <c r="P11" i="35"/>
  <c r="P21" i="35"/>
  <c r="P22" i="35"/>
  <c r="P30" i="35"/>
  <c r="P48" i="35"/>
  <c r="P41" i="35"/>
  <c r="P44" i="35"/>
  <c r="P45" i="35"/>
  <c r="P29" i="35"/>
  <c r="P33" i="35"/>
  <c r="P32" i="35"/>
  <c r="P24" i="35"/>
  <c r="P42" i="35"/>
  <c r="P18" i="35"/>
  <c r="P3" i="35"/>
  <c r="P10" i="35"/>
  <c r="P36" i="35"/>
  <c r="P28" i="35"/>
  <c r="P26" i="35"/>
  <c r="P19" i="35"/>
  <c r="P49" i="35"/>
  <c r="P15" i="35"/>
  <c r="P23" i="35"/>
  <c r="P20" i="35"/>
  <c r="P8" i="35"/>
  <c r="P16" i="35"/>
  <c r="P37" i="35"/>
  <c r="P12" i="35"/>
  <c r="P47" i="35"/>
  <c r="P7" i="35"/>
  <c r="P27" i="35"/>
  <c r="P13" i="35"/>
  <c r="P25" i="35"/>
  <c r="P9" i="35"/>
  <c r="P40" i="35"/>
  <c r="P6" i="35"/>
  <c r="P17" i="35"/>
  <c r="P43" i="35"/>
  <c r="Y51" i="35"/>
  <c r="S25" i="35"/>
  <c r="S21" i="35"/>
  <c r="S32" i="35"/>
  <c r="S48" i="35"/>
  <c r="S38" i="35"/>
  <c r="S41" i="35"/>
  <c r="S49" i="35"/>
  <c r="S36" i="35"/>
  <c r="S34" i="35"/>
  <c r="S14" i="35"/>
  <c r="S22" i="35"/>
  <c r="S37" i="35"/>
  <c r="S29" i="35"/>
  <c r="S42" i="35"/>
  <c r="S39" i="35"/>
  <c r="S24" i="35"/>
  <c r="S30" i="35"/>
  <c r="S19" i="35"/>
  <c r="S47" i="35"/>
  <c r="S28" i="35"/>
  <c r="S23" i="35"/>
  <c r="S8" i="35"/>
  <c r="S18" i="35"/>
  <c r="S9" i="35"/>
  <c r="S33" i="35"/>
  <c r="S11" i="35"/>
  <c r="S6" i="35"/>
  <c r="S16" i="35"/>
  <c r="S35" i="35"/>
  <c r="S43" i="35"/>
  <c r="S12" i="35"/>
  <c r="S13" i="35"/>
  <c r="S40" i="35"/>
  <c r="S50" i="35"/>
  <c r="S26" i="35"/>
  <c r="S17" i="35"/>
  <c r="S15" i="35"/>
  <c r="S10" i="35"/>
  <c r="S7" i="35"/>
  <c r="S31" i="35"/>
  <c r="S27" i="35"/>
  <c r="S46" i="35"/>
  <c r="S20" i="35"/>
  <c r="S45" i="35"/>
  <c r="J44" i="35"/>
  <c r="R44" i="35" s="1"/>
  <c r="S44" i="35"/>
  <c r="J16" i="35"/>
  <c r="R16" i="35" s="1"/>
  <c r="J25" i="35"/>
  <c r="R25" i="35" s="1"/>
  <c r="J36" i="35"/>
  <c r="R36" i="35" s="1"/>
  <c r="J27" i="35"/>
  <c r="J46" i="35"/>
  <c r="J49" i="35"/>
  <c r="R49" i="35" s="1"/>
  <c r="J48" i="35"/>
  <c r="R48" i="35" s="1"/>
  <c r="J38" i="35"/>
  <c r="R38" i="35" s="1"/>
  <c r="J33" i="35"/>
  <c r="R33" i="35" s="1"/>
  <c r="J19" i="35"/>
  <c r="J50" i="35"/>
  <c r="R50" i="35" s="1"/>
  <c r="J35" i="35"/>
  <c r="R35" i="35" s="1"/>
  <c r="J45" i="35"/>
  <c r="R45" i="35" s="1"/>
  <c r="J37" i="35"/>
  <c r="R37" i="35" s="1"/>
  <c r="J17" i="35"/>
  <c r="R17" i="35" s="1"/>
  <c r="J29" i="35"/>
  <c r="J30" i="35"/>
  <c r="R30" i="35" s="1"/>
  <c r="J43" i="35"/>
  <c r="J21" i="35"/>
  <c r="R21" i="35" s="1"/>
  <c r="J26" i="35"/>
  <c r="J10" i="35"/>
  <c r="R10" i="35" s="1"/>
  <c r="J13" i="35"/>
  <c r="J41" i="35"/>
  <c r="R41" i="35" s="1"/>
  <c r="J23" i="35"/>
  <c r="R23" i="35" s="1"/>
  <c r="J18" i="35"/>
  <c r="R18" i="35" s="1"/>
  <c r="J12" i="35"/>
  <c r="R12" i="35" s="1"/>
  <c r="J42" i="35"/>
  <c r="J11" i="35"/>
  <c r="R11" i="35" s="1"/>
  <c r="J28" i="35"/>
  <c r="R28" i="35" s="1"/>
  <c r="J32" i="35"/>
  <c r="J24" i="35"/>
  <c r="R24" i="35" s="1"/>
  <c r="J7" i="35"/>
  <c r="R7" i="35" s="1"/>
  <c r="J22" i="35"/>
  <c r="R22" i="35" s="1"/>
  <c r="J40" i="35"/>
  <c r="J8" i="35"/>
  <c r="R8" i="35" s="1"/>
  <c r="J14" i="35"/>
  <c r="R14" i="35" s="1"/>
  <c r="J20" i="35"/>
  <c r="J31" i="35"/>
  <c r="R31" i="35" s="1"/>
  <c r="J47" i="35"/>
  <c r="R47" i="35" s="1"/>
  <c r="J15" i="35"/>
  <c r="R15" i="35" s="1"/>
  <c r="J6" i="35"/>
  <c r="J9" i="35"/>
  <c r="R9" i="35" s="1"/>
  <c r="J39" i="35"/>
  <c r="R39" i="35" s="1"/>
  <c r="J34" i="35"/>
  <c r="R34" i="35" s="1"/>
  <c r="J3" i="35"/>
  <c r="R3" i="35" s="1"/>
  <c r="AA34" i="8"/>
  <c r="AC34" i="8" s="1"/>
  <c r="Z36" i="8"/>
  <c r="AC36" i="8" s="1"/>
  <c r="AD36" i="8" s="1"/>
  <c r="Z37" i="8"/>
  <c r="AC37" i="8" s="1"/>
  <c r="AF37" i="8" s="1"/>
  <c r="AC35" i="8"/>
  <c r="AJ36" i="8" s="1"/>
  <c r="AC34" i="1"/>
  <c r="AC37" i="1"/>
  <c r="AF37" i="1" s="1"/>
  <c r="AC35" i="1"/>
  <c r="AC36" i="1"/>
  <c r="Z34" i="14"/>
  <c r="AA34" i="14"/>
  <c r="AA36" i="14"/>
  <c r="Z36" i="14"/>
  <c r="AA35" i="14"/>
  <c r="Z35" i="14"/>
  <c r="Z37" i="14"/>
  <c r="AA37" i="14"/>
  <c r="T33" i="2" l="1"/>
  <c r="AG6" i="35"/>
  <c r="AL34" i="8"/>
  <c r="CW23" i="9" s="1"/>
  <c r="AO34" i="8"/>
  <c r="CY23" i="9" s="1"/>
  <c r="AD35" i="1"/>
  <c r="AD34" i="1"/>
  <c r="AI34" i="1"/>
  <c r="CW22" i="9" s="1"/>
  <c r="O22" i="35"/>
  <c r="T22" i="35"/>
  <c r="L22" i="35" s="1"/>
  <c r="Q31" i="35"/>
  <c r="K31" i="35" s="1"/>
  <c r="I31" i="35" s="1"/>
  <c r="N31" i="35"/>
  <c r="Q12" i="35"/>
  <c r="K12" i="35" s="1"/>
  <c r="I12" i="35" s="1"/>
  <c r="N12" i="35"/>
  <c r="Q37" i="35"/>
  <c r="K37" i="35" s="1"/>
  <c r="I37" i="35" s="1"/>
  <c r="N37" i="35"/>
  <c r="N25" i="35"/>
  <c r="Q25" i="35"/>
  <c r="K25" i="35" s="1"/>
  <c r="I25" i="35" s="1"/>
  <c r="T17" i="35"/>
  <c r="L17" i="35" s="1"/>
  <c r="O17" i="35"/>
  <c r="O9" i="35"/>
  <c r="T9" i="35"/>
  <c r="L9" i="35" s="1"/>
  <c r="T37" i="35"/>
  <c r="L37" i="35" s="1"/>
  <c r="O37" i="35"/>
  <c r="O18" i="35"/>
  <c r="T18" i="35"/>
  <c r="L18" i="35" s="1"/>
  <c r="Q41" i="35"/>
  <c r="K41" i="35" s="1"/>
  <c r="I41" i="35" s="1"/>
  <c r="N41" i="35"/>
  <c r="N50" i="35"/>
  <c r="Q50" i="35"/>
  <c r="K50" i="35" s="1"/>
  <c r="I50" i="35" s="1"/>
  <c r="Q44" i="35"/>
  <c r="K44" i="35" s="1"/>
  <c r="I44" i="35" s="1"/>
  <c r="N44" i="35"/>
  <c r="T40" i="35"/>
  <c r="L40" i="35" s="1"/>
  <c r="O40" i="35"/>
  <c r="O23" i="35"/>
  <c r="T23" i="35"/>
  <c r="L23" i="35" s="1"/>
  <c r="O34" i="35"/>
  <c r="T34" i="35"/>
  <c r="L34" i="35" s="1"/>
  <c r="Q35" i="35"/>
  <c r="K35" i="35" s="1"/>
  <c r="I35" i="35" s="1"/>
  <c r="N35" i="35"/>
  <c r="R40" i="35"/>
  <c r="R13" i="35"/>
  <c r="R19" i="35"/>
  <c r="O45" i="35"/>
  <c r="T45" i="35"/>
  <c r="L45" i="35" s="1"/>
  <c r="T13" i="35"/>
  <c r="L13" i="35" s="1"/>
  <c r="O13" i="35"/>
  <c r="O28" i="35"/>
  <c r="T28" i="35"/>
  <c r="L28" i="35" s="1"/>
  <c r="O36" i="35"/>
  <c r="T36" i="35"/>
  <c r="L36" i="35" s="1"/>
  <c r="N18" i="35"/>
  <c r="Q18" i="35"/>
  <c r="K18" i="35" s="1"/>
  <c r="I18" i="35" s="1"/>
  <c r="T14" i="35"/>
  <c r="L14" i="35" s="1"/>
  <c r="O14" i="35"/>
  <c r="N3" i="35"/>
  <c r="Q3" i="35"/>
  <c r="K3" i="35" s="1"/>
  <c r="I3" i="35" s="1"/>
  <c r="N22" i="35"/>
  <c r="Q22" i="35"/>
  <c r="K22" i="35" s="1"/>
  <c r="I22" i="35" s="1"/>
  <c r="N10" i="35"/>
  <c r="Q10" i="35"/>
  <c r="K10" i="35" s="1"/>
  <c r="I10" i="35" s="1"/>
  <c r="N33" i="35"/>
  <c r="Q33" i="35"/>
  <c r="K33" i="35" s="1"/>
  <c r="I33" i="35" s="1"/>
  <c r="T20" i="35"/>
  <c r="L20" i="35" s="1"/>
  <c r="O20" i="35"/>
  <c r="T12" i="35"/>
  <c r="L12" i="35" s="1"/>
  <c r="O12" i="35"/>
  <c r="T47" i="35"/>
  <c r="L47" i="35" s="1"/>
  <c r="O47" i="35"/>
  <c r="T49" i="35"/>
  <c r="L49" i="35" s="1"/>
  <c r="O49" i="35"/>
  <c r="O26" i="35"/>
  <c r="T26" i="35"/>
  <c r="L26" i="35" s="1"/>
  <c r="O8" i="35"/>
  <c r="T8" i="35"/>
  <c r="L8" i="35" s="1"/>
  <c r="N34" i="35"/>
  <c r="Q34" i="35"/>
  <c r="K34" i="35" s="1"/>
  <c r="I34" i="35" s="1"/>
  <c r="Q7" i="35"/>
  <c r="K7" i="35" s="1"/>
  <c r="I7" i="35" s="1"/>
  <c r="N7" i="35"/>
  <c r="R26" i="35"/>
  <c r="Q38" i="35"/>
  <c r="K38" i="35" s="1"/>
  <c r="I38" i="35" s="1"/>
  <c r="N38" i="35"/>
  <c r="T46" i="35"/>
  <c r="L46" i="35" s="1"/>
  <c r="O46" i="35"/>
  <c r="O43" i="35"/>
  <c r="T43" i="35"/>
  <c r="L43" i="35" s="1"/>
  <c r="T19" i="35"/>
  <c r="L19" i="35" s="1"/>
  <c r="O19" i="35"/>
  <c r="O41" i="35"/>
  <c r="T41" i="35"/>
  <c r="L41" i="35" s="1"/>
  <c r="Q45" i="35"/>
  <c r="K45" i="35" s="1"/>
  <c r="I45" i="35" s="1"/>
  <c r="N45" i="35"/>
  <c r="Q14" i="35"/>
  <c r="K14" i="35" s="1"/>
  <c r="I14" i="35" s="1"/>
  <c r="N14" i="35"/>
  <c r="N39" i="35"/>
  <c r="Q39" i="35"/>
  <c r="K39" i="35" s="1"/>
  <c r="I39" i="35" s="1"/>
  <c r="N24" i="35"/>
  <c r="Q24" i="35"/>
  <c r="K24" i="35" s="1"/>
  <c r="I24" i="35" s="1"/>
  <c r="Q21" i="35"/>
  <c r="K21" i="35" s="1"/>
  <c r="I21" i="35" s="1"/>
  <c r="N21" i="35"/>
  <c r="Q48" i="35"/>
  <c r="K48" i="35" s="1"/>
  <c r="I48" i="35" s="1"/>
  <c r="N48" i="35"/>
  <c r="T27" i="35"/>
  <c r="L27" i="35" s="1"/>
  <c r="O27" i="35"/>
  <c r="T35" i="35"/>
  <c r="L35" i="35" s="1"/>
  <c r="O35" i="35"/>
  <c r="T30" i="35"/>
  <c r="L30" i="35" s="1"/>
  <c r="O30" i="35"/>
  <c r="O38" i="35"/>
  <c r="T38" i="35"/>
  <c r="L38" i="35" s="1"/>
  <c r="R20" i="35"/>
  <c r="T44" i="35"/>
  <c r="L44" i="35" s="1"/>
  <c r="O44" i="35"/>
  <c r="N9" i="35"/>
  <c r="Q9" i="35"/>
  <c r="K9" i="35" s="1"/>
  <c r="I9" i="35" s="1"/>
  <c r="R32" i="35"/>
  <c r="R43" i="35"/>
  <c r="Q49" i="35"/>
  <c r="K49" i="35" s="1"/>
  <c r="I49" i="35" s="1"/>
  <c r="N49" i="35"/>
  <c r="T31" i="35"/>
  <c r="L31" i="35" s="1"/>
  <c r="O31" i="35"/>
  <c r="T16" i="35"/>
  <c r="L16" i="35" s="1"/>
  <c r="O16" i="35"/>
  <c r="T24" i="35"/>
  <c r="L24" i="35" s="1"/>
  <c r="O24" i="35"/>
  <c r="O48" i="35"/>
  <c r="T48" i="35"/>
  <c r="L48" i="35" s="1"/>
  <c r="O50" i="35"/>
  <c r="T50" i="35"/>
  <c r="L50" i="35" s="1"/>
  <c r="R6" i="35"/>
  <c r="W6" i="35"/>
  <c r="Q28" i="35"/>
  <c r="K28" i="35" s="1"/>
  <c r="I28" i="35" s="1"/>
  <c r="N28" i="35"/>
  <c r="Q30" i="35"/>
  <c r="K30" i="35" s="1"/>
  <c r="I30" i="35" s="1"/>
  <c r="N30" i="35"/>
  <c r="R46" i="35"/>
  <c r="O7" i="35"/>
  <c r="T7" i="35"/>
  <c r="L7" i="35" s="1"/>
  <c r="O6" i="35"/>
  <c r="T6" i="35"/>
  <c r="L6" i="35" s="1"/>
  <c r="T39" i="35"/>
  <c r="L39" i="35" s="1"/>
  <c r="O39" i="35"/>
  <c r="T32" i="35"/>
  <c r="L32" i="35" s="1"/>
  <c r="O32" i="35"/>
  <c r="Q16" i="35"/>
  <c r="K16" i="35" s="1"/>
  <c r="I16" i="35" s="1"/>
  <c r="N16" i="35"/>
  <c r="N15" i="35"/>
  <c r="Q15" i="35"/>
  <c r="K15" i="35" s="1"/>
  <c r="I15" i="35" s="1"/>
  <c r="N11" i="35"/>
  <c r="Q11" i="35"/>
  <c r="K11" i="35" s="1"/>
  <c r="I11" i="35" s="1"/>
  <c r="R29" i="35"/>
  <c r="R27" i="35"/>
  <c r="T10" i="35"/>
  <c r="L10" i="35" s="1"/>
  <c r="O10" i="35"/>
  <c r="O11" i="35"/>
  <c r="T11" i="35"/>
  <c r="L11" i="35" s="1"/>
  <c r="T42" i="35"/>
  <c r="L42" i="35" s="1"/>
  <c r="O42" i="35"/>
  <c r="O21" i="35"/>
  <c r="T21" i="35"/>
  <c r="L21" i="35" s="1"/>
  <c r="N23" i="35"/>
  <c r="Q23" i="35"/>
  <c r="K23" i="35" s="1"/>
  <c r="I23" i="35" s="1"/>
  <c r="N8" i="35"/>
  <c r="Q8" i="35"/>
  <c r="K8" i="35" s="1"/>
  <c r="I8" i="35" s="1"/>
  <c r="Q47" i="35"/>
  <c r="K47" i="35" s="1"/>
  <c r="I47" i="35" s="1"/>
  <c r="N47" i="35"/>
  <c r="R42" i="35"/>
  <c r="N17" i="35"/>
  <c r="Q17" i="35"/>
  <c r="K17" i="35" s="1"/>
  <c r="I17" i="35" s="1"/>
  <c r="N36" i="35"/>
  <c r="Q36" i="35"/>
  <c r="K36" i="35" s="1"/>
  <c r="I36" i="35" s="1"/>
  <c r="O15" i="35"/>
  <c r="T15" i="35"/>
  <c r="L15" i="35" s="1"/>
  <c r="O33" i="35"/>
  <c r="T33" i="35"/>
  <c r="L33" i="35" s="1"/>
  <c r="T29" i="35"/>
  <c r="L29" i="35" s="1"/>
  <c r="O29" i="35"/>
  <c r="T25" i="35"/>
  <c r="L25" i="35" s="1"/>
  <c r="O25" i="35"/>
  <c r="AE35" i="8"/>
  <c r="AG35" i="8"/>
  <c r="AF35" i="8"/>
  <c r="AE37" i="1"/>
  <c r="AD35" i="8"/>
  <c r="AJ37" i="8"/>
  <c r="AD37" i="1"/>
  <c r="AE37" i="8"/>
  <c r="AG37" i="8"/>
  <c r="AF36" i="8"/>
  <c r="AE36" i="8"/>
  <c r="AG36" i="8"/>
  <c r="Q9" i="8" a="1"/>
  <c r="Q9" i="8" s="1"/>
  <c r="AD37" i="8"/>
  <c r="AG37" i="1"/>
  <c r="AF34" i="1"/>
  <c r="AG34" i="1"/>
  <c r="Q10" i="1" a="1"/>
  <c r="Q10" i="1" s="1"/>
  <c r="AJ38" i="8"/>
  <c r="AE34" i="1"/>
  <c r="Q9" i="1" a="1"/>
  <c r="Q9" i="1" s="1"/>
  <c r="AC34" i="14"/>
  <c r="AC36" i="14"/>
  <c r="AJ37" i="14" s="1"/>
  <c r="AE35" i="1"/>
  <c r="AG35" i="1"/>
  <c r="AF35" i="1"/>
  <c r="AC35" i="14"/>
  <c r="AC37" i="14"/>
  <c r="AF34" i="8"/>
  <c r="AG34" i="8"/>
  <c r="AD34" i="8"/>
  <c r="AE34" i="8"/>
  <c r="AJ34" i="8"/>
  <c r="AD36" i="1"/>
  <c r="AG36" i="1"/>
  <c r="AF36" i="1"/>
  <c r="AE36" i="1"/>
  <c r="L56" i="35" l="1" a="1"/>
  <c r="L56" i="35" s="1"/>
  <c r="C20" i="35"/>
  <c r="AS34" i="14"/>
  <c r="AG34" i="14"/>
  <c r="AL34" i="14"/>
  <c r="CW24" i="9" s="1"/>
  <c r="CW35" i="9" s="1" a="1"/>
  <c r="CW35" i="9" s="1"/>
  <c r="AO34" i="14"/>
  <c r="CY24" i="9" s="1"/>
  <c r="Z25" i="2"/>
  <c r="V21" i="35"/>
  <c r="AB25" i="2" s="1"/>
  <c r="Z22" i="2"/>
  <c r="V18" i="35"/>
  <c r="AB22" i="2" s="1"/>
  <c r="Y28" i="2"/>
  <c r="W24" i="35"/>
  <c r="AC28" i="2" s="1"/>
  <c r="Z24" i="35"/>
  <c r="Y37" i="2"/>
  <c r="W33" i="35"/>
  <c r="AC37" i="2" s="1"/>
  <c r="Z33" i="35"/>
  <c r="Y54" i="2"/>
  <c r="W50" i="35"/>
  <c r="AC54" i="2" s="1"/>
  <c r="Z50" i="35"/>
  <c r="Y29" i="2"/>
  <c r="Z25" i="35"/>
  <c r="W25" i="35"/>
  <c r="AC29" i="2" s="1"/>
  <c r="Y27" i="2"/>
  <c r="W23" i="35"/>
  <c r="AC27" i="2" s="1"/>
  <c r="Z23" i="35"/>
  <c r="N6" i="35"/>
  <c r="Q6" i="35"/>
  <c r="K6" i="35" s="1"/>
  <c r="I6" i="35" s="1"/>
  <c r="Y53" i="2"/>
  <c r="W49" i="35"/>
  <c r="AC53" i="2" s="1"/>
  <c r="Z49" i="35"/>
  <c r="Z28" i="2"/>
  <c r="V24" i="35"/>
  <c r="AB28" i="2" s="1"/>
  <c r="Z37" i="2"/>
  <c r="V33" i="35"/>
  <c r="AB37" i="2" s="1"/>
  <c r="N40" i="35"/>
  <c r="Q40" i="35"/>
  <c r="K40" i="35" s="1"/>
  <c r="I40" i="35" s="1"/>
  <c r="Z54" i="2"/>
  <c r="V50" i="35"/>
  <c r="AB54" i="2" s="1"/>
  <c r="Z29" i="2"/>
  <c r="V25" i="35"/>
  <c r="AB29" i="2" s="1"/>
  <c r="Y22" i="2"/>
  <c r="Z18" i="35"/>
  <c r="W18" i="35"/>
  <c r="AC22" i="2" s="1"/>
  <c r="Y25" i="2"/>
  <c r="W21" i="35"/>
  <c r="AC25" i="2" s="1"/>
  <c r="Z21" i="35"/>
  <c r="Q27" i="35"/>
  <c r="K27" i="35" s="1"/>
  <c r="I27" i="35" s="1"/>
  <c r="N27" i="35"/>
  <c r="Z27" i="2"/>
  <c r="V23" i="35"/>
  <c r="AB27" i="2" s="1"/>
  <c r="Q29" i="35"/>
  <c r="K29" i="35" s="1"/>
  <c r="I29" i="35" s="1"/>
  <c r="N29" i="35"/>
  <c r="Y43" i="2"/>
  <c r="W39" i="35"/>
  <c r="AC43" i="2" s="1"/>
  <c r="Z39" i="35"/>
  <c r="Y14" i="2"/>
  <c r="Z10" i="35"/>
  <c r="W10" i="35"/>
  <c r="AC14" i="2" s="1"/>
  <c r="Z39" i="2"/>
  <c r="V35" i="35"/>
  <c r="AB39" i="2" s="1"/>
  <c r="Z45" i="2"/>
  <c r="V41" i="35"/>
  <c r="AB45" i="2" s="1"/>
  <c r="Z41" i="2"/>
  <c r="V37" i="35"/>
  <c r="AB41" i="2" s="1"/>
  <c r="Z48" i="2"/>
  <c r="V44" i="35"/>
  <c r="AB48" i="2" s="1"/>
  <c r="Q20" i="35"/>
  <c r="K20" i="35" s="1"/>
  <c r="I20" i="35" s="1"/>
  <c r="N20" i="35"/>
  <c r="N13" i="35"/>
  <c r="Q13" i="35"/>
  <c r="K13" i="35" s="1"/>
  <c r="I13" i="35" s="1"/>
  <c r="Z53" i="2"/>
  <c r="V49" i="35"/>
  <c r="AB53" i="2" s="1"/>
  <c r="Y40" i="2"/>
  <c r="Z36" i="35"/>
  <c r="W36" i="35"/>
  <c r="AC40" i="2" s="1"/>
  <c r="Y15" i="2"/>
  <c r="W11" i="35"/>
  <c r="AC15" i="2" s="1"/>
  <c r="Z11" i="35"/>
  <c r="Q43" i="35"/>
  <c r="K43" i="35" s="1"/>
  <c r="I43" i="35" s="1"/>
  <c r="N43" i="35"/>
  <c r="Z43" i="2"/>
  <c r="V39" i="35"/>
  <c r="AB43" i="2" s="1"/>
  <c r="Z14" i="2"/>
  <c r="V10" i="35"/>
  <c r="AB14" i="2" s="1"/>
  <c r="Y39" i="2"/>
  <c r="Z35" i="35"/>
  <c r="W35" i="35"/>
  <c r="AC39" i="2" s="1"/>
  <c r="Y45" i="2"/>
  <c r="W41" i="35"/>
  <c r="AC45" i="2" s="1"/>
  <c r="Z41" i="35"/>
  <c r="Y41" i="2"/>
  <c r="W37" i="35"/>
  <c r="AC41" i="2" s="1"/>
  <c r="Z37" i="35"/>
  <c r="Y51" i="2"/>
  <c r="Z47" i="35"/>
  <c r="W47" i="35"/>
  <c r="AC51" i="2" s="1"/>
  <c r="Z38" i="2"/>
  <c r="V34" i="35"/>
  <c r="AB38" i="2" s="1"/>
  <c r="Z40" i="2"/>
  <c r="V36" i="35"/>
  <c r="AB40" i="2" s="1"/>
  <c r="Z15" i="2"/>
  <c r="V11" i="35"/>
  <c r="AB15" i="2" s="1"/>
  <c r="Z18" i="2"/>
  <c r="V14" i="35"/>
  <c r="AB18" i="2" s="1"/>
  <c r="Z42" i="2"/>
  <c r="V38" i="35"/>
  <c r="AB42" i="2" s="1"/>
  <c r="Y26" i="2"/>
  <c r="W22" i="35"/>
  <c r="AC26" i="2" s="1"/>
  <c r="Z22" i="35"/>
  <c r="Z16" i="2"/>
  <c r="V12" i="35"/>
  <c r="AB16" i="2" s="1"/>
  <c r="Y32" i="2"/>
  <c r="W28" i="35"/>
  <c r="AC32" i="2" s="1"/>
  <c r="Z28" i="35"/>
  <c r="Y12" i="2"/>
  <c r="Z8" i="35"/>
  <c r="W8" i="35"/>
  <c r="AC12" i="2" s="1"/>
  <c r="Y21" i="2"/>
  <c r="Z17" i="35"/>
  <c r="W17" i="35"/>
  <c r="AC21" i="2" s="1"/>
  <c r="Y19" i="2"/>
  <c r="W15" i="35"/>
  <c r="AC19" i="2" s="1"/>
  <c r="Z15" i="35"/>
  <c r="Q32" i="35"/>
  <c r="K32" i="35" s="1"/>
  <c r="I32" i="35" s="1"/>
  <c r="N32" i="35"/>
  <c r="Y18" i="2"/>
  <c r="W14" i="35"/>
  <c r="AC18" i="2" s="1"/>
  <c r="Z14" i="35"/>
  <c r="Y42" i="2"/>
  <c r="W38" i="35"/>
  <c r="AC42" i="2" s="1"/>
  <c r="Z38" i="35"/>
  <c r="Z26" i="2"/>
  <c r="V22" i="35"/>
  <c r="AB26" i="2" s="1"/>
  <c r="Y16" i="2"/>
  <c r="W12" i="35"/>
  <c r="AC16" i="2" s="1"/>
  <c r="Z12" i="35"/>
  <c r="AC10" i="2"/>
  <c r="Z12" i="2"/>
  <c r="V8" i="35"/>
  <c r="AB12" i="2" s="1"/>
  <c r="Z21" i="2"/>
  <c r="V17" i="35"/>
  <c r="AB21" i="2" s="1"/>
  <c r="Z19" i="2"/>
  <c r="V15" i="35"/>
  <c r="AB19" i="2" s="1"/>
  <c r="N46" i="35"/>
  <c r="Q46" i="35"/>
  <c r="K46" i="35" s="1"/>
  <c r="I46" i="35" s="1"/>
  <c r="Y13" i="2"/>
  <c r="Z9" i="35"/>
  <c r="W9" i="35"/>
  <c r="AC13" i="2" s="1"/>
  <c r="Z49" i="2"/>
  <c r="V45" i="35"/>
  <c r="AB49" i="2" s="1"/>
  <c r="Z35" i="2"/>
  <c r="V31" i="35"/>
  <c r="AB35" i="2" s="1"/>
  <c r="Z20" i="2"/>
  <c r="V16" i="35"/>
  <c r="AB20" i="2" s="1"/>
  <c r="Z34" i="2"/>
  <c r="V30" i="35"/>
  <c r="AB34" i="2" s="1"/>
  <c r="Z13" i="2"/>
  <c r="V9" i="35"/>
  <c r="AB13" i="2" s="1"/>
  <c r="Y49" i="2"/>
  <c r="Z45" i="35"/>
  <c r="W45" i="35"/>
  <c r="AC49" i="2" s="1"/>
  <c r="Q26" i="35"/>
  <c r="K26" i="35" s="1"/>
  <c r="I26" i="35" s="1"/>
  <c r="N26" i="35"/>
  <c r="Y35" i="2"/>
  <c r="W31" i="35"/>
  <c r="AC35" i="2" s="1"/>
  <c r="Z31" i="35"/>
  <c r="Y38" i="2"/>
  <c r="W34" i="35"/>
  <c r="AC38" i="2" s="1"/>
  <c r="Z34" i="35"/>
  <c r="Y48" i="2"/>
  <c r="W44" i="35"/>
  <c r="AC48" i="2" s="1"/>
  <c r="Z44" i="35"/>
  <c r="N42" i="35"/>
  <c r="Q42" i="35"/>
  <c r="K42" i="35" s="1"/>
  <c r="I42" i="35" s="1"/>
  <c r="Y20" i="2"/>
  <c r="W16" i="35"/>
  <c r="AC20" i="2" s="1"/>
  <c r="Z16" i="35"/>
  <c r="Y34" i="2"/>
  <c r="Z30" i="35"/>
  <c r="W30" i="35"/>
  <c r="AC34" i="2" s="1"/>
  <c r="Z52" i="2"/>
  <c r="V48" i="35"/>
  <c r="AB52" i="2" s="1"/>
  <c r="Z11" i="2"/>
  <c r="V7" i="35"/>
  <c r="AB11" i="2" s="1"/>
  <c r="Z51" i="2"/>
  <c r="V47" i="35"/>
  <c r="AB51" i="2" s="1"/>
  <c r="Z32" i="2"/>
  <c r="V28" i="35"/>
  <c r="AB32" i="2" s="1"/>
  <c r="Y52" i="2"/>
  <c r="W48" i="35"/>
  <c r="AC52" i="2" s="1"/>
  <c r="Z48" i="35"/>
  <c r="Y11" i="2"/>
  <c r="W7" i="35"/>
  <c r="AC11" i="2" s="1"/>
  <c r="Z7" i="35"/>
  <c r="Q19" i="35"/>
  <c r="K19" i="35" s="1"/>
  <c r="I19" i="35" s="1"/>
  <c r="N19" i="35"/>
  <c r="P13" i="1" a="1"/>
  <c r="P13" i="1" s="1"/>
  <c r="P13" i="8" a="1"/>
  <c r="P13" i="8" s="1"/>
  <c r="P6" i="8" a="1"/>
  <c r="P6" i="8" s="1"/>
  <c r="P5" i="8" a="1"/>
  <c r="P5" i="8" s="1"/>
  <c r="R9" i="8"/>
  <c r="AJ35" i="8" s="1"/>
  <c r="AE34" i="14"/>
  <c r="R13" i="14" a="1"/>
  <c r="R13" i="14" s="1"/>
  <c r="AF34" i="14"/>
  <c r="AD34" i="14"/>
  <c r="AJ34" i="14"/>
  <c r="R10" i="1"/>
  <c r="P6" i="1" a="1"/>
  <c r="P6" i="1" s="1"/>
  <c r="R9" i="1"/>
  <c r="AG36" i="14"/>
  <c r="AE36" i="14"/>
  <c r="AF36" i="14"/>
  <c r="AD36" i="14"/>
  <c r="P5" i="1" a="1"/>
  <c r="Q5" i="1" s="1"/>
  <c r="AE35" i="14"/>
  <c r="AF35" i="14"/>
  <c r="R12" i="14" a="1"/>
  <c r="AD35" i="14"/>
  <c r="AG35" i="14"/>
  <c r="AJ35" i="14"/>
  <c r="AJ36" i="14" s="1"/>
  <c r="Q14" i="14"/>
  <c r="AE37" i="14"/>
  <c r="AF37" i="14"/>
  <c r="AG37" i="14"/>
  <c r="AD37" i="14"/>
  <c r="AJ39" i="14"/>
  <c r="AJ38" i="14" s="1"/>
  <c r="L57" i="35" l="1" a="1"/>
  <c r="L57" i="35" s="1"/>
  <c r="N54" i="35" s="1"/>
  <c r="AG12" i="35" s="1"/>
  <c r="AG14" i="35" s="1"/>
  <c r="AG15" i="35" s="1"/>
  <c r="AL36" i="1"/>
  <c r="Z23" i="2"/>
  <c r="V19" i="35"/>
  <c r="AB23" i="2" s="1"/>
  <c r="Z36" i="2"/>
  <c r="V32" i="35"/>
  <c r="AB36" i="2" s="1"/>
  <c r="Y23" i="2"/>
  <c r="W19" i="35"/>
  <c r="AC23" i="2" s="1"/>
  <c r="Z19" i="35"/>
  <c r="Y36" i="2"/>
  <c r="W32" i="35"/>
  <c r="AC36" i="2" s="1"/>
  <c r="Z32" i="35"/>
  <c r="Z33" i="2"/>
  <c r="V29" i="35"/>
  <c r="AB33" i="2" s="1"/>
  <c r="Z46" i="2"/>
  <c r="V42" i="35"/>
  <c r="AB46" i="2" s="1"/>
  <c r="Y33" i="2"/>
  <c r="Z29" i="35"/>
  <c r="W29" i="35"/>
  <c r="AC33" i="2" s="1"/>
  <c r="Y10" i="2"/>
  <c r="Z6" i="35"/>
  <c r="Y50" i="2"/>
  <c r="W46" i="35"/>
  <c r="AC50" i="2" s="1"/>
  <c r="Z46" i="35"/>
  <c r="Z10" i="2"/>
  <c r="V6" i="35"/>
  <c r="Z31" i="2"/>
  <c r="V27" i="35"/>
  <c r="AB31" i="2" s="1"/>
  <c r="Y44" i="2"/>
  <c r="W40" i="35"/>
  <c r="AC44" i="2" s="1"/>
  <c r="Z40" i="35"/>
  <c r="Y31" i="2"/>
  <c r="Z27" i="35"/>
  <c r="W27" i="35"/>
  <c r="AC31" i="2" s="1"/>
  <c r="Z44" i="2"/>
  <c r="V40" i="35"/>
  <c r="AB44" i="2" s="1"/>
  <c r="Y17" i="2"/>
  <c r="W13" i="35"/>
  <c r="AC17" i="2" s="1"/>
  <c r="Z13" i="35"/>
  <c r="Z50" i="2"/>
  <c r="V46" i="35"/>
  <c r="AB50" i="2" s="1"/>
  <c r="Z17" i="2"/>
  <c r="V13" i="35"/>
  <c r="AB17" i="2" s="1"/>
  <c r="Z30" i="2"/>
  <c r="V26" i="35"/>
  <c r="AB30" i="2" s="1"/>
  <c r="Z47" i="2"/>
  <c r="V43" i="35"/>
  <c r="AB47" i="2" s="1"/>
  <c r="Z24" i="2"/>
  <c r="V20" i="35"/>
  <c r="AB24" i="2" s="1"/>
  <c r="Y46" i="2"/>
  <c r="Z42" i="35"/>
  <c r="W42" i="35"/>
  <c r="AC46" i="2" s="1"/>
  <c r="Y30" i="2"/>
  <c r="W26" i="35"/>
  <c r="AC30" i="2" s="1"/>
  <c r="Z26" i="35"/>
  <c r="Y47" i="2"/>
  <c r="Z43" i="35"/>
  <c r="W43" i="35"/>
  <c r="AC47" i="2" s="1"/>
  <c r="Y24" i="2"/>
  <c r="Z20" i="35"/>
  <c r="W20" i="35"/>
  <c r="AC24" i="2" s="1"/>
  <c r="Q13" i="1"/>
  <c r="R13" i="1"/>
  <c r="Q5" i="8"/>
  <c r="W5" i="8" s="1"/>
  <c r="W9" i="1"/>
  <c r="H23" i="9" s="1"/>
  <c r="C5" i="4" s="1"/>
  <c r="Q6" i="8"/>
  <c r="W6" i="8" s="1"/>
  <c r="BC24" i="9" s="1"/>
  <c r="R13" i="8"/>
  <c r="Q13" i="8"/>
  <c r="P5" i="14" a="1"/>
  <c r="P5" i="14" s="1"/>
  <c r="S13" i="14"/>
  <c r="P6" i="14" a="1"/>
  <c r="P6" i="14" s="1"/>
  <c r="Q6" i="1"/>
  <c r="W6" i="1" s="1"/>
  <c r="P8" i="14" a="1"/>
  <c r="P8" i="14" s="1"/>
  <c r="P5" i="1"/>
  <c r="W5" i="1" s="1"/>
  <c r="Q10" i="8" a="1"/>
  <c r="Q10" i="8" s="1"/>
  <c r="R12" i="14"/>
  <c r="S12" i="14"/>
  <c r="P18" i="14" a="1"/>
  <c r="P9" i="14" a="1"/>
  <c r="AU34" i="14" l="1"/>
  <c r="R14" i="14"/>
  <c r="AT34" i="14"/>
  <c r="AC55" i="2"/>
  <c r="Z51" i="35"/>
  <c r="W4" i="35"/>
  <c r="AB10" i="2"/>
  <c r="AB55" i="2" s="1"/>
  <c r="V4" i="35"/>
  <c r="D24" i="35" s="1"/>
  <c r="T31" i="2" s="1"/>
  <c r="W13" i="1"/>
  <c r="W14" i="1" s="1"/>
  <c r="W19" i="10" s="1"/>
  <c r="W22" i="10" s="1"/>
  <c r="W24" i="10" s="1"/>
  <c r="AK43" i="8"/>
  <c r="AO24" i="9" s="1"/>
  <c r="AS24" i="9"/>
  <c r="AM44" i="1"/>
  <c r="BA23" i="9" s="1"/>
  <c r="BC23" i="9"/>
  <c r="AK43" i="1"/>
  <c r="AO23" i="9" s="1"/>
  <c r="AS23" i="9"/>
  <c r="W10" i="1"/>
  <c r="G23" i="9" s="1"/>
  <c r="W13" i="8"/>
  <c r="W16" i="6" s="1"/>
  <c r="W19" i="6" s="1"/>
  <c r="W22" i="6" s="1"/>
  <c r="S14" i="14"/>
  <c r="Q5" i="14"/>
  <c r="S5" i="14" s="1"/>
  <c r="Q6" i="14"/>
  <c r="S6" i="14" s="1"/>
  <c r="Q8" i="14"/>
  <c r="S8" i="14" s="1"/>
  <c r="AM43" i="1"/>
  <c r="AQ23" i="9" s="1"/>
  <c r="AH43" i="1"/>
  <c r="AL23" i="9" s="1"/>
  <c r="AG43" i="1"/>
  <c r="AK23" i="9" s="1"/>
  <c r="AJ44" i="1"/>
  <c r="AX23" i="9" s="1"/>
  <c r="AI43" i="1"/>
  <c r="AM23" i="9" s="1"/>
  <c r="AF44" i="1"/>
  <c r="AT23" i="9" s="1"/>
  <c r="AJ43" i="1"/>
  <c r="AN23" i="9" s="1"/>
  <c r="AL43" i="1"/>
  <c r="AP23" i="9" s="1"/>
  <c r="AF43" i="1"/>
  <c r="AJ23" i="9" s="1"/>
  <c r="AG44" i="1"/>
  <c r="AU23" i="9" s="1"/>
  <c r="AI44" i="1"/>
  <c r="AW23" i="9" s="1"/>
  <c r="AL44" i="1"/>
  <c r="AZ23" i="9" s="1"/>
  <c r="R10" i="8"/>
  <c r="AH44" i="1"/>
  <c r="AV23" i="9" s="1"/>
  <c r="AK44" i="1"/>
  <c r="AY23" i="9" s="1"/>
  <c r="AI43" i="8"/>
  <c r="AM24" i="9" s="1"/>
  <c r="AF43" i="8"/>
  <c r="AJ24" i="9" s="1"/>
  <c r="AH43" i="8"/>
  <c r="AL24" i="9" s="1"/>
  <c r="AJ43" i="8"/>
  <c r="AN24" i="9" s="1"/>
  <c r="AL43" i="8"/>
  <c r="AP24" i="9" s="1"/>
  <c r="AG43" i="8"/>
  <c r="AK24" i="9" s="1"/>
  <c r="AM43" i="8"/>
  <c r="AQ24" i="9" s="1"/>
  <c r="AJ44" i="8"/>
  <c r="AX24" i="9" s="1"/>
  <c r="AM44" i="8"/>
  <c r="BA24" i="9" s="1"/>
  <c r="AG44" i="8"/>
  <c r="AU24" i="9" s="1"/>
  <c r="AK44" i="8"/>
  <c r="AY24" i="9" s="1"/>
  <c r="AL44" i="8"/>
  <c r="AZ24" i="9" s="1"/>
  <c r="AI44" i="8"/>
  <c r="AW24" i="9" s="1"/>
  <c r="AF44" i="8"/>
  <c r="AT24" i="9" s="1"/>
  <c r="AH44" i="8"/>
  <c r="AV24" i="9" s="1"/>
  <c r="Q9" i="14"/>
  <c r="P9" i="14"/>
  <c r="R18" i="14"/>
  <c r="Q18" i="14"/>
  <c r="P18" i="14"/>
  <c r="C16" i="4"/>
  <c r="F16" i="4" s="1"/>
  <c r="C15" i="4"/>
  <c r="F15" i="4" s="1"/>
  <c r="Z54" i="35" l="1"/>
  <c r="AG7" i="35"/>
  <c r="W12" i="14"/>
  <c r="Y11" i="14" s="1"/>
  <c r="AO36" i="14"/>
  <c r="DA24" i="9" s="1"/>
  <c r="W9" i="8"/>
  <c r="H24" i="9" s="1"/>
  <c r="AO36" i="8"/>
  <c r="DA23" i="9" s="1"/>
  <c r="T34" i="2"/>
  <c r="W16" i="3"/>
  <c r="W19" i="3" s="1"/>
  <c r="W22" i="3" s="1"/>
  <c r="I23" i="9"/>
  <c r="K23" i="9" s="1"/>
  <c r="L23" i="9" s="1"/>
  <c r="W16" i="8"/>
  <c r="W19" i="8" s="1"/>
  <c r="W22" i="8" s="1"/>
  <c r="W14" i="8"/>
  <c r="AO44" i="8" a="1"/>
  <c r="AN44" i="8" a="1"/>
  <c r="AN44" i="8" s="1"/>
  <c r="BB24" i="9" s="1"/>
  <c r="AN43" i="8" a="1"/>
  <c r="AO43" i="8" a="1"/>
  <c r="AN43" i="1" a="1"/>
  <c r="AO43" i="1" a="1"/>
  <c r="AN44" i="1" a="1"/>
  <c r="AN44" i="1" s="1"/>
  <c r="BB23" i="9" s="1"/>
  <c r="AO44" i="1" a="1"/>
  <c r="AO44" i="1" s="1"/>
  <c r="AP44" i="1" s="1"/>
  <c r="W5" i="14"/>
  <c r="W16" i="14"/>
  <c r="AO43" i="1"/>
  <c r="AP43" i="1" s="1"/>
  <c r="AN43" i="1"/>
  <c r="AR23" i="9" s="1"/>
  <c r="AN43" i="8"/>
  <c r="AR24" i="9" s="1"/>
  <c r="AO43" i="8"/>
  <c r="AP43" i="8" s="1"/>
  <c r="S9" i="14"/>
  <c r="W8" i="14" s="1"/>
  <c r="C33" i="4"/>
  <c r="AO44" i="8"/>
  <c r="AP44" i="8" s="1"/>
  <c r="W13" i="14" l="1"/>
  <c r="G25" i="9" s="1"/>
  <c r="AE54" i="14"/>
  <c r="H25" i="9"/>
  <c r="AE51" i="14"/>
  <c r="AE47" i="14"/>
  <c r="AE53" i="14"/>
  <c r="AE52" i="14"/>
  <c r="AE48" i="14"/>
  <c r="AE45" i="14"/>
  <c r="AE46" i="14"/>
  <c r="W10" i="8"/>
  <c r="G24" i="9" s="1"/>
  <c r="Y9" i="8"/>
  <c r="I24" i="9"/>
  <c r="K24" i="9" s="1"/>
  <c r="L24" i="9" s="1"/>
  <c r="C5" i="7"/>
  <c r="C16" i="7" s="1"/>
  <c r="F16" i="7" s="1"/>
  <c r="W17" i="14"/>
  <c r="I25" i="9"/>
  <c r="K25" i="9" s="1"/>
  <c r="AE55" i="14" l="1"/>
  <c r="V55" i="14" s="1"/>
  <c r="AE49" i="14"/>
  <c r="V49" i="14" s="1"/>
  <c r="Z49" i="14" s="1"/>
  <c r="Z42" i="14" s="1"/>
  <c r="AK42" i="14" s="1"/>
  <c r="AM25" i="9" s="1"/>
  <c r="C15" i="7"/>
  <c r="F15" i="7" s="1"/>
  <c r="C33" i="7" s="1"/>
  <c r="L25" i="9"/>
  <c r="Y49" i="14" l="1"/>
  <c r="Y42" i="14" s="1"/>
  <c r="AJ42" i="14" s="1"/>
  <c r="AL25" i="9" s="1"/>
  <c r="AC55" i="14"/>
  <c r="AC43" i="14" s="1"/>
  <c r="AN43" i="14" s="1"/>
  <c r="AZ25" i="9" s="1"/>
  <c r="AD55" i="14"/>
  <c r="AD43" i="14" s="1"/>
  <c r="AO43" i="14" s="1"/>
  <c r="BA25" i="9" s="1"/>
  <c r="AA49" i="14"/>
  <c r="AA42" i="14" s="1"/>
  <c r="AL42" i="14" s="1"/>
  <c r="AN25" i="9" s="1"/>
  <c r="AD49" i="14"/>
  <c r="AD42" i="14" s="1"/>
  <c r="AO42" i="14" s="1"/>
  <c r="AQ25" i="9" s="1"/>
  <c r="X55" i="14"/>
  <c r="X43" i="14" s="1"/>
  <c r="AI43" i="14" s="1"/>
  <c r="AU25" i="9" s="1"/>
  <c r="AB55" i="14"/>
  <c r="AB43" i="14" s="1"/>
  <c r="AM43" i="14" s="1"/>
  <c r="AY25" i="9" s="1"/>
  <c r="X49" i="14"/>
  <c r="X42" i="14" s="1"/>
  <c r="AI42" i="14" s="1"/>
  <c r="AK25" i="9" s="1"/>
  <c r="AB49" i="14"/>
  <c r="AB42" i="14" s="1"/>
  <c r="AM42" i="14" s="1"/>
  <c r="AO25" i="9" s="1"/>
  <c r="W49" i="14"/>
  <c r="W42" i="14" s="1"/>
  <c r="AH42" i="14" s="1"/>
  <c r="AJ25" i="9" s="1"/>
  <c r="Z55" i="14"/>
  <c r="Z43" i="14" s="1"/>
  <c r="AK43" i="14" s="1"/>
  <c r="AW25" i="9" s="1"/>
  <c r="W55" i="14"/>
  <c r="W43" i="14" s="1"/>
  <c r="AH43" i="14" s="1"/>
  <c r="AT25" i="9" s="1"/>
  <c r="AC49" i="14"/>
  <c r="AC42" i="14" s="1"/>
  <c r="AN42" i="14" s="1"/>
  <c r="AP25" i="9" s="1"/>
  <c r="AA55" i="14"/>
  <c r="AA43" i="14" s="1"/>
  <c r="AL43" i="14" s="1"/>
  <c r="AX25" i="9" s="1"/>
  <c r="Y55" i="14"/>
  <c r="Y43" i="14" s="1"/>
  <c r="AJ43" i="14" s="1"/>
  <c r="AV25" i="9" s="1"/>
  <c r="AQ43" i="14" a="1"/>
  <c r="AP43" i="14" a="1"/>
  <c r="AP42" i="14" a="1"/>
  <c r="AQ42" i="14" a="1"/>
  <c r="AQ42" i="14" l="1"/>
  <c r="AS25" i="9" s="1"/>
  <c r="AP42" i="14"/>
  <c r="AR25" i="9" s="1"/>
  <c r="AP43" i="14"/>
  <c r="BB25" i="9" s="1"/>
  <c r="AQ43" i="14"/>
  <c r="AR43" i="14" s="1"/>
  <c r="AR42" i="14" l="1"/>
  <c r="BC25" i="9"/>
  <c r="K32" i="20" a="1"/>
  <c r="L32" i="20" a="1"/>
  <c r="T39" i="7" l="1" a="1"/>
  <c r="U39" i="7" a="1"/>
  <c r="U39" i="12" l="1" a="1"/>
  <c r="T39" i="12" a="1"/>
  <c r="U39" i="4" a="1"/>
  <c r="T39" i="4" a="1"/>
  <c r="AE35" i="21" l="1"/>
  <c r="AE36" i="21"/>
  <c r="AE37" i="21"/>
  <c r="P13" i="21" l="1" a="1"/>
  <c r="Q13" i="21" s="1"/>
  <c r="P14" i="21" a="1"/>
  <c r="P14" i="21" s="1"/>
  <c r="P13" i="21" l="1"/>
  <c r="R13" i="21"/>
  <c r="R14" i="21"/>
  <c r="S14" i="21"/>
  <c r="Q14" i="21"/>
  <c r="P16" i="21" l="1"/>
  <c r="P17" i="21"/>
  <c r="Q11" i="21" a="1"/>
  <c r="R11" i="21" s="1"/>
  <c r="AX35" i="21" s="1"/>
  <c r="P18" i="21" l="1"/>
  <c r="W13" i="21" s="1"/>
  <c r="W14" i="21" s="1"/>
  <c r="AN11" i="21" s="1"/>
  <c r="AN16" i="21" s="1"/>
  <c r="Q11" i="21"/>
  <c r="AW35" i="21" s="1"/>
  <c r="S11" i="21"/>
  <c r="AY35" i="21" s="1"/>
  <c r="AZ35" i="21" l="1"/>
  <c r="AR36" i="21" s="1"/>
  <c r="CZ26" i="9" s="1"/>
  <c r="F27" i="9"/>
  <c r="T11" i="21"/>
  <c r="W9" i="21" s="1"/>
  <c r="E27" i="9" s="1"/>
  <c r="W10" i="21" l="1"/>
  <c r="D27" i="9" s="1"/>
  <c r="Y9" i="21"/>
  <c r="R70" i="21" a="1"/>
  <c r="R70" i="21" s="1"/>
  <c r="T70" i="21" l="1"/>
  <c r="S70" i="21"/>
  <c r="U70" i="21" l="1"/>
  <c r="P6" i="21" s="1" a="1"/>
  <c r="P6" i="21" l="1"/>
  <c r="Q6" i="21"/>
  <c r="W6" i="21" l="1"/>
  <c r="Y27" i="9" l="1"/>
  <c r="AJ44" i="21"/>
  <c r="AM44" i="21"/>
  <c r="AF44" i="21"/>
  <c r="AK44" i="21"/>
  <c r="AH44" i="21"/>
  <c r="AG44" i="21"/>
  <c r="AL44" i="21"/>
  <c r="AI44" i="21"/>
  <c r="AO44" i="21" a="1"/>
  <c r="AN44" i="21" a="1"/>
  <c r="P13" i="22" a="1"/>
  <c r="R13" i="22" s="1"/>
  <c r="P14" i="22" a="1"/>
  <c r="P14" i="22" s="1"/>
  <c r="P5" i="22" a="1"/>
  <c r="P5" i="22" s="1"/>
  <c r="U27" i="9" l="1"/>
  <c r="W27" i="9"/>
  <c r="S27" i="9"/>
  <c r="V27" i="9"/>
  <c r="Q27" i="9"/>
  <c r="P27" i="9"/>
  <c r="T27" i="9"/>
  <c r="R27" i="9"/>
  <c r="AO44" i="21"/>
  <c r="AP44" i="21" s="1"/>
  <c r="AN44" i="21"/>
  <c r="P13" i="22"/>
  <c r="Q5" i="22"/>
  <c r="W5" i="22" s="1"/>
  <c r="AS27" i="9" s="1"/>
  <c r="Q13" i="22"/>
  <c r="S14" i="22"/>
  <c r="Q14" i="22"/>
  <c r="R14" i="22"/>
  <c r="X27" i="9" l="1"/>
  <c r="P17" i="22"/>
  <c r="AF43" i="22"/>
  <c r="AJ27" i="9" s="1"/>
  <c r="AG43" i="22"/>
  <c r="AK27" i="9" s="1"/>
  <c r="AH43" i="22"/>
  <c r="AL27" i="9" s="1"/>
  <c r="AM43" i="22"/>
  <c r="AQ27" i="9" s="1"/>
  <c r="AI43" i="22"/>
  <c r="AM27" i="9" s="1"/>
  <c r="AK43" i="22"/>
  <c r="AO27" i="9" s="1"/>
  <c r="AL43" i="22"/>
  <c r="AP27" i="9" s="1"/>
  <c r="AJ43" i="22"/>
  <c r="AN27" i="9" s="1"/>
  <c r="P16" i="22"/>
  <c r="AO43" i="22" l="1" a="1"/>
  <c r="AO43" i="22" s="1"/>
  <c r="AP43" i="22" s="1"/>
  <c r="AN43" i="22" a="1"/>
  <c r="AN43" i="22" s="1"/>
  <c r="AR27" i="9" s="1"/>
  <c r="P18" i="22"/>
  <c r="W13" i="22" s="1"/>
  <c r="Q11" i="22" a="1"/>
  <c r="S11" i="22" s="1"/>
  <c r="AY35" i="22" s="1"/>
  <c r="W14" i="22" l="1"/>
  <c r="I27" i="9" s="1"/>
  <c r="W16" i="21"/>
  <c r="W19" i="21" s="1"/>
  <c r="W22" i="21" s="1"/>
  <c r="R11" i="22"/>
  <c r="AX35" i="22" s="1"/>
  <c r="Q11" i="22"/>
  <c r="AW35" i="22" s="1"/>
  <c r="AZ35" i="22" l="1"/>
  <c r="AR36" i="22" s="1"/>
  <c r="DA26" i="9" s="1"/>
  <c r="K27" i="9"/>
  <c r="L27" i="9" s="1"/>
  <c r="T11" i="22"/>
  <c r="W9" i="22" s="1"/>
  <c r="H27" i="9" s="1"/>
  <c r="Y9" i="22" l="1"/>
  <c r="W10" i="22"/>
  <c r="G27" i="9" s="1"/>
  <c r="L29" i="23" l="1" a="1"/>
  <c r="L29" i="23"/>
  <c r="M29" i="23"/>
  <c r="R21" i="23"/>
  <c r="R18" i="23"/>
  <c r="S18" i="23"/>
  <c r="R19" i="23"/>
  <c r="R20" i="23"/>
  <c r="S20" i="23" s="1"/>
  <c r="R22" i="23"/>
  <c r="S22" i="23"/>
  <c r="R23" i="23"/>
  <c r="S23" i="23"/>
  <c r="R24" i="23"/>
  <c r="S24" i="23" s="1"/>
  <c r="R25" i="23"/>
  <c r="S25" i="23" s="1"/>
  <c r="R26" i="23"/>
  <c r="S26" i="23"/>
  <c r="S19" i="23" l="1"/>
  <c r="U28" i="23" s="1" a="1"/>
  <c r="U28" i="23" s="1"/>
  <c r="S21" i="23"/>
  <c r="U21" i="23" l="1"/>
  <c r="V21" i="23" s="1"/>
  <c r="X21" i="23" s="1"/>
  <c r="U25" i="23"/>
  <c r="V25" i="23" s="1"/>
  <c r="X25" i="23" s="1"/>
  <c r="U26" i="23"/>
  <c r="V26" i="23" s="1"/>
  <c r="X26" i="23" s="1"/>
  <c r="U20" i="23"/>
  <c r="V20" i="23" s="1"/>
  <c r="X20" i="23" s="1"/>
  <c r="U23" i="23"/>
  <c r="V23" i="23" s="1"/>
  <c r="X23" i="23" s="1"/>
  <c r="U22" i="23"/>
  <c r="V22" i="23" s="1"/>
  <c r="X22" i="23" s="1"/>
  <c r="U24" i="23"/>
  <c r="V24" i="23" s="1"/>
  <c r="X24" i="23" s="1"/>
  <c r="U18" i="23"/>
  <c r="X18" i="23" s="1"/>
  <c r="U19" i="23"/>
  <c r="V19" i="23" s="1"/>
  <c r="X19" i="23" s="1"/>
  <c r="P43" i="24" l="1" a="1"/>
  <c r="P43" i="24" s="1"/>
  <c r="Q43" i="24" l="1"/>
  <c r="R43" i="24" s="1"/>
  <c r="P44" i="24" s="1"/>
  <c r="P2" i="22" l="1" a="1"/>
  <c r="Q2" i="22" s="1"/>
  <c r="R2" i="22" l="1"/>
  <c r="P2" i="22"/>
  <c r="W2" i="22" l="1"/>
  <c r="AN9" i="21" s="1"/>
  <c r="AN12" i="21" s="1"/>
  <c r="AN17" i="21" s="1"/>
  <c r="AN18" i="21" s="1"/>
  <c r="CI26" i="9" l="1"/>
  <c r="CI35" i="9" s="1" a="1"/>
  <c r="CI35" i="9" s="1"/>
  <c r="U28" i="27" l="1" a="1"/>
  <c r="U28" i="27"/>
  <c r="U19" i="27"/>
  <c r="U22" i="27"/>
  <c r="U25" i="27"/>
  <c r="U24" i="27"/>
  <c r="U21" i="27"/>
  <c r="C12" i="27"/>
  <c r="D12" i="27"/>
  <c r="E12" i="27"/>
  <c r="F12" i="27" s="1"/>
  <c r="U26" i="27"/>
  <c r="U23" i="27"/>
  <c r="U20" i="27"/>
  <c r="U18" i="27"/>
  <c r="V24" i="27"/>
  <c r="X24" i="27"/>
  <c r="V26" i="27"/>
  <c r="X26" i="27"/>
  <c r="V23" i="27"/>
  <c r="X23" i="27"/>
  <c r="V25" i="27"/>
  <c r="X25" i="27"/>
  <c r="U39" i="27" a="1"/>
  <c r="T39" i="27" a="1"/>
  <c r="V20" i="27"/>
  <c r="X20" i="27"/>
  <c r="V18" i="27"/>
  <c r="X18" i="27"/>
  <c r="V19" i="27"/>
  <c r="X19" i="27"/>
  <c r="V21" i="27"/>
  <c r="X21" i="27"/>
  <c r="V22" i="27"/>
  <c r="X22" i="27"/>
  <c r="X28" i="27" a="1"/>
  <c r="X28" i="27"/>
  <c r="P14" i="25" a="1"/>
  <c r="R14" i="25" s="1"/>
  <c r="P6" i="25" a="1"/>
  <c r="P6" i="25" s="1"/>
  <c r="AN44" i="25" a="1"/>
  <c r="AO44" i="25" a="1"/>
  <c r="P5" i="25" a="1"/>
  <c r="Q5" i="25" s="1"/>
  <c r="AN43" i="25" a="1"/>
  <c r="AO43" i="25" a="1"/>
  <c r="P5" i="25" l="1"/>
  <c r="W5" i="25" s="1"/>
  <c r="AM43" i="25" s="1"/>
  <c r="AG26" i="9" s="1"/>
  <c r="Q6" i="25"/>
  <c r="W6" i="25" s="1"/>
  <c r="AL44" i="25" s="1"/>
  <c r="V26" i="9" s="1"/>
  <c r="V35" i="9" s="1"/>
  <c r="P14" i="25"/>
  <c r="Q14" i="25"/>
  <c r="S14" i="25"/>
  <c r="AK43" i="25" l="1"/>
  <c r="AE26" i="9" s="1"/>
  <c r="AF43" i="25"/>
  <c r="Z26" i="9" s="1"/>
  <c r="AH43" i="25"/>
  <c r="AB26" i="9" s="1"/>
  <c r="AJ43" i="25"/>
  <c r="AD26" i="9" s="1"/>
  <c r="AG43" i="25"/>
  <c r="AA26" i="9" s="1"/>
  <c r="AL43" i="25"/>
  <c r="AF26" i="9" s="1"/>
  <c r="AM44" i="25"/>
  <c r="W26" i="9" s="1"/>
  <c r="W35" i="9" s="1"/>
  <c r="AJ44" i="25"/>
  <c r="T26" i="9" s="1"/>
  <c r="T35" i="9" s="1"/>
  <c r="AG44" i="25"/>
  <c r="Q26" i="9" s="1"/>
  <c r="Q35" i="9" s="1"/>
  <c r="Y26" i="9"/>
  <c r="Y35" i="9" s="1"/>
  <c r="AI26" i="9"/>
  <c r="AI43" i="25"/>
  <c r="AC26" i="9" s="1"/>
  <c r="AH44" i="25"/>
  <c r="R26" i="9" s="1"/>
  <c r="R35" i="9" s="1"/>
  <c r="AI44" i="25"/>
  <c r="S26" i="9" s="1"/>
  <c r="S35" i="9" s="1"/>
  <c r="AF44" i="25"/>
  <c r="AK44" i="25"/>
  <c r="U26" i="9" s="1"/>
  <c r="U35" i="9" s="1"/>
  <c r="P17" i="25"/>
  <c r="P18" i="25" s="1"/>
  <c r="W13" i="25" s="1"/>
  <c r="AO43" i="25" l="1"/>
  <c r="AP43" i="25" s="1"/>
  <c r="AN43" i="25"/>
  <c r="AH26" i="9" s="1"/>
  <c r="AO44" i="25"/>
  <c r="AP44" i="25" s="1"/>
  <c r="P26" i="9"/>
  <c r="P35" i="9" s="1"/>
  <c r="AN44" i="25"/>
  <c r="X26" i="9" s="1"/>
  <c r="X35" i="9" s="1"/>
  <c r="W19" i="25"/>
  <c r="W22" i="25" s="1"/>
  <c r="W14" i="25"/>
  <c r="F26" i="9" l="1"/>
  <c r="AN11" i="25"/>
  <c r="AN16" i="25" s="1"/>
  <c r="AN18" i="25" s="1"/>
  <c r="K26" i="9" l="1"/>
  <c r="L26" i="9" l="1"/>
  <c r="Q11" i="25" a="1"/>
  <c r="Q11" i="25" s="1"/>
  <c r="R11" i="25" l="1"/>
  <c r="S11" i="25"/>
  <c r="AS41" i="25" l="1"/>
  <c r="AS36" i="25" s="1"/>
  <c r="CZ25" i="9" s="1"/>
  <c r="T11" i="25"/>
  <c r="W9" i="25" s="1"/>
  <c r="W10" i="25" s="1"/>
  <c r="E26" i="9" l="1"/>
  <c r="E35" i="9" s="1"/>
  <c r="D26" i="9"/>
  <c r="Y9" i="25"/>
  <c r="D35" i="9" l="1"/>
  <c r="D37" i="9" s="1" a="1"/>
  <c r="D37" i="9" s="1"/>
  <c r="E40" i="2" l="1"/>
  <c r="R37" i="9"/>
  <c r="F53" i="2" s="1"/>
  <c r="T37" i="9"/>
  <c r="H53" i="2" s="1"/>
  <c r="Q37" i="9"/>
  <c r="E53" i="2" s="1"/>
  <c r="P37" i="9"/>
  <c r="D53" i="2" s="1"/>
  <c r="U37" i="9"/>
  <c r="I53" i="2" s="1"/>
  <c r="W37" i="9"/>
  <c r="L53" i="2" s="1"/>
  <c r="V37" i="9"/>
  <c r="K53" i="2" s="1"/>
  <c r="X37" i="9"/>
  <c r="M53" i="2" s="1"/>
  <c r="E37" i="9"/>
  <c r="C4" i="12" s="1"/>
  <c r="S37" i="9"/>
  <c r="G53" i="2" s="1"/>
  <c r="Y37" i="9"/>
  <c r="N53" i="2" s="1"/>
  <c r="D25" i="31" s="1"/>
  <c r="E42" i="2" l="1"/>
  <c r="C4" i="23"/>
  <c r="C4" i="27"/>
  <c r="D25" i="27"/>
  <c r="D25" i="7"/>
  <c r="D25" i="23"/>
  <c r="D25" i="12"/>
  <c r="D25" i="4"/>
  <c r="Q11" i="26" a="1"/>
  <c r="Q11" i="26" s="1"/>
  <c r="R11" i="26" l="1"/>
  <c r="S11" i="26"/>
  <c r="AS41" i="26" l="1"/>
  <c r="AS36" i="26" s="1"/>
  <c r="DA25" i="9" s="1"/>
  <c r="T11" i="26"/>
  <c r="W9" i="26" s="1"/>
  <c r="H26" i="9" l="1"/>
  <c r="W10" i="26"/>
  <c r="G26" i="9" s="1"/>
  <c r="Y9" i="26"/>
  <c r="P43" i="28" l="1" a="1"/>
  <c r="P43" i="28" s="1"/>
  <c r="Q43" i="28" l="1"/>
  <c r="R43" i="28" s="1"/>
  <c r="P44" i="28" s="1"/>
  <c r="AE35" i="29" l="1"/>
  <c r="AE37" i="29" l="1"/>
  <c r="P13" i="29" s="1" a="1"/>
  <c r="P13" i="29" l="1"/>
  <c r="R13" i="29"/>
  <c r="Q13" i="29"/>
  <c r="W13" i="29" l="1"/>
  <c r="W14" i="29" s="1"/>
  <c r="F28" i="9" s="1"/>
  <c r="W16" i="30" l="1"/>
  <c r="F35" i="9"/>
  <c r="F37" i="9" s="1"/>
  <c r="E43" i="2" s="1"/>
  <c r="AM36" i="30" l="1"/>
  <c r="Q9" i="30" s="1" a="1"/>
  <c r="R9" i="30" l="1"/>
  <c r="Q9" i="30"/>
  <c r="AV36" i="30" l="1"/>
  <c r="DA27" i="9" s="1"/>
  <c r="AP35" i="30"/>
  <c r="W9" i="30"/>
  <c r="W10" i="30" s="1"/>
  <c r="S9" i="30"/>
  <c r="C5" i="31" l="1"/>
  <c r="C16" i="31" s="1"/>
  <c r="F16" i="31" s="1"/>
  <c r="Y9" i="30"/>
  <c r="G28" i="9"/>
  <c r="G35" i="9" s="1"/>
  <c r="G37" i="9" s="1" a="1"/>
  <c r="G37" i="9" s="1"/>
  <c r="H28" i="9"/>
  <c r="H35" i="9" s="1"/>
  <c r="C15" i="31" l="1"/>
  <c r="F15" i="31" s="1"/>
  <c r="C33" i="31" s="1"/>
  <c r="CW37" i="9"/>
  <c r="M37" i="2" s="1"/>
  <c r="G40" i="2"/>
  <c r="CJ37" i="9"/>
  <c r="G47" i="2" s="1"/>
  <c r="H37" i="9"/>
  <c r="CI37" i="9"/>
  <c r="G46" i="2" s="1"/>
  <c r="G42" i="2" l="1"/>
  <c r="C8" i="20" s="1"/>
  <c r="C5" i="27"/>
  <c r="C5" i="23"/>
  <c r="C5" i="12"/>
  <c r="C15" i="12" l="1"/>
  <c r="F15" i="12" s="1"/>
  <c r="C33" i="12" s="1"/>
  <c r="C16" i="12"/>
  <c r="F16" i="12" s="1"/>
  <c r="C16" i="23"/>
  <c r="F16" i="23" s="1"/>
  <c r="H16" i="23" s="1"/>
  <c r="C15" i="23"/>
  <c r="F15" i="23" s="1"/>
  <c r="H15" i="23" s="1"/>
  <c r="C15" i="27"/>
  <c r="F15" i="27" s="1"/>
  <c r="H15" i="27" s="1"/>
  <c r="C16" i="27"/>
  <c r="F16" i="27" s="1"/>
  <c r="H16" i="27" s="1"/>
  <c r="F12" i="20"/>
  <c r="F15" i="20"/>
  <c r="D17" i="20" l="1"/>
  <c r="D27" i="20" s="1"/>
  <c r="H32" i="20" s="1"/>
  <c r="BY22" i="9" s="1"/>
  <c r="C33" i="27"/>
  <c r="C33" i="23"/>
  <c r="BY23" i="9" l="1"/>
  <c r="BY27" i="9"/>
  <c r="J32" i="20"/>
  <c r="CA22" i="9" s="1"/>
  <c r="D32" i="20"/>
  <c r="BU22" i="9" s="1"/>
  <c r="E32" i="20"/>
  <c r="BV22" i="9" s="1"/>
  <c r="I32" i="20"/>
  <c r="BZ22" i="9" s="1"/>
  <c r="G32" i="20"/>
  <c r="BX22" i="9" s="1"/>
  <c r="F32" i="20"/>
  <c r="BW22" i="9" s="1"/>
  <c r="CC22" i="9"/>
  <c r="C32" i="20"/>
  <c r="BT22" i="9" s="1"/>
  <c r="P13" i="30" a="1"/>
  <c r="R13" i="30" s="1"/>
  <c r="BY35" i="9" l="1" a="1"/>
  <c r="BY35" i="9" s="1"/>
  <c r="BY37" i="9" s="1"/>
  <c r="I57" i="2" s="1"/>
  <c r="BW23" i="9"/>
  <c r="BW27" i="9"/>
  <c r="BV23" i="9"/>
  <c r="BV27" i="9"/>
  <c r="BX23" i="9"/>
  <c r="BX27" i="9"/>
  <c r="BU23" i="9"/>
  <c r="BU27" i="9"/>
  <c r="CC23" i="9"/>
  <c r="CC27" i="9"/>
  <c r="BZ23" i="9"/>
  <c r="BZ27" i="9"/>
  <c r="CA23" i="9"/>
  <c r="CA27" i="9"/>
  <c r="BT23" i="9"/>
  <c r="BT27" i="9"/>
  <c r="K32" i="20"/>
  <c r="CB22" i="9" s="1"/>
  <c r="L32" i="20"/>
  <c r="P13" i="30"/>
  <c r="Q13" i="30"/>
  <c r="CC35" i="9" l="1" a="1"/>
  <c r="CC35" i="9" s="1"/>
  <c r="CC37" i="9" s="1"/>
  <c r="N57" i="2" s="1"/>
  <c r="CA35" i="9" a="1"/>
  <c r="CA35" i="9" s="1"/>
  <c r="CA37" i="9" s="1"/>
  <c r="L57" i="2" s="1"/>
  <c r="BZ35" i="9" a="1"/>
  <c r="BZ35" i="9" s="1"/>
  <c r="BZ37" i="9" s="1"/>
  <c r="K57" i="2" s="1"/>
  <c r="BW35" i="9" a="1"/>
  <c r="BW35" i="9" s="1"/>
  <c r="BW37" i="9" s="1"/>
  <c r="G57" i="2" s="1"/>
  <c r="BU35" i="9" a="1"/>
  <c r="BU35" i="9" s="1"/>
  <c r="BU37" i="9" s="1"/>
  <c r="E57" i="2" s="1"/>
  <c r="BT35" i="9" a="1"/>
  <c r="BT35" i="9" s="1"/>
  <c r="BT37" i="9" s="1"/>
  <c r="D57" i="2" s="1"/>
  <c r="BX35" i="9" a="1"/>
  <c r="BX35" i="9" s="1"/>
  <c r="BX37" i="9" s="1"/>
  <c r="H57" i="2" s="1"/>
  <c r="BV35" i="9" a="1"/>
  <c r="BV35" i="9" s="1"/>
  <c r="BV37" i="9" s="1"/>
  <c r="F57" i="2" s="1"/>
  <c r="CB23" i="9"/>
  <c r="CB27" i="9"/>
  <c r="W13" i="30"/>
  <c r="CB35" i="9" l="1" a="1"/>
  <c r="CB35" i="9" s="1"/>
  <c r="CB37" i="9" s="1"/>
  <c r="M57" i="2" s="1"/>
  <c r="W16" i="29"/>
  <c r="W19" i="29" s="1"/>
  <c r="W22" i="29" s="1"/>
  <c r="W14" i="30"/>
  <c r="I28" i="9" s="1"/>
  <c r="W19" i="30"/>
  <c r="W22" i="30" s="1"/>
  <c r="I35" i="9" l="1"/>
  <c r="I37" i="9" s="1"/>
  <c r="G43" i="2" s="1"/>
  <c r="K28" i="9"/>
  <c r="L28" i="9" l="1"/>
  <c r="L35" i="9" s="1"/>
  <c r="K35" i="9"/>
  <c r="K37" i="9" s="1"/>
  <c r="D45" i="2" s="1"/>
  <c r="AJ8" i="35" s="1"/>
  <c r="AG8" i="35" s="1"/>
  <c r="T35" i="2" s="1"/>
  <c r="P5" i="30" a="1"/>
  <c r="Q5" i="30" s="1"/>
  <c r="P6" i="30" a="1"/>
  <c r="P6" i="30" s="1"/>
  <c r="L37" i="9" l="1"/>
  <c r="D46" i="2" s="1"/>
  <c r="R41" i="9"/>
  <c r="D47" i="2" s="1"/>
  <c r="P5" i="30"/>
  <c r="W5" i="30" s="1"/>
  <c r="AH43" i="30" s="1"/>
  <c r="AL28" i="9" s="1"/>
  <c r="AL35" i="9" s="1"/>
  <c r="AL37" i="9" s="1"/>
  <c r="F55" i="2" s="1"/>
  <c r="Q6" i="30"/>
  <c r="W6" i="30" s="1"/>
  <c r="AJ43" i="30" l="1"/>
  <c r="AN28" i="9" s="1"/>
  <c r="AN35" i="9" s="1"/>
  <c r="AN37" i="9" s="1"/>
  <c r="H55" i="2" s="1"/>
  <c r="AF43" i="30"/>
  <c r="AJ28" i="9" s="1"/>
  <c r="AJ35" i="9" s="1"/>
  <c r="AJ37" i="9" s="1"/>
  <c r="D55" i="2" s="1"/>
  <c r="AS28" i="9"/>
  <c r="AS35" i="9" s="1"/>
  <c r="AS37" i="9" s="1"/>
  <c r="N55" i="2" s="1"/>
  <c r="D22" i="4" s="1"/>
  <c r="AI43" i="30"/>
  <c r="AM28" i="9" s="1"/>
  <c r="AM35" i="9" s="1"/>
  <c r="AM37" i="9" s="1"/>
  <c r="G55" i="2" s="1"/>
  <c r="AK43" i="30"/>
  <c r="AO28" i="9" s="1"/>
  <c r="AO35" i="9" s="1"/>
  <c r="AO37" i="9" s="1"/>
  <c r="I55" i="2" s="1"/>
  <c r="AM43" i="30"/>
  <c r="AQ28" i="9" s="1"/>
  <c r="AQ35" i="9" s="1"/>
  <c r="AQ37" i="9" s="1"/>
  <c r="L55" i="2" s="1"/>
  <c r="AG43" i="30"/>
  <c r="AK28" i="9" s="1"/>
  <c r="AK35" i="9" s="1"/>
  <c r="AK37" i="9" s="1"/>
  <c r="E55" i="2" s="1"/>
  <c r="AL43" i="30"/>
  <c r="AP28" i="9" s="1"/>
  <c r="AP35" i="9" s="1"/>
  <c r="AP37" i="9" s="1"/>
  <c r="K55" i="2" s="1"/>
  <c r="AG44" i="30"/>
  <c r="AU28" i="9" s="1"/>
  <c r="AU35" i="9" s="1"/>
  <c r="AU37" i="9" s="1"/>
  <c r="E56" i="2" s="1"/>
  <c r="AK44" i="30"/>
  <c r="AY28" i="9" s="1"/>
  <c r="AY35" i="9" s="1"/>
  <c r="AY37" i="9" s="1"/>
  <c r="I56" i="2" s="1"/>
  <c r="AL44" i="30"/>
  <c r="AZ28" i="9" s="1"/>
  <c r="AZ35" i="9" s="1"/>
  <c r="AZ37" i="9" s="1"/>
  <c r="K56" i="2" s="1"/>
  <c r="AI44" i="30"/>
  <c r="AW28" i="9" s="1"/>
  <c r="AW35" i="9" s="1"/>
  <c r="AW37" i="9" s="1"/>
  <c r="G56" i="2" s="1"/>
  <c r="BC28" i="9"/>
  <c r="BC35" i="9" s="1"/>
  <c r="BC37" i="9" s="1"/>
  <c r="N56" i="2" s="1"/>
  <c r="AH44" i="30"/>
  <c r="AV28" i="9" s="1"/>
  <c r="AV35" i="9" s="1"/>
  <c r="AV37" i="9" s="1"/>
  <c r="F56" i="2" s="1"/>
  <c r="AF44" i="30"/>
  <c r="AM44" i="30"/>
  <c r="BA28" i="9" s="1"/>
  <c r="BA35" i="9" s="1"/>
  <c r="BA37" i="9" s="1"/>
  <c r="L56" i="2" s="1"/>
  <c r="AJ44" i="30"/>
  <c r="AX28" i="9" s="1"/>
  <c r="AX35" i="9" s="1"/>
  <c r="AX37" i="9" s="1"/>
  <c r="H56" i="2" s="1"/>
  <c r="AO43" i="30" l="1"/>
  <c r="AP43" i="30" s="1"/>
  <c r="AN43" i="30"/>
  <c r="AR28" i="9" s="1"/>
  <c r="AR35" i="9" s="1"/>
  <c r="AR37" i="9" s="1"/>
  <c r="M55" i="2" s="1"/>
  <c r="D22" i="27"/>
  <c r="D22" i="31"/>
  <c r="D22" i="7"/>
  <c r="D22" i="12"/>
  <c r="D22" i="23"/>
  <c r="AO44" i="30"/>
  <c r="AP44" i="30" s="1"/>
  <c r="AN44" i="30"/>
  <c r="BB28" i="9" s="1"/>
  <c r="BB35" i="9" s="1"/>
  <c r="BB37" i="9" s="1"/>
  <c r="M56" i="2" s="1"/>
  <c r="AT28" i="9"/>
  <c r="AT35" i="9" s="1"/>
  <c r="AT37" i="9" s="1"/>
  <c r="D56" i="2" s="1"/>
  <c r="D26" i="31"/>
  <c r="D27" i="31" s="1"/>
  <c r="D26" i="4"/>
  <c r="D27" i="4" s="1"/>
  <c r="D26" i="12"/>
  <c r="D27" i="12" s="1"/>
  <c r="D26" i="27"/>
  <c r="D27" i="27" s="1"/>
  <c r="D26" i="7"/>
  <c r="D27" i="7" s="1"/>
  <c r="D26" i="23"/>
  <c r="D27" i="23" s="1"/>
  <c r="P5" i="29" l="1" a="1"/>
  <c r="P5" i="29" s="1"/>
  <c r="Q5" i="29" l="1"/>
  <c r="W5" i="29" s="1"/>
  <c r="AL43" i="29" l="1"/>
  <c r="AF28" i="9" s="1"/>
  <c r="AF35" i="9" s="1"/>
  <c r="AF37" i="9" s="1"/>
  <c r="K54" i="2" s="1"/>
  <c r="AJ43" i="29"/>
  <c r="AD28" i="9" s="1"/>
  <c r="AD35" i="9" s="1"/>
  <c r="AD37" i="9" s="1"/>
  <c r="H54" i="2" s="1"/>
  <c r="AG43" i="29"/>
  <c r="AA28" i="9" s="1"/>
  <c r="AA35" i="9" s="1"/>
  <c r="AA37" i="9" s="1"/>
  <c r="E54" i="2" s="1"/>
  <c r="AI28" i="9"/>
  <c r="AI35" i="9" s="1"/>
  <c r="AI37" i="9" s="1"/>
  <c r="N54" i="2" s="1"/>
  <c r="AF43" i="29"/>
  <c r="AK43" i="29"/>
  <c r="AE28" i="9" s="1"/>
  <c r="AE35" i="9" s="1"/>
  <c r="AE37" i="9" s="1"/>
  <c r="I54" i="2" s="1"/>
  <c r="AH43" i="29"/>
  <c r="AB28" i="9" s="1"/>
  <c r="AB35" i="9" s="1"/>
  <c r="AB37" i="9" s="1"/>
  <c r="F54" i="2" s="1"/>
  <c r="AI43" i="29"/>
  <c r="AC28" i="9" s="1"/>
  <c r="AC35" i="9" s="1"/>
  <c r="AC37" i="9" s="1"/>
  <c r="G54" i="2" s="1"/>
  <c r="AM43" i="29"/>
  <c r="AG28" i="9" s="1"/>
  <c r="AG35" i="9" s="1"/>
  <c r="AG37" i="9" s="1"/>
  <c r="L54" i="2" s="1"/>
  <c r="D21" i="23" l="1"/>
  <c r="D23" i="23" s="1"/>
  <c r="C29" i="23" s="1"/>
  <c r="C30" i="23" s="1"/>
  <c r="C32" i="23" s="1"/>
  <c r="C35" i="23" s="1"/>
  <c r="D21" i="31"/>
  <c r="D23" i="31" s="1"/>
  <c r="C29" i="31" s="1"/>
  <c r="C30" i="31" s="1"/>
  <c r="C32" i="31" s="1"/>
  <c r="C35" i="31" s="1"/>
  <c r="D21" i="7"/>
  <c r="D23" i="7" s="1"/>
  <c r="C29" i="7" s="1"/>
  <c r="C30" i="7" s="1"/>
  <c r="C32" i="7" s="1"/>
  <c r="C35" i="7" s="1"/>
  <c r="D21" i="27"/>
  <c r="D23" i="27" s="1"/>
  <c r="C29" i="27" s="1"/>
  <c r="C30" i="27" s="1"/>
  <c r="C32" i="27" s="1"/>
  <c r="C35" i="27" s="1"/>
  <c r="D21" i="4"/>
  <c r="D23" i="4" s="1"/>
  <c r="C29" i="4" s="1"/>
  <c r="C30" i="4" s="1"/>
  <c r="C32" i="4" s="1"/>
  <c r="C35" i="4" s="1"/>
  <c r="D21" i="12"/>
  <c r="D23" i="12" s="1"/>
  <c r="C29" i="12" s="1"/>
  <c r="C30" i="12" s="1"/>
  <c r="C32" i="12" s="1"/>
  <c r="C35" i="12" s="1"/>
  <c r="AO43" i="29"/>
  <c r="AP43" i="29" s="1"/>
  <c r="Z28" i="9"/>
  <c r="Z35" i="9" s="1"/>
  <c r="Z37" i="9" s="1"/>
  <c r="D54" i="2" s="1"/>
  <c r="AN43" i="29"/>
  <c r="AH28" i="9" s="1"/>
  <c r="AH35" i="9" s="1"/>
  <c r="AH37" i="9" s="1"/>
  <c r="M54" i="2" s="1"/>
  <c r="M39" i="12" l="1"/>
  <c r="BE25" i="9" s="1"/>
  <c r="BD15" i="9" s="1"/>
  <c r="R39" i="12"/>
  <c r="BJ25" i="9" s="1"/>
  <c r="BI15" i="9" s="1"/>
  <c r="G35" i="12"/>
  <c r="L39" i="12"/>
  <c r="O39" i="12"/>
  <c r="BG25" i="9" s="1"/>
  <c r="BF15" i="9" s="1"/>
  <c r="BM25" i="9"/>
  <c r="P39" i="12"/>
  <c r="BH25" i="9" s="1"/>
  <c r="BG15" i="9" s="1"/>
  <c r="Q39" i="12"/>
  <c r="BI25" i="9" s="1"/>
  <c r="BH15" i="9" s="1"/>
  <c r="F35" i="12"/>
  <c r="S39" i="12"/>
  <c r="BK25" i="9" s="1"/>
  <c r="BJ15" i="9" s="1"/>
  <c r="N39" i="12"/>
  <c r="BF25" i="9" s="1"/>
  <c r="BE15" i="9" s="1"/>
  <c r="M39" i="4"/>
  <c r="BE23" i="9" s="1"/>
  <c r="BD13" i="9" s="1"/>
  <c r="P39" i="4"/>
  <c r="BH23" i="9" s="1"/>
  <c r="BG13" i="9" s="1"/>
  <c r="G35" i="4"/>
  <c r="F35" i="4"/>
  <c r="O39" i="4"/>
  <c r="BG23" i="9" s="1"/>
  <c r="BF13" i="9" s="1"/>
  <c r="L39" i="4"/>
  <c r="S39" i="4"/>
  <c r="BK23" i="9" s="1"/>
  <c r="BJ13" i="9" s="1"/>
  <c r="N39" i="4"/>
  <c r="BF23" i="9" s="1"/>
  <c r="BE13" i="9" s="1"/>
  <c r="R39" i="4"/>
  <c r="BJ23" i="9" s="1"/>
  <c r="BI13" i="9" s="1"/>
  <c r="Q39" i="4"/>
  <c r="BI23" i="9" s="1"/>
  <c r="BH13" i="9" s="1"/>
  <c r="BM23" i="9"/>
  <c r="R39" i="27"/>
  <c r="BJ26" i="9" s="1"/>
  <c r="BI16" i="9" s="1"/>
  <c r="N39" i="27"/>
  <c r="BF26" i="9" s="1"/>
  <c r="BE16" i="9" s="1"/>
  <c r="Q39" i="27"/>
  <c r="BI26" i="9" s="1"/>
  <c r="BH16" i="9" s="1"/>
  <c r="O39" i="27"/>
  <c r="BG26" i="9" s="1"/>
  <c r="BF16" i="9" s="1"/>
  <c r="F35" i="27"/>
  <c r="L39" i="27"/>
  <c r="BM26" i="9"/>
  <c r="M39" i="27"/>
  <c r="BE26" i="9" s="1"/>
  <c r="BD16" i="9" s="1"/>
  <c r="P39" i="27"/>
  <c r="BH26" i="9" s="1"/>
  <c r="BG16" i="9" s="1"/>
  <c r="S39" i="27"/>
  <c r="BK26" i="9" s="1"/>
  <c r="BJ16" i="9" s="1"/>
  <c r="G35" i="27"/>
  <c r="N39" i="7"/>
  <c r="BF24" i="9" s="1"/>
  <c r="BE14" i="9" s="1"/>
  <c r="M39" i="7"/>
  <c r="BE24" i="9" s="1"/>
  <c r="BD14" i="9" s="1"/>
  <c r="S39" i="7"/>
  <c r="BK24" i="9" s="1"/>
  <c r="BJ14" i="9" s="1"/>
  <c r="P39" i="7"/>
  <c r="BH24" i="9" s="1"/>
  <c r="BG14" i="9" s="1"/>
  <c r="R39" i="7"/>
  <c r="BJ24" i="9" s="1"/>
  <c r="BI14" i="9" s="1"/>
  <c r="BM24" i="9"/>
  <c r="Q39" i="7"/>
  <c r="BI24" i="9" s="1"/>
  <c r="BH14" i="9" s="1"/>
  <c r="G35" i="7"/>
  <c r="F35" i="7"/>
  <c r="L39" i="7"/>
  <c r="O39" i="7"/>
  <c r="BG24" i="9" s="1"/>
  <c r="BF14" i="9" s="1"/>
  <c r="L39" i="31"/>
  <c r="N39" i="31"/>
  <c r="BF28" i="9" s="1"/>
  <c r="G35" i="31"/>
  <c r="O39" i="31"/>
  <c r="BG28" i="9" s="1"/>
  <c r="S39" i="31"/>
  <c r="BK28" i="9" s="1"/>
  <c r="R39" i="31"/>
  <c r="BJ28" i="9" s="1"/>
  <c r="F35" i="31"/>
  <c r="M39" i="31"/>
  <c r="BE28" i="9" s="1"/>
  <c r="P39" i="31"/>
  <c r="BH28" i="9" s="1"/>
  <c r="BM28" i="9"/>
  <c r="Q39" i="31"/>
  <c r="BI28" i="9" s="1"/>
  <c r="M39" i="23"/>
  <c r="BE27" i="9" s="1"/>
  <c r="BD17" i="9" s="1"/>
  <c r="R39" i="23"/>
  <c r="BJ27" i="9" s="1"/>
  <c r="BI17" i="9" s="1"/>
  <c r="S39" i="23"/>
  <c r="BK27" i="9" s="1"/>
  <c r="BJ17" i="9" s="1"/>
  <c r="O39" i="23"/>
  <c r="BG27" i="9" s="1"/>
  <c r="BF17" i="9" s="1"/>
  <c r="Q39" i="23"/>
  <c r="BI27" i="9" s="1"/>
  <c r="BH17" i="9" s="1"/>
  <c r="G35" i="23"/>
  <c r="P39" i="23"/>
  <c r="BH27" i="9" s="1"/>
  <c r="BG17" i="9" s="1"/>
  <c r="F35" i="23"/>
  <c r="BM27" i="9"/>
  <c r="L39" i="23"/>
  <c r="N39" i="23"/>
  <c r="BF27" i="9" s="1"/>
  <c r="BE17" i="9" s="1"/>
  <c r="BF18" i="9" l="1"/>
  <c r="BG35" i="9" s="1" a="1"/>
  <c r="BG35" i="9" s="1"/>
  <c r="BG37" i="9" s="1"/>
  <c r="G62" i="2" s="1"/>
  <c r="BO28" i="9"/>
  <c r="BN28" i="9"/>
  <c r="BG18" i="9"/>
  <c r="BH35" i="9" s="1" a="1"/>
  <c r="BH35" i="9" s="1"/>
  <c r="BH37" i="9" s="1"/>
  <c r="H62" i="2" s="1"/>
  <c r="BD28" i="9"/>
  <c r="U39" i="31"/>
  <c r="W39" i="31" s="1"/>
  <c r="T39" i="31"/>
  <c r="BL28" i="9" s="1"/>
  <c r="BN26" i="9"/>
  <c r="BM16" i="9" s="1"/>
  <c r="BL16" i="9"/>
  <c r="BO26" i="9"/>
  <c r="BN16" i="9" s="1"/>
  <c r="BN24" i="9"/>
  <c r="BO24" i="9"/>
  <c r="BE18" i="9"/>
  <c r="BF35" i="9" s="1" a="1"/>
  <c r="BF35" i="9" s="1"/>
  <c r="BF37" i="9" s="1"/>
  <c r="F62" i="2" s="1"/>
  <c r="U39" i="27"/>
  <c r="W39" i="27" s="1"/>
  <c r="BD26" i="9"/>
  <c r="BC16" i="9" s="1"/>
  <c r="T39" i="27"/>
  <c r="BL26" i="9" s="1"/>
  <c r="BK16" i="9" s="1"/>
  <c r="T39" i="12"/>
  <c r="BL25" i="9" s="1"/>
  <c r="BD25" i="9"/>
  <c r="BC15" i="9" s="1"/>
  <c r="U39" i="12"/>
  <c r="W39" i="12" s="1"/>
  <c r="BO27" i="9"/>
  <c r="BN17" i="9" s="1"/>
  <c r="BN27" i="9"/>
  <c r="BM17" i="9" s="1"/>
  <c r="BL17" i="9"/>
  <c r="BH18" i="9"/>
  <c r="BI35" i="9" s="1" a="1"/>
  <c r="BI35" i="9" s="1"/>
  <c r="BI37" i="9" s="1"/>
  <c r="I62" i="2" s="1"/>
  <c r="BO25" i="9"/>
  <c r="BN25" i="9"/>
  <c r="BI18" i="9"/>
  <c r="BJ35" i="9" s="1" a="1"/>
  <c r="BJ35" i="9" s="1"/>
  <c r="BJ37" i="9" s="1"/>
  <c r="K62" i="2" s="1"/>
  <c r="BO23" i="9"/>
  <c r="BN23" i="9"/>
  <c r="BD18" i="9"/>
  <c r="BE35" i="9" s="1" a="1"/>
  <c r="BE35" i="9" s="1"/>
  <c r="BE37" i="9" s="1"/>
  <c r="E62" i="2" s="1"/>
  <c r="U39" i="7"/>
  <c r="W39" i="7" s="1"/>
  <c r="T39" i="7"/>
  <c r="BL24" i="9" s="1"/>
  <c r="BD24" i="9"/>
  <c r="BC14" i="9" s="1"/>
  <c r="T39" i="23"/>
  <c r="BL27" i="9" s="1"/>
  <c r="BK17" i="9" s="1"/>
  <c r="BD27" i="9"/>
  <c r="BC17" i="9" s="1"/>
  <c r="U39" i="23"/>
  <c r="W39" i="23" s="1"/>
  <c r="BJ18" i="9"/>
  <c r="BK35" i="9" s="1" a="1"/>
  <c r="BK35" i="9" s="1"/>
  <c r="BK37" i="9" s="1"/>
  <c r="L62" i="2" s="1"/>
  <c r="BD23" i="9"/>
  <c r="BC13" i="9" s="1"/>
  <c r="U39" i="4"/>
  <c r="W39" i="4" s="1"/>
  <c r="T39" i="4"/>
  <c r="BL23" i="9" s="1"/>
  <c r="BL14" i="9" l="1" a="1"/>
  <c r="BK14" i="9" a="1"/>
  <c r="BK13" i="9" a="1"/>
  <c r="BK13" i="9" s="1"/>
  <c r="BL13" i="9" a="1"/>
  <c r="BL13" i="9" s="1"/>
  <c r="BL15" i="9" a="1"/>
  <c r="BL15" i="9" s="1"/>
  <c r="BK15" i="9" a="1"/>
  <c r="BK15" i="9" s="1"/>
  <c r="BC18" i="9"/>
  <c r="BK14" i="9"/>
  <c r="BL14" i="9"/>
  <c r="BD35" i="9" l="1" a="1"/>
  <c r="BD35" i="9" s="1"/>
  <c r="BD37" i="9" s="1"/>
  <c r="D62" i="2" s="1"/>
  <c r="BL18" i="9" a="1"/>
  <c r="BK18" i="9" a="1"/>
  <c r="BK18" i="9" s="1"/>
  <c r="BL35" i="9" s="1" a="1"/>
  <c r="BL35" i="9" s="1"/>
  <c r="BL37" i="9" s="1"/>
  <c r="M62" i="2" s="1"/>
  <c r="BM14" i="9"/>
  <c r="BN14" i="9"/>
  <c r="BM15" i="9"/>
  <c r="BN15" i="9"/>
  <c r="BL18" i="9"/>
  <c r="BM35" i="9" s="1" a="1"/>
  <c r="BM35" i="9" s="1"/>
  <c r="BM37" i="9" s="1"/>
  <c r="N62" i="2" s="1"/>
  <c r="BM13" i="9"/>
  <c r="BN13" i="9"/>
  <c r="BN18" i="9" l="1"/>
  <c r="BO35" i="9" s="1" a="1"/>
  <c r="BO35" i="9" s="1"/>
  <c r="BO37" i="9" s="1"/>
  <c r="N64" i="2" s="1"/>
  <c r="BM18" i="9"/>
  <c r="BN35" i="9" s="1" a="1"/>
  <c r="BN35" i="9" s="1"/>
  <c r="BN37" i="9" s="1"/>
  <c r="N63" i="2" s="1"/>
  <c r="Q18" i="24"/>
  <c r="T25" i="24" s="1"/>
  <c r="I11" i="24"/>
  <c r="I26" i="24" s="1"/>
  <c r="Q11" i="28"/>
  <c r="T24" i="28" s="1"/>
  <c r="I11" i="28"/>
  <c r="I26" i="28" s="1"/>
  <c r="K49" i="9" l="1"/>
  <c r="E25" i="24"/>
  <c r="E25" i="28"/>
  <c r="J49" i="9"/>
  <c r="M49" i="9" s="1" a="1"/>
  <c r="M49" i="9" s="1"/>
  <c r="Q34" i="28"/>
  <c r="T27" i="28" s="1"/>
  <c r="Q26" i="24"/>
  <c r="T26" i="24" s="1"/>
  <c r="Q26" i="28"/>
  <c r="T26" i="28" s="1"/>
  <c r="Q34" i="24"/>
  <c r="T27" i="24" s="1"/>
  <c r="S31" i="24" s="1" a="1"/>
  <c r="Q18" i="28"/>
  <c r="T25" i="28" s="1"/>
  <c r="S31" i="28" s="1" a="1"/>
  <c r="S29" i="24" l="1" a="1"/>
  <c r="S29" i="24" s="1"/>
  <c r="T31" i="28"/>
  <c r="S31" i="28"/>
  <c r="U31" i="28"/>
  <c r="T31" i="24"/>
  <c r="S31" i="24"/>
  <c r="U31" i="24"/>
  <c r="S29" i="28" a="1"/>
  <c r="S29" i="28" s="1"/>
  <c r="S22" i="24" l="1"/>
  <c r="I13" i="24" s="1"/>
  <c r="I25" i="24" s="1"/>
  <c r="S22" i="28"/>
  <c r="I13" i="28" s="1"/>
  <c r="I25" i="28" s="1"/>
  <c r="I17" i="24" l="1"/>
  <c r="I17" i="28"/>
  <c r="J42" i="9" s="1"/>
  <c r="E26" i="28" a="1"/>
  <c r="E26" i="28" s="1"/>
  <c r="I27" i="28"/>
  <c r="J48" i="9"/>
  <c r="F25" i="28"/>
  <c r="K42" i="9"/>
  <c r="F17" i="24"/>
  <c r="I18" i="24"/>
  <c r="E17" i="24"/>
  <c r="I27" i="24"/>
  <c r="K48" i="9"/>
  <c r="E26" i="24" a="1"/>
  <c r="E26" i="24" s="1"/>
  <c r="F25" i="24"/>
  <c r="E17" i="28" l="1"/>
  <c r="F17" i="28"/>
  <c r="I18" i="28"/>
  <c r="I21" i="28" s="1"/>
  <c r="M42" i="9" a="1"/>
  <c r="M42" i="9" s="1"/>
  <c r="M48" i="9" a="1"/>
  <c r="M48" i="9" s="1"/>
  <c r="I20" i="24"/>
  <c r="K45" i="9" s="1"/>
  <c r="I21" i="24"/>
  <c r="I19" i="24"/>
  <c r="K44" i="9" s="1"/>
  <c r="K43" i="9"/>
  <c r="I29" i="28"/>
  <c r="J52" i="9" s="1"/>
  <c r="I30" i="28"/>
  <c r="I28" i="28"/>
  <c r="J51" i="9" s="1"/>
  <c r="J50" i="9"/>
  <c r="I29" i="24"/>
  <c r="K52" i="9" s="1"/>
  <c r="K50" i="9"/>
  <c r="I28" i="24"/>
  <c r="K51" i="9" s="1"/>
  <c r="I30" i="24"/>
  <c r="I20" i="28" l="1"/>
  <c r="J45" i="9" s="1"/>
  <c r="J43" i="9"/>
  <c r="I19" i="28"/>
  <c r="J44" i="9" s="1"/>
  <c r="M44" i="9" s="1" a="1"/>
  <c r="M44" i="9" s="1"/>
  <c r="E20" i="24"/>
  <c r="M45" i="9" a="1"/>
  <c r="M45" i="9" s="1"/>
  <c r="M50" i="9" a="1"/>
  <c r="M50" i="9" s="1"/>
  <c r="M43" i="9" a="1"/>
  <c r="M43" i="9" s="1"/>
  <c r="M52" i="9" a="1"/>
  <c r="M52" i="9" s="1"/>
  <c r="M51" i="9" a="1"/>
  <c r="M51" i="9" s="1"/>
  <c r="E29" i="28"/>
  <c r="E19" i="24"/>
  <c r="I31" i="28"/>
  <c r="E30" i="28" s="1"/>
  <c r="J53" i="9"/>
  <c r="I31" i="24"/>
  <c r="E30" i="24" s="1"/>
  <c r="K53" i="9"/>
  <c r="E28" i="28"/>
  <c r="I22" i="24"/>
  <c r="E21" i="24" s="1"/>
  <c r="K46" i="9"/>
  <c r="J46" i="9"/>
  <c r="I22" i="28"/>
  <c r="E21" i="28" s="1"/>
  <c r="E28" i="24"/>
  <c r="E29" i="24"/>
  <c r="E20" i="28" l="1"/>
  <c r="E19" i="28"/>
  <c r="M46" i="9" a="1"/>
  <c r="M46" i="9" s="1"/>
  <c r="E22" i="24"/>
  <c r="K47" i="9" s="1"/>
  <c r="M53" i="9" a="1"/>
  <c r="M53" i="9" s="1"/>
  <c r="E22" i="28"/>
  <c r="J47" i="9" s="1"/>
  <c r="E31" i="24"/>
  <c r="K54" i="9" s="1"/>
  <c r="E31" i="28"/>
  <c r="J54" i="9" s="1"/>
  <c r="M54" i="9" l="1" a="1"/>
  <c r="M54" i="9" s="1"/>
  <c r="M60" i="9" s="1" a="1"/>
  <c r="M60" i="9" s="1"/>
  <c r="M64" i="9" s="1"/>
  <c r="H101" i="2" s="1"/>
  <c r="M47" i="9" a="1"/>
  <c r="M47" i="9" s="1"/>
  <c r="N41" i="9" s="1"/>
  <c r="M87" i="2" s="1"/>
  <c r="N53" i="9" l="1"/>
  <c r="M100" i="2" s="1"/>
  <c r="N51" i="9"/>
  <c r="M98" i="2" s="1"/>
  <c r="N52" i="9"/>
  <c r="M99" i="2" s="1"/>
  <c r="N50" i="9"/>
  <c r="M97" i="2" s="1"/>
  <c r="N48" i="9"/>
  <c r="M95" i="2" s="1"/>
  <c r="N49" i="9"/>
  <c r="M96" i="2" s="1"/>
  <c r="N46" i="9"/>
  <c r="M92" i="2" s="1"/>
  <c r="N42" i="9"/>
  <c r="M88" i="2" s="1"/>
  <c r="N45" i="9"/>
  <c r="M91" i="2" s="1"/>
  <c r="N44" i="9"/>
  <c r="M90" i="2" s="1"/>
  <c r="N43" i="9"/>
  <c r="M89" i="2" s="1"/>
  <c r="M59" i="9" a="1"/>
  <c r="M59" i="9" s="1"/>
  <c r="M63" i="9" s="1"/>
  <c r="H93" i="2" s="1"/>
  <c r="DA22" i="9"/>
  <c r="DA35" i="9" s="1" a="1"/>
  <c r="DA35" i="9" s="1"/>
  <c r="AL34" i="1"/>
  <c r="CY22" i="9" s="1"/>
  <c r="CY35" i="9" s="1" a="1"/>
  <c r="CY35" i="9" s="1"/>
  <c r="AL34" i="3"/>
  <c r="CX22" i="9" s="1"/>
  <c r="AL36" i="3"/>
  <c r="CZ22" i="9" s="1"/>
  <c r="CZ35" i="9" s="1" a="1"/>
  <c r="CZ35" i="9" s="1"/>
  <c r="CU37" i="9" l="1"/>
  <c r="M46" i="2" s="1"/>
  <c r="CS38" i="9"/>
  <c r="M45" i="2" s="1"/>
  <c r="CS37" i="9"/>
  <c r="M44" i="2" s="1"/>
  <c r="DA37" i="9"/>
  <c r="M47" i="2" s="1"/>
  <c r="AA1" i="25" l="1" a="1"/>
  <c r="AB1" i="25" s="1"/>
  <c r="D15" i="25" s="1"/>
  <c r="W38" i="25" s="1"/>
  <c r="AA1" i="25" l="1"/>
  <c r="C15" i="25" s="1"/>
  <c r="AC1" i="25"/>
  <c r="E15" i="25" s="1"/>
  <c r="X38" i="25" s="1"/>
  <c r="V38" i="25" l="1"/>
  <c r="Y38" i="25"/>
  <c r="Z38" i="25" l="1"/>
  <c r="AA38" i="25"/>
  <c r="AC38" i="25" l="1"/>
  <c r="AD38" i="25" s="1"/>
  <c r="AC116" i="19" a="1"/>
  <c r="AD116" i="19" s="1"/>
  <c r="AE116" i="19" s="1"/>
  <c r="AP34" i="25" l="1"/>
  <c r="CV25" i="9" s="1"/>
  <c r="CV35" i="9" s="1" a="1"/>
  <c r="CV35" i="9" s="1"/>
  <c r="CV37" i="9" s="1"/>
  <c r="L37" i="2" s="1"/>
  <c r="AS34" i="25"/>
  <c r="CX25" i="9" s="1"/>
  <c r="CX35" i="9" s="1" a="1"/>
  <c r="CX35" i="9" s="1"/>
  <c r="CX37" i="9" s="1" a="1"/>
  <c r="CX37" i="9" s="1"/>
  <c r="L41" i="2" s="1"/>
  <c r="AC116" i="19"/>
  <c r="AC121" i="19" s="1"/>
  <c r="AC122" i="19" s="1"/>
  <c r="CR38" i="9" l="1"/>
  <c r="L45" i="2" s="1"/>
  <c r="CT37" i="9"/>
  <c r="L46" i="2" s="1"/>
  <c r="CR37" i="9"/>
  <c r="L44" i="2" s="1"/>
  <c r="CZ37" i="9"/>
  <c r="L47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<sst xmlns="http://schemas.openxmlformats.org/spreadsheetml/2006/main" count="5612" uniqueCount="2001">
  <si>
    <t>Tuloilma tilavuusvirta vs. painehäviö</t>
  </si>
  <si>
    <t>y = paine</t>
  </si>
  <si>
    <t>x = til.virta</t>
  </si>
  <si>
    <t>10V</t>
  </si>
  <si>
    <t>A</t>
  </si>
  <si>
    <t>B</t>
  </si>
  <si>
    <t>C</t>
  </si>
  <si>
    <t>Tulo</t>
  </si>
  <si>
    <t>Poisto</t>
  </si>
  <si>
    <t>7,5V</t>
  </si>
  <si>
    <t>5V</t>
  </si>
  <si>
    <t>2. aste polynomi</t>
  </si>
  <si>
    <t>3V</t>
  </si>
  <si>
    <t>l/s</t>
  </si>
  <si>
    <t>Pa</t>
  </si>
  <si>
    <t>Syötä piste</t>
  </si>
  <si>
    <t>Verkkokäyrä mitoituspisteelle</t>
  </si>
  <si>
    <t>alfa</t>
  </si>
  <si>
    <t>Ohjaus</t>
  </si>
  <si>
    <t>Leik. 1</t>
  </si>
  <si>
    <t>Leik. 2</t>
  </si>
  <si>
    <t>Valinta</t>
  </si>
  <si>
    <t>Max</t>
  </si>
  <si>
    <t>3-7,5V</t>
  </si>
  <si>
    <t>7,5V - 10V</t>
  </si>
  <si>
    <t>V</t>
  </si>
  <si>
    <t>Ulkokanava</t>
  </si>
  <si>
    <t>LwA</t>
  </si>
  <si>
    <t>Ulko</t>
  </si>
  <si>
    <t>Tulokanava</t>
  </si>
  <si>
    <t>7,5 V</t>
  </si>
  <si>
    <t>dB</t>
  </si>
  <si>
    <t>Sovitteet 2. ja 3. aste riippuen tilanteesta</t>
  </si>
  <si>
    <t>3. aste polynomisovitus</t>
  </si>
  <si>
    <t>Logaritmisovite LwA vs qV</t>
  </si>
  <si>
    <t>Spektrikorjaukset</t>
  </si>
  <si>
    <t>Lwokt = LwA + K</t>
  </si>
  <si>
    <t>Verkkokäyrän potenssikäyrän termi</t>
  </si>
  <si>
    <t>A' = A-alfa</t>
  </si>
  <si>
    <t>Leikkauskohdat</t>
  </si>
  <si>
    <t>Sovitteen parametrit</t>
  </si>
  <si>
    <t>Lineaarisovite ohjausjännitteelle (2-osainen)</t>
  </si>
  <si>
    <t>---&gt;</t>
  </si>
  <si>
    <t>----&gt;</t>
  </si>
  <si>
    <t>Tulopuhallin</t>
  </si>
  <si>
    <t>Mitatut pisteet</t>
  </si>
  <si>
    <t>Äänisovitteet tilavuusvirralle</t>
  </si>
  <si>
    <t>P</t>
  </si>
  <si>
    <t>Teho vs tilavuusvirta</t>
  </si>
  <si>
    <t>W</t>
  </si>
  <si>
    <t>Tehon sovitteet 2. aste polynomi</t>
  </si>
  <si>
    <t>Polynomisovite teholle</t>
  </si>
  <si>
    <t>Rajoitus</t>
  </si>
  <si>
    <t>Pisteitä käyrien piirtämistä varten</t>
  </si>
  <si>
    <t>Teho</t>
  </si>
  <si>
    <t>Poistokanava</t>
  </si>
  <si>
    <t>Jätekanava</t>
  </si>
  <si>
    <t>Jäte</t>
  </si>
  <si>
    <t>Poistopuhallin</t>
  </si>
  <si>
    <t>Poistoilma tilavuusvirta vs. painehäviö</t>
  </si>
  <si>
    <r>
      <t>L</t>
    </r>
    <r>
      <rPr>
        <b/>
        <vertAlign val="subscript"/>
        <sz val="10"/>
        <rFont val="Century Gothic"/>
        <family val="2"/>
      </rPr>
      <t xml:space="preserve">Wtot
</t>
    </r>
    <r>
      <rPr>
        <b/>
        <sz val="10"/>
        <rFont val="Century Gothic"/>
        <family val="2"/>
      </rPr>
      <t>[dB]</t>
    </r>
  </si>
  <si>
    <t>63 Hz</t>
  </si>
  <si>
    <t>125 Hz</t>
  </si>
  <si>
    <t>250 Hz</t>
  </si>
  <si>
    <t>500 Hz</t>
  </si>
  <si>
    <t>1 kHz</t>
  </si>
  <si>
    <t>2 kHz</t>
  </si>
  <si>
    <t>4 kHz</t>
  </si>
  <si>
    <t>8 kHz</t>
  </si>
  <si>
    <r>
      <t>L</t>
    </r>
    <r>
      <rPr>
        <b/>
        <vertAlign val="subscript"/>
        <sz val="10"/>
        <rFont val="Century Gothic"/>
        <family val="2"/>
      </rPr>
      <t>WAtot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</si>
  <si>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t>Lwtot</t>
  </si>
  <si>
    <t>LwAtot</t>
  </si>
  <si>
    <r>
      <t>dm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</si>
  <si>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Elektroniikka</t>
  </si>
  <si>
    <t>Total power</t>
  </si>
  <si>
    <t>SFP</t>
  </si>
  <si>
    <t>SFP:</t>
  </si>
  <si>
    <r>
      <t>kW/m</t>
    </r>
    <r>
      <rPr>
        <vertAlign val="superscript"/>
        <sz val="10"/>
        <color theme="1"/>
        <rFont val="Century Gothic"/>
        <family val="2"/>
      </rPr>
      <t>3</t>
    </r>
    <r>
      <rPr>
        <sz val="10"/>
        <color theme="1"/>
        <rFont val="Century Gothic"/>
        <family val="2"/>
      </rPr>
      <t>/s</t>
    </r>
  </si>
  <si>
    <t>Maks qV</t>
  </si>
  <si>
    <t>Ohjausjännite</t>
  </si>
  <si>
    <t>7,5 V - 10 V</t>
  </si>
  <si>
    <t>4 V - 7,5 V</t>
  </si>
  <si>
    <t>Korjaus</t>
  </si>
  <si>
    <t>Taustamelukorjattu</t>
  </si>
  <si>
    <t>Äänitehotasot kanaviin</t>
  </si>
  <si>
    <t>Imupuoli</t>
  </si>
  <si>
    <t>Painepuoli</t>
  </si>
  <si>
    <t>Erotus</t>
  </si>
  <si>
    <t>Sovite ohj. Jännite vs. LwA vaipan läpi</t>
  </si>
  <si>
    <t>y = Ax + B</t>
  </si>
  <si>
    <t>y = LwA, x = ohjausjännite</t>
  </si>
  <si>
    <t>Maksimi</t>
  </si>
  <si>
    <t>Painotettu keskiarvo</t>
  </si>
  <si>
    <t>Korjaus K</t>
  </si>
  <si>
    <t>Keskiarvo erotus</t>
  </si>
  <si>
    <t>Maksimikorjaus</t>
  </si>
  <si>
    <t>Vaipan läpi</t>
  </si>
  <si>
    <t>LpA10m2</t>
  </si>
  <si>
    <t>LpA2,5m2</t>
  </si>
  <si>
    <r>
      <t>L</t>
    </r>
    <r>
      <rPr>
        <vertAlign val="subscript"/>
        <sz val="10"/>
        <color theme="1"/>
        <rFont val="Century Gothic"/>
        <family val="2"/>
      </rPr>
      <t xml:space="preserve">pA,10m²Sab </t>
    </r>
    <r>
      <rPr>
        <sz val="10"/>
        <color theme="1"/>
        <rFont val="Century Gothic"/>
        <family val="2"/>
      </rPr>
      <t>[dB]</t>
    </r>
  </si>
  <si>
    <r>
      <t>L</t>
    </r>
    <r>
      <rPr>
        <vertAlign val="subscript"/>
        <sz val="10"/>
        <color theme="1"/>
        <rFont val="Century Gothic"/>
        <family val="2"/>
      </rPr>
      <t xml:space="preserve">pA,&lt;3m²Sab </t>
    </r>
    <r>
      <rPr>
        <sz val="10"/>
        <color theme="1"/>
        <rFont val="Century Gothic"/>
        <family val="2"/>
      </rPr>
      <t>[dB]</t>
    </r>
  </si>
  <si>
    <t xml:space="preserve"> </t>
  </si>
  <si>
    <t>10 V</t>
  </si>
  <si>
    <t>5 V</t>
  </si>
  <si>
    <t>3 V</t>
  </si>
  <si>
    <t>Pvm</t>
  </si>
  <si>
    <t>Versio</t>
  </si>
  <si>
    <t>Muutokset</t>
  </si>
  <si>
    <t>Tekijä</t>
  </si>
  <si>
    <t>Lähetetty asiakkaalle</t>
  </si>
  <si>
    <t>JK</t>
  </si>
  <si>
    <t>1.0</t>
  </si>
  <si>
    <t>Ohjelma luotu</t>
  </si>
  <si>
    <t>6,5 V</t>
  </si>
  <si>
    <t>6,5V</t>
  </si>
  <si>
    <t>Model 60</t>
  </si>
  <si>
    <t>Model 100</t>
  </si>
  <si>
    <t>Tarkistus</t>
  </si>
  <si>
    <t>Äänet</t>
  </si>
  <si>
    <t>T</t>
  </si>
  <si>
    <t>Tulosteeseen</t>
  </si>
  <si>
    <t>Total</t>
  </si>
  <si>
    <t>Lisätty Model 100 tulokset, tarkennettu Model 60 ilmamääriä</t>
  </si>
  <si>
    <t>Ilmamääräkäyrät</t>
  </si>
  <si>
    <t>Total teho</t>
  </si>
  <si>
    <t>Asiakkaalle lähetetyn tiedoston nimi</t>
  </si>
  <si>
    <t>Model 60 laskentaohjelma, ver. 1.0.xlsx</t>
  </si>
  <si>
    <t>Airfi laskentaohjelma_v2.0.xlsx</t>
  </si>
  <si>
    <t>2.0</t>
  </si>
  <si>
    <t>Model 150</t>
  </si>
  <si>
    <t>Sovite ohjausjännitteelle</t>
  </si>
  <si>
    <t>6,5 - 10V</t>
  </si>
  <si>
    <t>0-6,5</t>
  </si>
  <si>
    <t>RPM</t>
  </si>
  <si>
    <t>5-10V</t>
  </si>
  <si>
    <t>3-5V</t>
  </si>
  <si>
    <t>3-6,5V</t>
  </si>
  <si>
    <t>3.0</t>
  </si>
  <si>
    <t>Lisätty Model 150 tulokset</t>
  </si>
  <si>
    <t>VALINTA</t>
  </si>
  <si>
    <t>Ohj-jännite lähin</t>
  </si>
  <si>
    <t>Kaikki voltit</t>
  </si>
  <si>
    <t>Max paine 10V</t>
  </si>
  <si>
    <t>Max pain 10V</t>
  </si>
  <si>
    <t>Max qV</t>
  </si>
  <si>
    <t>General typology</t>
  </si>
  <si>
    <t>Ventilation control</t>
  </si>
  <si>
    <t>Motor &amp; drive</t>
  </si>
  <si>
    <t>Climate</t>
  </si>
  <si>
    <t>SEC-laskenta</t>
  </si>
  <si>
    <t>MISC</t>
  </si>
  <si>
    <t>CTRL</t>
  </si>
  <si>
    <t>x-value</t>
  </si>
  <si>
    <t>Defaults</t>
  </si>
  <si>
    <t>pef</t>
  </si>
  <si>
    <t>Value</t>
  </si>
  <si>
    <r>
      <t>t</t>
    </r>
    <r>
      <rPr>
        <vertAlign val="subscript"/>
        <sz val="10"/>
        <color theme="1"/>
        <rFont val="Century Gothic"/>
        <family val="2"/>
      </rPr>
      <t>h</t>
    </r>
  </si>
  <si>
    <r>
      <t>t</t>
    </r>
    <r>
      <rPr>
        <vertAlign val="subscript"/>
        <sz val="10"/>
        <color theme="1"/>
        <rFont val="Century Gothic"/>
        <family val="2"/>
      </rPr>
      <t>defr</t>
    </r>
  </si>
  <si>
    <r>
      <t>Q</t>
    </r>
    <r>
      <rPr>
        <vertAlign val="subscript"/>
        <sz val="10"/>
        <color theme="1"/>
        <rFont val="Century Gothic"/>
        <family val="2"/>
      </rPr>
      <t>defr</t>
    </r>
  </si>
  <si>
    <r>
      <t>c</t>
    </r>
    <r>
      <rPr>
        <vertAlign val="subscript"/>
        <sz val="10"/>
        <color theme="1"/>
        <rFont val="Century Gothic"/>
        <family val="2"/>
      </rPr>
      <t>air</t>
    </r>
  </si>
  <si>
    <r>
      <t>q</t>
    </r>
    <r>
      <rPr>
        <vertAlign val="subscript"/>
        <sz val="10"/>
        <color theme="1"/>
        <rFont val="Century Gothic"/>
        <family val="2"/>
      </rPr>
      <t>net</t>
    </r>
  </si>
  <si>
    <r>
      <t>q</t>
    </r>
    <r>
      <rPr>
        <vertAlign val="subscript"/>
        <sz val="10"/>
        <color theme="1"/>
        <rFont val="Century Gothic"/>
        <family val="2"/>
      </rPr>
      <t>ref</t>
    </r>
  </si>
  <si>
    <r>
      <t>t</t>
    </r>
    <r>
      <rPr>
        <vertAlign val="subscript"/>
        <sz val="10"/>
        <color theme="1"/>
        <rFont val="Century Gothic"/>
        <family val="2"/>
      </rPr>
      <t>a</t>
    </r>
  </si>
  <si>
    <r>
      <t>η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</si>
  <si>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h</t>
    </r>
  </si>
  <si>
    <r>
      <t>ΔT</t>
    </r>
    <r>
      <rPr>
        <vertAlign val="subscript"/>
        <sz val="10"/>
        <color theme="1"/>
        <rFont val="Century Gothic"/>
        <family val="2"/>
      </rPr>
      <t>defr</t>
    </r>
  </si>
  <si>
    <t>SEC</t>
  </si>
  <si>
    <r>
      <t>t</t>
    </r>
    <r>
      <rPr>
        <b/>
        <vertAlign val="subscript"/>
        <sz val="10"/>
        <color theme="1"/>
        <rFont val="Century Gothic"/>
        <family val="2"/>
      </rPr>
      <t>h</t>
    </r>
  </si>
  <si>
    <r>
      <t>ΔT</t>
    </r>
    <r>
      <rPr>
        <b/>
        <vertAlign val="subscript"/>
        <sz val="10"/>
        <color theme="1"/>
        <rFont val="Century Gothic"/>
        <family val="2"/>
      </rPr>
      <t>h</t>
    </r>
  </si>
  <si>
    <r>
      <t>t</t>
    </r>
    <r>
      <rPr>
        <b/>
        <vertAlign val="subscript"/>
        <sz val="10"/>
        <color theme="1"/>
        <rFont val="Century Gothic"/>
        <family val="2"/>
      </rPr>
      <t>defr</t>
    </r>
  </si>
  <si>
    <r>
      <t>ΔT</t>
    </r>
    <r>
      <rPr>
        <b/>
        <vertAlign val="subscript"/>
        <sz val="10"/>
        <color theme="1"/>
        <rFont val="Century Gothic"/>
        <family val="2"/>
      </rPr>
      <t>defr</t>
    </r>
  </si>
  <si>
    <r>
      <t>Q</t>
    </r>
    <r>
      <rPr>
        <b/>
        <vertAlign val="subscript"/>
        <sz val="10"/>
        <color theme="1"/>
        <rFont val="Century Gothic"/>
        <family val="2"/>
      </rPr>
      <t>defr</t>
    </r>
  </si>
  <si>
    <t>ηt</t>
  </si>
  <si>
    <t>SPI</t>
  </si>
  <si>
    <t>kW/(m3/h)</t>
  </si>
  <si>
    <t>kW/(m3/s)</t>
  </si>
  <si>
    <t>Vertailuarvo</t>
  </si>
  <si>
    <t>A+</t>
  </si>
  <si>
    <t>D</t>
  </si>
  <si>
    <t>E</t>
  </si>
  <si>
    <t>F</t>
  </si>
  <si>
    <t>G</t>
  </si>
  <si>
    <t>dB Package</t>
  </si>
  <si>
    <t>dB Package vaimennus</t>
  </si>
  <si>
    <t>Vaimennus</t>
  </si>
  <si>
    <t>a-painotus</t>
  </si>
  <si>
    <t>Class</t>
  </si>
  <si>
    <t>Kennon</t>
  </si>
  <si>
    <t>hyötys</t>
  </si>
  <si>
    <t>Hyötys.</t>
  </si>
  <si>
    <t>SEC &lt; -42</t>
  </si>
  <si>
    <t>-42 &lt; SEC &lt; -34</t>
  </si>
  <si>
    <t>-34 &lt; SEC &lt; -26</t>
  </si>
  <si>
    <t>-26 &lt; SEC &lt; -23</t>
  </si>
  <si>
    <t>-23 &lt; SEC &lt; -20</t>
  </si>
  <si>
    <t>-20 &lt; SEC &lt; -10</t>
  </si>
  <si>
    <t>-10 &lt; SEC &lt; 0</t>
  </si>
  <si>
    <t>SEC &gt; 0</t>
  </si>
  <si>
    <t>3.1</t>
  </si>
  <si>
    <t>www.airfi.fi</t>
  </si>
  <si>
    <t>SEC-laskenta, päivitetty elektroniikan teho, hyötysuhteet ja tulostuksen muotoiluja, vastuullisuustekstit</t>
  </si>
  <si>
    <t>Airfi laskentaohjelma_v3.0.xlsx</t>
  </si>
  <si>
    <t>SFP vert</t>
  </si>
  <si>
    <t>Vert qV</t>
  </si>
  <si>
    <t>Airfi laskentaohjelma_v3.1.xlsx</t>
  </si>
  <si>
    <t>Laskenta YM:n Monisteen 122 mukaisesti</t>
  </si>
  <si>
    <t>= syötettävä solu</t>
  </si>
  <si>
    <t>Laskennan lähtöarvot:</t>
  </si>
  <si>
    <t>Aika vuodessa</t>
  </si>
  <si>
    <t>Jäteilman lämpötila</t>
  </si>
  <si>
    <t>Tuloilman lämpötila</t>
  </si>
  <si>
    <r>
      <t>S</t>
    </r>
    <r>
      <rPr>
        <b/>
        <vertAlign val="subscript"/>
        <sz val="10"/>
        <color theme="1"/>
        <rFont val="Century Gothic"/>
        <family val="2"/>
      </rPr>
      <t>S,Kd</t>
    </r>
  </si>
  <si>
    <r>
      <t>S</t>
    </r>
    <r>
      <rPr>
        <b/>
        <vertAlign val="subscript"/>
        <sz val="10"/>
        <color theme="1"/>
        <rFont val="Century Gothic"/>
        <family val="2"/>
      </rPr>
      <t>T,Kd</t>
    </r>
  </si>
  <si>
    <r>
      <t>S</t>
    </r>
    <r>
      <rPr>
        <b/>
        <vertAlign val="subscript"/>
        <sz val="10"/>
        <color theme="1"/>
        <rFont val="Century Gothic"/>
        <family val="2"/>
      </rPr>
      <t>J,Kd</t>
    </r>
  </si>
  <si>
    <t>Tuloilmavirta, LTO:n läpi virtaava</t>
  </si>
  <si>
    <r>
      <t>q</t>
    </r>
    <r>
      <rPr>
        <vertAlign val="subscript"/>
        <sz val="10"/>
        <color theme="1"/>
        <rFont val="Century Gothic"/>
        <family val="2"/>
      </rPr>
      <t>tLTO</t>
    </r>
  </si>
  <si>
    <t>Poistoilmavirta, LTO:n läpi virtaava</t>
  </si>
  <si>
    <r>
      <t>q</t>
    </r>
    <r>
      <rPr>
        <vertAlign val="subscript"/>
        <sz val="10"/>
        <color theme="1"/>
        <rFont val="Century Gothic"/>
        <family val="2"/>
      </rPr>
      <t>pLTO</t>
    </r>
  </si>
  <si>
    <t>LTO:n läpi virtaavan tulo- ja poistoilmavirran suhde</t>
  </si>
  <si>
    <r>
      <t>R</t>
    </r>
    <r>
      <rPr>
        <b/>
        <vertAlign val="subscript"/>
        <sz val="10"/>
        <color theme="1"/>
        <rFont val="Century Gothic"/>
        <family val="2"/>
      </rPr>
      <t>LTO</t>
    </r>
  </si>
  <si>
    <t>LTO-vaatimuksen piiriin kuuluva erillispoistoilmavirta</t>
  </si>
  <si>
    <r>
      <t>q</t>
    </r>
    <r>
      <rPr>
        <vertAlign val="subscript"/>
        <sz val="10"/>
        <color theme="1"/>
        <rFont val="Century Gothic"/>
        <family val="2"/>
      </rPr>
      <t>ep1</t>
    </r>
  </si>
  <si>
    <t>Em. erillispoistoilman käyttöaika</t>
  </si>
  <si>
    <r>
      <t>T</t>
    </r>
    <r>
      <rPr>
        <vertAlign val="subscript"/>
        <sz val="10"/>
        <color theme="1"/>
        <rFont val="Century Gothic"/>
        <family val="2"/>
      </rPr>
      <t>qep1</t>
    </r>
  </si>
  <si>
    <t>h / vrk</t>
  </si>
  <si>
    <t>Koko IV:n tulo- ja poistoilmavirtojen suhde</t>
  </si>
  <si>
    <t>Tuloilman lämpötilahyötysuhde</t>
  </si>
  <si>
    <t>Säävyöhyke</t>
  </si>
  <si>
    <t>Sisälämpötila</t>
  </si>
  <si>
    <r>
      <t>t</t>
    </r>
    <r>
      <rPr>
        <vertAlign val="subscript"/>
        <sz val="10"/>
        <color theme="1"/>
        <rFont val="Century Gothic"/>
        <family val="2"/>
      </rPr>
      <t>s</t>
    </r>
  </si>
  <si>
    <t>°C</t>
  </si>
  <si>
    <t>Minimi jäteilman lämpötila</t>
  </si>
  <si>
    <r>
      <t>t</t>
    </r>
    <r>
      <rPr>
        <b/>
        <vertAlign val="subscript"/>
        <sz val="10"/>
        <color theme="1"/>
        <rFont val="Century Gothic"/>
        <family val="2"/>
      </rPr>
      <t>j,min</t>
    </r>
  </si>
  <si>
    <r>
      <t>t</t>
    </r>
    <r>
      <rPr>
        <vertAlign val="subscript"/>
        <sz val="10"/>
        <color theme="1"/>
        <rFont val="Century Gothic"/>
        <family val="2"/>
      </rPr>
      <t>t,max</t>
    </r>
  </si>
  <si>
    <t>Vuosihyötysuhde</t>
  </si>
  <si>
    <t>ηₐ</t>
  </si>
  <si>
    <t>Ilmanvaihdon kokonaisenergiantarve</t>
  </si>
  <si>
    <t>kWh</t>
  </si>
  <si>
    <t>Talteenotettu lämmitysenergia</t>
  </si>
  <si>
    <t>Yhteensä</t>
  </si>
  <si>
    <t>Hakee arvot tulostus-välilehdeltä.</t>
  </si>
  <si>
    <t>Älä muuta tästä!</t>
  </si>
  <si>
    <r>
      <t>t</t>
    </r>
    <r>
      <rPr>
        <b/>
        <vertAlign val="subscript"/>
        <sz val="10"/>
        <color theme="1"/>
        <rFont val="Century Gothic"/>
        <family val="2"/>
      </rPr>
      <t>u</t>
    </r>
  </si>
  <si>
    <r>
      <t>t</t>
    </r>
    <r>
      <rPr>
        <b/>
        <vertAlign val="subscript"/>
        <sz val="10"/>
        <color theme="1"/>
        <rFont val="Century Gothic"/>
        <family val="2"/>
      </rPr>
      <t>LTO,maks</t>
    </r>
  </si>
  <si>
    <r>
      <t>t</t>
    </r>
    <r>
      <rPr>
        <b/>
        <vertAlign val="subscript"/>
        <sz val="10"/>
        <color theme="1"/>
        <rFont val="Century Gothic"/>
        <family val="2"/>
      </rPr>
      <t>j</t>
    </r>
  </si>
  <si>
    <r>
      <t>t</t>
    </r>
    <r>
      <rPr>
        <b/>
        <vertAlign val="subscript"/>
        <sz val="10"/>
        <color theme="1"/>
        <rFont val="Century Gothic"/>
        <family val="2"/>
      </rPr>
      <t>j,maks</t>
    </r>
  </si>
  <si>
    <r>
      <t>t</t>
    </r>
    <r>
      <rPr>
        <b/>
        <vertAlign val="subscript"/>
        <sz val="10"/>
        <color theme="1"/>
        <rFont val="Century Gothic"/>
        <family val="2"/>
      </rPr>
      <t>j, korjaamaton</t>
    </r>
  </si>
  <si>
    <r>
      <t>t</t>
    </r>
    <r>
      <rPr>
        <b/>
        <vertAlign val="subscript"/>
        <sz val="10"/>
        <color theme="1"/>
        <rFont val="Century Gothic"/>
        <family val="2"/>
      </rPr>
      <t>sisä</t>
    </r>
  </si>
  <si>
    <r>
      <t>t</t>
    </r>
    <r>
      <rPr>
        <b/>
        <vertAlign val="subscript"/>
        <sz val="10"/>
        <color theme="1"/>
        <rFont val="Century Gothic"/>
        <family val="2"/>
      </rPr>
      <t>LTO</t>
    </r>
  </si>
  <si>
    <r>
      <t>t</t>
    </r>
    <r>
      <rPr>
        <b/>
        <vertAlign val="subscript"/>
        <sz val="10"/>
        <color theme="1"/>
        <rFont val="Century Gothic"/>
        <family val="2"/>
      </rPr>
      <t>LTO,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</si>
  <si>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t</t>
    </r>
  </si>
  <si>
    <r>
      <t>η</t>
    </r>
    <r>
      <rPr>
        <b/>
        <vertAlign val="subscript"/>
        <sz val="10"/>
        <color theme="1"/>
        <rFont val="Century Gothic"/>
        <family val="2"/>
      </rPr>
      <t>p</t>
    </r>
  </si>
  <si>
    <r>
      <t>η</t>
    </r>
    <r>
      <rPr>
        <b/>
        <vertAlign val="subscript"/>
        <sz val="10"/>
        <color theme="1"/>
        <rFont val="Century Gothic"/>
        <family val="2"/>
      </rPr>
      <t>t, korjaamaton</t>
    </r>
  </si>
  <si>
    <r>
      <t>η</t>
    </r>
    <r>
      <rPr>
        <b/>
        <vertAlign val="subscript"/>
        <sz val="10"/>
        <color theme="1"/>
        <rFont val="Century Gothic"/>
        <family val="2"/>
      </rPr>
      <t>p,korjaamaton</t>
    </r>
  </si>
  <si>
    <t>Tuloilmamäärä</t>
  </si>
  <si>
    <t>Poistoilmamäärä</t>
  </si>
  <si>
    <r>
      <t>R</t>
    </r>
    <r>
      <rPr>
        <vertAlign val="subscript"/>
        <sz val="10"/>
        <color theme="1"/>
        <rFont val="Century Gothic"/>
        <family val="2"/>
      </rPr>
      <t>LTO</t>
    </r>
  </si>
  <si>
    <t>nLTO 1</t>
  </si>
  <si>
    <t>nLTO, RT</t>
  </si>
  <si>
    <t>Minimi jäteilma</t>
  </si>
  <si>
    <t>Maksimi tLTO</t>
  </si>
  <si>
    <t>Vyöhyke</t>
  </si>
  <si>
    <t>Muut poistoilmavirrat ei LTO:n kautta</t>
  </si>
  <si>
    <t>Käyttöaika / vrk</t>
  </si>
  <si>
    <t>h</t>
  </si>
  <si>
    <t>Poistoilma, kaikki</t>
  </si>
  <si>
    <r>
      <t>Koko IV:n R</t>
    </r>
    <r>
      <rPr>
        <vertAlign val="subscript"/>
        <sz val="10"/>
        <color theme="1"/>
        <rFont val="Century Gothic"/>
        <family val="2"/>
      </rPr>
      <t>T</t>
    </r>
  </si>
  <si>
    <t>Mitoittava ulkoLT</t>
  </si>
  <si>
    <t>Tuloilman LT, mit.</t>
  </si>
  <si>
    <t>VUOSIHYÖTYSUHDE</t>
  </si>
  <si>
    <t>II (Jokioinen)</t>
  </si>
  <si>
    <t>III (Jyväskylä)</t>
  </si>
  <si>
    <t>IV (Sodankylä)</t>
  </si>
  <si>
    <t>Kojevalinta</t>
  </si>
  <si>
    <t>Tunnus</t>
  </si>
  <si>
    <t>Malli</t>
  </si>
  <si>
    <t>Min. qV</t>
  </si>
  <si>
    <t>Maks. qV</t>
  </si>
  <si>
    <t>Jäteilman raj.</t>
  </si>
  <si>
    <t>n, tulo</t>
  </si>
  <si>
    <t>Jäteilma</t>
  </si>
  <si>
    <t>Airfi model 60</t>
  </si>
  <si>
    <t>Airfi model 100</t>
  </si>
  <si>
    <t>Airfi model 150</t>
  </si>
  <si>
    <t>n, tulostus</t>
  </si>
  <si>
    <t>LEV-455-230, pituus 350 mm, s=2.3 mm</t>
  </si>
  <si>
    <t>Tulko</t>
  </si>
  <si>
    <t>50%RH</t>
  </si>
  <si>
    <t>Tpoisto</t>
  </si>
  <si>
    <t>qV</t>
  </si>
  <si>
    <t>qV, tulo</t>
  </si>
  <si>
    <t>qV, poisto</t>
  </si>
  <si>
    <t>qV, mitoitus</t>
  </si>
  <si>
    <t>n, tulo, mitoitus</t>
  </si>
  <si>
    <t>LEV-500-270, pituus 350 mm, s=2 mm</t>
  </si>
  <si>
    <t>4.0</t>
  </si>
  <si>
    <t>Yhdistetty vuosihyötysuhteen laskenta, päivitetty minimijäteilman arvo ja mallien kennohyötysuhteet</t>
  </si>
  <si>
    <r>
      <t>R</t>
    </r>
    <r>
      <rPr>
        <vertAlign val="subscript"/>
        <sz val="10"/>
        <color theme="1"/>
        <rFont val="Century Gothic"/>
        <family val="2"/>
      </rPr>
      <t>T</t>
    </r>
  </si>
  <si>
    <r>
      <t>η</t>
    </r>
    <r>
      <rPr>
        <vertAlign val="subscript"/>
        <sz val="10"/>
        <color theme="1"/>
        <rFont val="Century Gothic"/>
        <family val="2"/>
      </rPr>
      <t>t(RLTO=1)</t>
    </r>
  </si>
  <si>
    <r>
      <t>η</t>
    </r>
    <r>
      <rPr>
        <vertAlign val="subscript"/>
        <sz val="10"/>
        <color theme="1"/>
        <rFont val="Century Gothic"/>
        <family val="2"/>
      </rPr>
      <t>t(RLTO)</t>
    </r>
  </si>
  <si>
    <r>
      <t>t</t>
    </r>
    <r>
      <rPr>
        <vertAlign val="subscript"/>
        <sz val="10"/>
        <color theme="1"/>
        <rFont val="Century Gothic"/>
        <family val="2"/>
      </rPr>
      <t>j,min</t>
    </r>
  </si>
  <si>
    <t>Airfi: ilmanvaihtokoneen valintaohjelma</t>
  </si>
  <si>
    <t>Paine-ero:</t>
  </si>
  <si>
    <t>Ilman tilavuusvirta:</t>
  </si>
  <si>
    <t>Ohjausjännite:</t>
  </si>
  <si>
    <t>Puhaltimen ottoteho:</t>
  </si>
  <si>
    <t>Tulopuhallin:</t>
  </si>
  <si>
    <t>Poistopuhallin:</t>
  </si>
  <si>
    <t>Kokonaisteho:</t>
  </si>
  <si>
    <t>Äänitehotasot liitäntäkanavissa</t>
  </si>
  <si>
    <t>Liitäntäkanava</t>
  </si>
  <si>
    <t>Tuloilma</t>
  </si>
  <si>
    <t>Poistoilma</t>
  </si>
  <si>
    <r>
      <t>Äänitehotasot oktaavikaistoittain L</t>
    </r>
    <r>
      <rPr>
        <b/>
        <vertAlign val="subscript"/>
        <sz val="10"/>
        <rFont val="Century Gothic"/>
        <family val="2"/>
      </rPr>
      <t>W,okt</t>
    </r>
    <r>
      <rPr>
        <b/>
        <sz val="10"/>
        <rFont val="Century Gothic"/>
        <family val="2"/>
      </rPr>
      <t xml:space="preserve"> [dB]</t>
    </r>
  </si>
  <si>
    <t>Äänipainetaso huonetilassa, jonka ääniabsorptioala 10m²:</t>
  </si>
  <si>
    <t>Vertailuilmavirta:</t>
  </si>
  <si>
    <t>Yleinen luokittelu</t>
  </si>
  <si>
    <t>Ilmanvaihdon ohjaus</t>
  </si>
  <si>
    <t>Moottori ja ohjaus</t>
  </si>
  <si>
    <t>Ilmasto</t>
  </si>
  <si>
    <t>Kaikki oikeudet pidätetään.</t>
  </si>
  <si>
    <t>Luokka</t>
  </si>
  <si>
    <t>SEC-luku</t>
  </si>
  <si>
    <t>Kanavaliitäntäinen</t>
  </si>
  <si>
    <t>Muu kuin kanavaliitäntäinen</t>
  </si>
  <si>
    <t>On/off &amp; yksinopeuksinen</t>
  </si>
  <si>
    <t>Kaksinopeuksinen</t>
  </si>
  <si>
    <t>Moninopeuksinen</t>
  </si>
  <si>
    <t>Portaaton säätö</t>
  </si>
  <si>
    <t>Kello-ohjaus (ei tarp.muk. IV)</t>
  </si>
  <si>
    <t>Käsikäyttö (ei tarp.muk. IV)</t>
  </si>
  <si>
    <t>Keskitetty tarp.muk. ohjaus</t>
  </si>
  <si>
    <t>Paikallinen tarp.muk. ohjaus</t>
  </si>
  <si>
    <t>Kylmä</t>
  </si>
  <si>
    <t>Keskiarvo</t>
  </si>
  <si>
    <t>Lämmin</t>
  </si>
  <si>
    <t>Sovelletut asiakirjat ja standardit: SFS-EN 13141-7, LVI 30-10529, YMa 1009/2017, Tasauslaskentaopas 2018, YM moniste 122 ja Komission asetukset (EU) N:o 1253/2014 &amp; N:o 1254/2014. Emme vastaa ohjelman mahdollisista virheistä tai niiden aiheuttamista välittömistä tai välillisistä virheistä.</t>
  </si>
  <si>
    <t>Valitse malli:</t>
  </si>
  <si>
    <t>Kohde:</t>
  </si>
  <si>
    <t>Suunnittelija:</t>
  </si>
  <si>
    <t>Airfi laskentaohjelma_4.0.xlsx</t>
  </si>
  <si>
    <t>Tuloilma (syötä arvot):</t>
  </si>
  <si>
    <t>Poistoilma (syötä arvot):</t>
  </si>
  <si>
    <t>4.1</t>
  </si>
  <si>
    <t>Airfi laskentaohjelma_4.1.xlsx</t>
  </si>
  <si>
    <t>Korjattu käyttöalue minimi-ilmavirrat 20 l/s (model 60/100) ja 40 l/s (Model 150)</t>
  </si>
  <si>
    <t>Minimi-ilmavirta</t>
  </si>
  <si>
    <t>Pulkkasen maili 14.6.19</t>
  </si>
  <si>
    <t>Minimi qV</t>
  </si>
  <si>
    <t>4.2</t>
  </si>
  <si>
    <t>Muutettu käyttöalue minimi-ilmavirrat 18 l/s (Model 60/100)</t>
  </si>
  <si>
    <t>Airfi laskentaohjelma_4.2.xlsx</t>
  </si>
  <si>
    <t>Muutettu käyttöalue minimi-ilmavirrat 30 l/s (Model 150)</t>
  </si>
  <si>
    <t>4.3</t>
  </si>
  <si>
    <t>Airfi laskentaohjelma_4.3.xlsx</t>
  </si>
  <si>
    <t>Pulkkasen maili 18.6.19</t>
  </si>
  <si>
    <t>4.4</t>
  </si>
  <si>
    <t>Poistettu Model 150 dB-paketti, poistettu jälkilämmityspaterin tehontarpeen tulostus</t>
  </si>
  <si>
    <t>Poistettu Model 150 dB-paketti mahdollisuus18.11.2019</t>
  </si>
  <si>
    <t>dB-ruksittu</t>
  </si>
  <si>
    <t>Model 60 tai 100</t>
  </si>
  <si>
    <t>Airfi laskentaohjelma_4.4.xlsx</t>
  </si>
  <si>
    <t/>
  </si>
  <si>
    <t>Poistopuolen mitoituspiste</t>
  </si>
  <si>
    <t>Pd</t>
  </si>
  <si>
    <t>Vohj</t>
  </si>
  <si>
    <t>Verkkokäyrän alfatermi</t>
  </si>
  <si>
    <t>100 Pa</t>
  </si>
  <si>
    <t>100 Pa Verkkokäyrän LwA vs. Vohj sovite</t>
  </si>
  <si>
    <t>3V - 7,5 V ohjausalue</t>
  </si>
  <si>
    <r>
      <t>Logaritmisovite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A*ln(V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>) + B</t>
    </r>
  </si>
  <si>
    <t>140 Pa</t>
  </si>
  <si>
    <t>50 Pa</t>
  </si>
  <si>
    <t>7,5V - 10V ohjausalue</t>
  </si>
  <si>
    <r>
      <t>Lineaarisovite L</t>
    </r>
    <r>
      <rPr>
        <vertAlign val="subscript"/>
        <sz val="10"/>
        <color theme="1"/>
        <rFont val="Century Gothic"/>
        <family val="2"/>
      </rPr>
      <t>wA</t>
    </r>
    <r>
      <rPr>
        <sz val="10"/>
        <color theme="1"/>
        <rFont val="Century Gothic"/>
        <family val="2"/>
      </rPr>
      <t xml:space="preserve"> = A*V</t>
    </r>
    <r>
      <rPr>
        <vertAlign val="subscript"/>
        <sz val="10"/>
        <color theme="1"/>
        <rFont val="Century Gothic"/>
        <family val="2"/>
      </rPr>
      <t>ohj</t>
    </r>
    <r>
      <rPr>
        <sz val="10"/>
        <color theme="1"/>
        <rFont val="Century Gothic"/>
        <family val="2"/>
      </rPr>
      <t xml:space="preserve"> + B</t>
    </r>
  </si>
  <si>
    <t>--&gt;</t>
  </si>
  <si>
    <t>Korjaustermi</t>
  </si>
  <si>
    <t>Spektri</t>
  </si>
  <si>
    <t>LwA tark.</t>
  </si>
  <si>
    <t>Mitoituspisteen spektri 100 Pa verkkokäyrällä</t>
  </si>
  <si>
    <t>Lineaarisovite korjaukselle</t>
  </si>
  <si>
    <t xml:space="preserve">Valinta logaritmi vs. lineaarisovite </t>
  </si>
  <si>
    <t>Verkkokäyräkorjaus kokonaistasoon</t>
  </si>
  <si>
    <t>dB korjaus</t>
  </si>
  <si>
    <t>Korjattu kokonaistaso</t>
  </si>
  <si>
    <r>
      <t>L</t>
    </r>
    <r>
      <rPr>
        <b/>
        <vertAlign val="subscript"/>
        <sz val="10"/>
        <color theme="1"/>
        <rFont val="Century Gothic"/>
        <family val="2"/>
      </rPr>
      <t>wA</t>
    </r>
  </si>
  <si>
    <t>Raja-arvot</t>
  </si>
  <si>
    <t>Verkkokäyrä</t>
  </si>
  <si>
    <t>Verkkokäyrän alfa</t>
  </si>
  <si>
    <t>Neliöjuuri alfa</t>
  </si>
  <si>
    <t>Keittiöohitus</t>
  </si>
  <si>
    <t>Lw</t>
  </si>
  <si>
    <t>* Huom. keittiöohitusta käytettäessä kokonaispoistoilmavirta syötettyä mitoitusarvoa suurempi</t>
  </si>
  <si>
    <t>-</t>
  </si>
  <si>
    <t>Tekstit</t>
  </si>
  <si>
    <t>Keittiöohitus valinta</t>
  </si>
  <si>
    <t>4.5</t>
  </si>
  <si>
    <t>Lisätty keittiöohituksen tulokset Model 60 ja 100</t>
  </si>
  <si>
    <t>Airfi laskentaohjelma_4.5.xlsx</t>
  </si>
  <si>
    <t>4.6</t>
  </si>
  <si>
    <t>Lisätty ohjelman tekijäksi Zenner + Zenner logo</t>
  </si>
  <si>
    <t>Airfi laskentaohjelma_4.6.xlsx</t>
  </si>
  <si>
    <t>Laskentaohjelman laatinut Insinööritoimisto W. Zenner Oy. Laskentaohjelma perustuu SFS-EN 13141-7 mukaisiin laboratoriomittauksiin.</t>
  </si>
  <si>
    <t>5.0</t>
  </si>
  <si>
    <t>8 V</t>
  </si>
  <si>
    <t>6 V</t>
  </si>
  <si>
    <t>4 V</t>
  </si>
  <si>
    <t>Verkkokäyrän potenssikäyrän termi (y=ax^2 --&gt; a = y/x^2)</t>
  </si>
  <si>
    <t>8V</t>
  </si>
  <si>
    <t>4V</t>
  </si>
  <si>
    <t>2V</t>
  </si>
  <si>
    <t>6V</t>
  </si>
  <si>
    <t>2.aste</t>
  </si>
  <si>
    <t>3.aste</t>
  </si>
  <si>
    <t>max</t>
  </si>
  <si>
    <t>3-9V</t>
  </si>
  <si>
    <t>9V - 10V</t>
  </si>
  <si>
    <t>Kaikki 2. x = l/s, y = Vohj</t>
  </si>
  <si>
    <t>Tulos</t>
  </si>
  <si>
    <t>KA</t>
  </si>
  <si>
    <t>Lineaarinen</t>
  </si>
  <si>
    <t>2. aste tai Lineaarinen</t>
  </si>
  <si>
    <t>Sovitteet 2. ja 1. aste</t>
  </si>
  <si>
    <t>Lin.</t>
  </si>
  <si>
    <t>LwA lask.</t>
  </si>
  <si>
    <t>LwA  lask</t>
  </si>
  <si>
    <t>Hyötysuhteet A. Pulkkasen mailista 20.2.2019 (Model 60,100,150)</t>
  </si>
  <si>
    <t>Tulopuoli</t>
  </si>
  <si>
    <t>Poistopuoli</t>
  </si>
  <si>
    <r>
      <t>P</t>
    </r>
    <r>
      <rPr>
        <b/>
        <vertAlign val="superscript"/>
        <sz val="10"/>
        <rFont val="Century Gothic"/>
        <family val="2"/>
      </rPr>
      <t>*</t>
    </r>
    <r>
      <rPr>
        <b/>
        <sz val="10"/>
        <rFont val="Century Gothic"/>
        <family val="2"/>
      </rPr>
      <t xml:space="preserve">
[W]</t>
    </r>
  </si>
  <si>
    <r>
      <t>L</t>
    </r>
    <r>
      <rPr>
        <b/>
        <vertAlign val="subscript"/>
        <sz val="10"/>
        <rFont val="Century Gothic"/>
        <family val="2"/>
      </rPr>
      <t>W,kok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</si>
  <si>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L</t>
    </r>
    <r>
      <rPr>
        <b/>
        <vertAlign val="subscript"/>
        <sz val="10"/>
        <rFont val="Century Gothic"/>
        <family val="2"/>
      </rPr>
      <t>W,A,kok</t>
    </r>
    <r>
      <rPr>
        <b/>
        <vertAlign val="superscript"/>
        <sz val="10"/>
        <rFont val="Century Gothic"/>
        <family val="2"/>
      </rPr>
      <t>**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[dB]</t>
    </r>
  </si>
  <si>
    <r>
      <t>Ohj.-%</t>
    </r>
    <r>
      <rPr>
        <b/>
        <vertAlign val="subscript"/>
        <sz val="10"/>
        <rFont val="Century Gothic"/>
        <family val="2"/>
      </rPr>
      <t xml:space="preserve">
</t>
    </r>
    <r>
      <rPr>
        <b/>
        <sz val="10"/>
        <rFont val="Century Gothic"/>
        <family val="2"/>
      </rPr>
      <t>[%]</t>
    </r>
  </si>
  <si>
    <r>
      <t>U</t>
    </r>
    <r>
      <rPr>
        <b/>
        <vertAlign val="subscript"/>
        <sz val="10"/>
        <rFont val="Century Gothic"/>
        <family val="2"/>
      </rPr>
      <t xml:space="preserve">ohj
</t>
    </r>
    <r>
      <rPr>
        <b/>
        <sz val="10"/>
        <rFont val="Century Gothic"/>
        <family val="2"/>
      </rPr>
      <t>[V]</t>
    </r>
  </si>
  <si>
    <r>
      <t>q</t>
    </r>
    <r>
      <rPr>
        <b/>
        <vertAlign val="subscript"/>
        <sz val="10"/>
        <rFont val="Century Gothic"/>
        <family val="2"/>
      </rPr>
      <t>V</t>
    </r>
    <r>
      <rPr>
        <b/>
        <sz val="10"/>
        <rFont val="Century Gothic"/>
        <family val="2"/>
      </rPr>
      <t xml:space="preserve">
[dm</t>
    </r>
    <r>
      <rPr>
        <b/>
        <vertAlign val="superscript"/>
        <sz val="10"/>
        <rFont val="Century Gothic"/>
        <family val="2"/>
      </rPr>
      <t>3</t>
    </r>
    <r>
      <rPr>
        <b/>
        <sz val="10"/>
        <rFont val="Century Gothic"/>
        <family val="2"/>
      </rPr>
      <t>/s]</t>
    </r>
  </si>
  <si>
    <r>
      <t>p</t>
    </r>
    <r>
      <rPr>
        <b/>
        <vertAlign val="subscript"/>
        <sz val="10"/>
        <rFont val="Century Gothic"/>
        <family val="2"/>
      </rPr>
      <t>s21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</si>
  <si>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>s22</t>
    </r>
    <r>
      <rPr>
        <b/>
        <sz val="10"/>
        <rFont val="Century Gothic"/>
        <family val="2"/>
      </rPr>
      <t xml:space="preserve">
[Pa]</t>
    </r>
  </si>
  <si>
    <r>
      <t>p</t>
    </r>
    <r>
      <rPr>
        <b/>
        <vertAlign val="subscript"/>
        <sz val="10"/>
        <rFont val="Century Gothic"/>
        <family val="2"/>
      </rPr>
      <t xml:space="preserve">tU
</t>
    </r>
    <r>
      <rPr>
        <b/>
        <sz val="10"/>
        <rFont val="Century Gothic"/>
        <family val="2"/>
      </rPr>
      <t>[Pa]</t>
    </r>
  </si>
  <si>
    <r>
      <t>Ohj.-%</t>
    </r>
    <r>
      <rPr>
        <b/>
        <vertAlign val="subscript"/>
        <sz val="10"/>
        <color theme="1"/>
        <rFont val="Century Gothic"/>
        <family val="2"/>
      </rPr>
      <t xml:space="preserve">
</t>
    </r>
    <r>
      <rPr>
        <b/>
        <sz val="10"/>
        <color theme="1"/>
        <rFont val="Century Gothic"/>
        <family val="2"/>
      </rPr>
      <t>[%]</t>
    </r>
  </si>
  <si>
    <r>
      <t>U</t>
    </r>
    <r>
      <rPr>
        <b/>
        <vertAlign val="subscript"/>
        <sz val="10"/>
        <color theme="1"/>
        <rFont val="Century Gothic"/>
        <family val="2"/>
      </rPr>
      <t xml:space="preserve">ohj
</t>
    </r>
    <r>
      <rPr>
        <b/>
        <sz val="10"/>
        <color theme="1"/>
        <rFont val="Century Gothic"/>
        <family val="2"/>
      </rPr>
      <t>[V]</t>
    </r>
  </si>
  <si>
    <r>
      <t>q</t>
    </r>
    <r>
      <rPr>
        <b/>
        <vertAlign val="subscript"/>
        <sz val="10"/>
        <color theme="1"/>
        <rFont val="Century Gothic"/>
        <family val="2"/>
      </rPr>
      <t>V</t>
    </r>
    <r>
      <rPr>
        <b/>
        <sz val="10"/>
        <color theme="1"/>
        <rFont val="Century Gothic"/>
        <family val="2"/>
      </rPr>
      <t xml:space="preserve">
[dm</t>
    </r>
    <r>
      <rPr>
        <b/>
        <vertAlign val="superscript"/>
        <sz val="10"/>
        <color theme="1"/>
        <rFont val="Century Gothic"/>
        <family val="2"/>
      </rPr>
      <t>3</t>
    </r>
    <r>
      <rPr>
        <b/>
        <sz val="10"/>
        <color theme="1"/>
        <rFont val="Century Gothic"/>
        <family val="2"/>
      </rPr>
      <t>/s]</t>
    </r>
  </si>
  <si>
    <r>
      <t>p</t>
    </r>
    <r>
      <rPr>
        <b/>
        <vertAlign val="subscript"/>
        <sz val="10"/>
        <color theme="1"/>
        <rFont val="Century Gothic"/>
        <family val="2"/>
      </rPr>
      <t>s11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</si>
  <si>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>s12</t>
    </r>
    <r>
      <rPr>
        <b/>
        <sz val="10"/>
        <color theme="1"/>
        <rFont val="Century Gothic"/>
        <family val="2"/>
      </rPr>
      <t xml:space="preserve">
[Pa]</t>
    </r>
  </si>
  <si>
    <r>
      <t>p</t>
    </r>
    <r>
      <rPr>
        <b/>
        <vertAlign val="subscript"/>
        <sz val="10"/>
        <color theme="1"/>
        <rFont val="Century Gothic"/>
        <family val="2"/>
      </rPr>
      <t xml:space="preserve">tU
</t>
    </r>
    <r>
      <rPr>
        <b/>
        <sz val="10"/>
        <color theme="1"/>
        <rFont val="Century Gothic"/>
        <family val="2"/>
      </rPr>
      <t>[Pa]</t>
    </r>
  </si>
  <si>
    <t>alfa T</t>
  </si>
  <si>
    <t>alfa P</t>
  </si>
  <si>
    <t>alfa KA</t>
  </si>
  <si>
    <t>LwA lask</t>
  </si>
  <si>
    <t>LwA Lask korjattu</t>
  </si>
  <si>
    <t>Erotus korj.</t>
  </si>
  <si>
    <t>Min</t>
  </si>
  <si>
    <t>Logaritmisovite Vohj vs LwA</t>
  </si>
  <si>
    <t>Verkkokäyräposition korjaus</t>
  </si>
  <si>
    <t>Verkkokäyränposition korjaus</t>
  </si>
  <si>
    <t>Alfa</t>
  </si>
  <si>
    <t>Verkkokäyrän positio</t>
  </si>
  <si>
    <t>Keskiarvo Alfa</t>
  </si>
  <si>
    <t>VK sijainnin korjaus</t>
  </si>
  <si>
    <t>Ilman korjausta</t>
  </si>
  <si>
    <t>Korjaus, lisätään tulokseen</t>
  </si>
  <si>
    <t>Korjauksen kanssa</t>
  </si>
  <si>
    <t>Validointipiste</t>
  </si>
  <si>
    <t>Log</t>
  </si>
  <si>
    <r>
      <t xml:space="preserve">Sovitteet </t>
    </r>
    <r>
      <rPr>
        <strike/>
        <sz val="10"/>
        <color theme="1"/>
        <rFont val="Century Gothic"/>
        <family val="2"/>
      </rPr>
      <t>2.</t>
    </r>
    <r>
      <rPr>
        <sz val="10"/>
        <color theme="1"/>
        <rFont val="Century Gothic"/>
        <family val="2"/>
      </rPr>
      <t xml:space="preserve"> ja 1. aste ja logaritmi</t>
    </r>
  </si>
  <si>
    <t>Nykyinen MODEL 150 kenno</t>
  </si>
  <si>
    <t>ARVOT EKOCOIL OPTIMIZER,  LEV-620-394-500-(lamelli 2,2)</t>
  </si>
  <si>
    <t>MODEL 150</t>
  </si>
  <si>
    <t>MODEL 300 (nyk kenno)</t>
  </si>
  <si>
    <t>LAMELLIVÄLI   2,2 mm</t>
  </si>
  <si>
    <t>lamelliväli 2,2</t>
  </si>
  <si>
    <t>dm3/s</t>
  </si>
  <si>
    <t>Ilmavirta , m³/s</t>
  </si>
  <si>
    <t>Hyötysuhde (tulo 2,2), model 150</t>
  </si>
  <si>
    <t>Hyötysuhde (poisto)</t>
  </si>
  <si>
    <t>Painehäviö 2,2</t>
  </si>
  <si>
    <t>nykyinen arvo- koneen hyötysuhde MODEL 150</t>
  </si>
  <si>
    <t>laskettu- koneen vuosi hyötysuhde MODEL 150</t>
  </si>
  <si>
    <t>ajatus koneen lämpötilahyöstysuhde (model 300)</t>
  </si>
  <si>
    <t>mistä laskettu model 300 vuosihyötysuhde</t>
  </si>
  <si>
    <t>ei alueella</t>
  </si>
  <si>
    <t>Mitoituspiste, tuloilma</t>
  </si>
  <si>
    <t>%</t>
  </si>
  <si>
    <t>Airfi Model 300</t>
  </si>
  <si>
    <t>Syötettävät tiedot</t>
  </si>
  <si>
    <t>Reynolds-luvun vaikutus korjattavaan lämpötilaeroon</t>
  </si>
  <si>
    <t>Tilavuusvirta</t>
  </si>
  <si>
    <t>Tarvittava teho</t>
  </si>
  <si>
    <t>Reynolds</t>
  </si>
  <si>
    <t>Korjaus lämpötilaeroon</t>
  </si>
  <si>
    <t>Patterille tulevan ilman lämpötila</t>
  </si>
  <si>
    <t>Patterilta lähtevän ilman lämpötila</t>
  </si>
  <si>
    <t>Menoveden lämpötila</t>
  </si>
  <si>
    <t>Paluuveden lämpötila</t>
  </si>
  <si>
    <t xml:space="preserve">Korjaus </t>
  </si>
  <si>
    <t>Arvio Reynolds-luvusta</t>
  </si>
  <si>
    <t>Tarvittava lämpötilaero patterilla</t>
  </si>
  <si>
    <t>K</t>
  </si>
  <si>
    <t xml:space="preserve">Patterimitoitus menoveden lämpötilan mukaan </t>
  </si>
  <si>
    <t>Virtaama</t>
  </si>
  <si>
    <t>Painehäviö</t>
  </si>
  <si>
    <t>kPa</t>
  </si>
  <si>
    <t>Virtausnopeus</t>
  </si>
  <si>
    <t>m/s</t>
  </si>
  <si>
    <t xml:space="preserve">Patterimitoitus paluuveden lämpötilan mukaan </t>
  </si>
  <si>
    <t>Tarvittavan lämpötilaeron laskenta</t>
  </si>
  <si>
    <t>Kerroin</t>
  </si>
  <si>
    <t>Eksponenttisovite</t>
  </si>
  <si>
    <t>3-asteen polynomin sovite</t>
  </si>
  <si>
    <t>Nestepuolen painehäviö</t>
  </si>
  <si>
    <t>ºC</t>
  </si>
  <si>
    <t>Syötä mitoitus- ja tavoitearvot:</t>
  </si>
  <si>
    <t>Tuloilman tilavuusvirta</t>
  </si>
  <si>
    <t>Tarvittava lämmitysteho:</t>
  </si>
  <si>
    <t>Vesipatteri</t>
  </si>
  <si>
    <t>Patterin nestepuolen painehäviö</t>
  </si>
  <si>
    <t>Paine puhaltimen yli</t>
  </si>
  <si>
    <t>Ps puh</t>
  </si>
  <si>
    <t>¤ V</t>
  </si>
  <si>
    <t>Paine puhaltimen yli (2. aste polyn)</t>
  </si>
  <si>
    <t>Paine puh. yli</t>
  </si>
  <si>
    <t>SFP_int_limit</t>
  </si>
  <si>
    <t>SFP_int_tulo</t>
  </si>
  <si>
    <t>SFP_int_poisto</t>
  </si>
  <si>
    <t>Suodatinkorjaus</t>
  </si>
  <si>
    <r>
      <t>SFP</t>
    </r>
    <r>
      <rPr>
        <b/>
        <vertAlign val="subscript"/>
        <sz val="10"/>
        <color theme="1"/>
        <rFont val="Century Gothic"/>
        <family val="2"/>
      </rPr>
      <t>INT</t>
    </r>
    <r>
      <rPr>
        <b/>
        <sz val="10"/>
        <color theme="1"/>
        <rFont val="Century Gothic"/>
        <family val="2"/>
      </rPr>
      <t xml:space="preserve"> -LASKENTA</t>
    </r>
  </si>
  <si>
    <t>Tulopuhaltimen hyötysuhde</t>
  </si>
  <si>
    <t>Poistopuhaltimen hyötysuhde</t>
  </si>
  <si>
    <t>Tulopuhaltimen paine-ero</t>
  </si>
  <si>
    <t>Poistopuhaltimen paine-ero</t>
  </si>
  <si>
    <t>SFP_int_KOK</t>
  </si>
  <si>
    <t>SFPint</t>
  </si>
  <si>
    <t>SFPint_limit</t>
  </si>
  <si>
    <t>Virhetilanne</t>
  </si>
  <si>
    <t>ILMAN PATTERIA</t>
  </si>
  <si>
    <t>PATTERIN KANSSA</t>
  </si>
  <si>
    <t>Onko patteri?</t>
  </si>
  <si>
    <t>VIRHE</t>
  </si>
  <si>
    <t>Virhe</t>
  </si>
  <si>
    <t>Vesikiertoisen lämmityspatterin mitoitus</t>
  </si>
  <si>
    <t>Tuloilmapuhallin</t>
  </si>
  <si>
    <t>Lämpötilat</t>
  </si>
  <si>
    <t>Lämpötilahyötysuhteet</t>
  </si>
  <si>
    <t>Paine-ero</t>
  </si>
  <si>
    <t>Hyötysuhde</t>
  </si>
  <si>
    <t>Ulkoilma</t>
  </si>
  <si>
    <t>Lämpötilan nousu puhaltimessa</t>
  </si>
  <si>
    <t>LTO-kennon tuloilman lämpötila-hyötysuhde</t>
  </si>
  <si>
    <t>Koneen tuloilman lämpötila-hyötysuhde</t>
  </si>
  <si>
    <t>Koneen tuloilman lämpötilahyötysuhde puhaltimen sähkötehosta
puolet huomioiden</t>
  </si>
  <si>
    <t>USANON LASKENTA</t>
  </si>
  <si>
    <r>
      <t>SFP</t>
    </r>
    <r>
      <rPr>
        <b/>
        <vertAlign val="subscript"/>
        <sz val="10"/>
        <rFont val="Century Gothic"/>
        <family val="2"/>
      </rPr>
      <t xml:space="preserve">int </t>
    </r>
    <r>
      <rPr>
        <b/>
        <sz val="10"/>
        <rFont val="Century Gothic"/>
        <family val="2"/>
      </rPr>
      <t>:</t>
    </r>
  </si>
  <si>
    <t>Lisätään uusi kone + patterimitoitus, lähetetään kommentoitavaksi</t>
  </si>
  <si>
    <t>Airfi laskentaohjelma_5.0.xlsx</t>
  </si>
  <si>
    <t>Painehäviö patt</t>
  </si>
  <si>
    <t>Painehäviö ventt</t>
  </si>
  <si>
    <t>Painehäviö vent</t>
  </si>
  <si>
    <t>Säätöventtiilin painehäviö*</t>
  </si>
  <si>
    <t>Painehäviö säätövent (KV=1,00)</t>
  </si>
  <si>
    <t>5.1</t>
  </si>
  <si>
    <t>Jaettu Model 300 -&gt; Model 250 ja 350. Lisäksi pieniä korjauksia kommenttien perusteella.</t>
  </si>
  <si>
    <t>Model 350</t>
  </si>
  <si>
    <t>Model 250</t>
  </si>
  <si>
    <t>Airfi model 250</t>
  </si>
  <si>
    <t>Airfi Model 350</t>
  </si>
  <si>
    <t>7.5 V</t>
  </si>
  <si>
    <t>Tekstejä patterimitoitusosioon</t>
  </si>
  <si>
    <t>Sähkönsyöttö, teksti</t>
  </si>
  <si>
    <t>Valittuna</t>
  </si>
  <si>
    <t>Malli, teksti</t>
  </si>
  <si>
    <t>Airfi-Model 60 Electric</t>
  </si>
  <si>
    <t>Airfi-Model 100 Electric</t>
  </si>
  <si>
    <t>Airfi-Model 150 Electric</t>
  </si>
  <si>
    <t>HUOM! SEC-laskentaa käytetään vain asuinrakennuksiin tarkoitetuilla ilmanvaihtokoneilla.</t>
  </si>
  <si>
    <t>JU+JK</t>
  </si>
  <si>
    <t>Airfi laskentaohjelma_5.1.xlsx</t>
  </si>
  <si>
    <r>
      <t>SFP</t>
    </r>
    <r>
      <rPr>
        <b/>
        <vertAlign val="subscript"/>
        <sz val="10"/>
        <rFont val="Century Gothic"/>
        <family val="2"/>
      </rPr>
      <t xml:space="preserve">int_limit </t>
    </r>
    <r>
      <rPr>
        <b/>
        <sz val="10"/>
        <rFont val="Century Gothic"/>
        <family val="2"/>
      </rPr>
      <t>:</t>
    </r>
  </si>
  <si>
    <t>Ei valintamahdollisuutta Model 150:lle, v4.4 (18.11.2019), eikä model 250 ja 350</t>
  </si>
  <si>
    <t>Ei Model 250:ssä</t>
  </si>
  <si>
    <t>Ei Model 350:ssä</t>
  </si>
  <si>
    <t>5.2</t>
  </si>
  <si>
    <t>Korjattu virheellinen tulostus dB-paketin kanssa</t>
  </si>
  <si>
    <t>Airfi laskentaohjelma_5.2.xlsx</t>
  </si>
  <si>
    <t>5.3</t>
  </si>
  <si>
    <t>Lisätty Model 130</t>
  </si>
  <si>
    <t>Airfi laskentaohjelma_5.3.xlsx</t>
  </si>
  <si>
    <t>Model 130</t>
  </si>
  <si>
    <t>Huom. Valinta erilainen kuin aiemmat sarakkeet vasemmalla</t>
  </si>
  <si>
    <t>Airfi-Model 130 Electric</t>
  </si>
  <si>
    <t>Airfi Model 130</t>
  </si>
  <si>
    <t>Lähde: 3478 Airfi Model-130 tilavuusvirtamittaukset tuloopuhallin.xslx</t>
  </si>
  <si>
    <t>9V</t>
  </si>
  <si>
    <t>9V lisämittaus</t>
  </si>
  <si>
    <t>MAX</t>
  </si>
  <si>
    <t>Järjestys muutettu</t>
  </si>
  <si>
    <t>poistopuolen tilavuusviratmittaukset excelistä</t>
  </si>
  <si>
    <t>2. aste polynomisovitus</t>
  </si>
  <si>
    <t>muutettu käsin</t>
  </si>
  <si>
    <t>Tehodatat tilavuusvirtamittauksista</t>
  </si>
  <si>
    <t>Sovitteet 2. aste polynomi</t>
  </si>
  <si>
    <t>Mittausdataa</t>
  </si>
  <si>
    <t>4 V - 10 V</t>
  </si>
  <si>
    <t>y = A*ln(x) + B</t>
  </si>
  <si>
    <t>KA pyör</t>
  </si>
  <si>
    <t>OK</t>
  </si>
  <si>
    <t>tarkistus</t>
  </si>
  <si>
    <t>Tarkistus, jos ei mittausalueella</t>
  </si>
  <si>
    <t>Paine yli</t>
  </si>
  <si>
    <t>Alfa yli</t>
  </si>
  <si>
    <t>20.7.2021 / HK</t>
  </si>
  <si>
    <t>Muokattu koneet suuruusjärjestykseen</t>
  </si>
  <si>
    <t>Liukuvalinta</t>
  </si>
  <si>
    <t>Laskentaohjelma</t>
  </si>
  <si>
    <t>Valinta, huom. Numerot muutettu siten että koneet suuruusjärjestyksessä</t>
  </si>
  <si>
    <t>Muutettu laskentaohjelman järjestysnumeroksi</t>
  </si>
  <si>
    <t>9 - 10V</t>
  </si>
  <si>
    <t>4-9V</t>
  </si>
  <si>
    <t>4-9 V</t>
  </si>
  <si>
    <t>5.4</t>
  </si>
  <si>
    <t>Muutettu koneiden järjestys suuruusjärjestykseen, lisätty Model 130 keittiöohitus + pieni korjaus ohj.jännitelaskentaan 9V-10V</t>
  </si>
  <si>
    <t>Airfi laskentaohjelma_5.4.xlsx</t>
  </si>
  <si>
    <t>Aloita syöttämällä joko meno- tai paluuveden lämpötila</t>
  </si>
  <si>
    <t>Airfi: air handling unit selection program</t>
  </si>
  <si>
    <t>Project:</t>
  </si>
  <si>
    <t>Projekt:</t>
  </si>
  <si>
    <t xml:space="preserve">Äänenvaimennuskotelo: 'dB-paketti' (Huom! Vaatii kaappirungon) </t>
  </si>
  <si>
    <t>Vesikiertoinen lämmityspatteri</t>
  </si>
  <si>
    <t>Ei käytettävissä tässä mallissa</t>
  </si>
  <si>
    <t>Not available for selected model</t>
  </si>
  <si>
    <t>Ilman tiheys: 1,2 kg/m³</t>
  </si>
  <si>
    <t>Paine-ero [Pa]</t>
  </si>
  <si>
    <t>Pressure difference [Pa]</t>
  </si>
  <si>
    <t>Ilman tilavuusvirta [dm³/s]</t>
  </si>
  <si>
    <t>Air volume flow [dm³/s]</t>
  </si>
  <si>
    <t>Air volume flow:</t>
  </si>
  <si>
    <t>Pressure difference:</t>
  </si>
  <si>
    <t>Ei käyttöalueella</t>
  </si>
  <si>
    <t>Value out of range</t>
  </si>
  <si>
    <t>Supply fan:</t>
  </si>
  <si>
    <t>Total power:</t>
  </si>
  <si>
    <t>Sound power levels in connection ducts</t>
  </si>
  <si>
    <t>Connection duct</t>
  </si>
  <si>
    <t>Supply air</t>
  </si>
  <si>
    <t>Zuluft</t>
  </si>
  <si>
    <t>Outdoor air</t>
  </si>
  <si>
    <t>Außenluft</t>
  </si>
  <si>
    <t>Extract air</t>
  </si>
  <si>
    <t>Abluft</t>
  </si>
  <si>
    <t>Exhaust air</t>
  </si>
  <si>
    <t>Fortluft</t>
  </si>
  <si>
    <t>Kitchen bypass</t>
  </si>
  <si>
    <r>
      <t>Äänitehotasot oktaavikaistoittain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0"/>
        <color theme="1"/>
        <rFont val="Century Gothic"/>
        <family val="2"/>
      </rPr>
      <t xml:space="preserve"> [dB]</t>
    </r>
  </si>
  <si>
    <r>
      <t>Sound power levels in octave bands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0"/>
        <color theme="1"/>
        <rFont val="Century Gothic"/>
        <family val="2"/>
      </rPr>
      <t xml:space="preserve"> [dB]</t>
    </r>
  </si>
  <si>
    <r>
      <t>L</t>
    </r>
    <r>
      <rPr>
        <vertAlign val="subscript"/>
        <sz val="11"/>
        <color theme="1"/>
        <rFont val="Calibri"/>
        <family val="2"/>
        <scheme val="minor"/>
      </rPr>
      <t>Wtot</t>
    </r>
  </si>
  <si>
    <r>
      <t>L</t>
    </r>
    <r>
      <rPr>
        <vertAlign val="subscript"/>
        <sz val="11"/>
        <color theme="1"/>
        <rFont val="Calibri"/>
        <family val="2"/>
        <scheme val="minor"/>
      </rPr>
      <t>WAtot</t>
    </r>
  </si>
  <si>
    <t>Äänitehotasot ympäristöön</t>
  </si>
  <si>
    <t>Sound power levels through casing:</t>
  </si>
  <si>
    <t>Through casing</t>
  </si>
  <si>
    <t>Ominaisenergiankulutus (SEC) ja luokittelu</t>
  </si>
  <si>
    <t>Specific energy consumption (SEC) and classification</t>
  </si>
  <si>
    <t>Komission asetusten (EU) N:o 1253/2014 &amp; N:o 1254/2014 mukaisesti</t>
  </si>
  <si>
    <t>According to Commission Regulations (EU) No 1253/2014 &amp; No 1254/2014</t>
  </si>
  <si>
    <t>Reference air flow:</t>
  </si>
  <si>
    <t>All rights reserved.</t>
  </si>
  <si>
    <t>SEC-value</t>
  </si>
  <si>
    <t>Ducted units</t>
  </si>
  <si>
    <t>Non-ducted units</t>
  </si>
  <si>
    <t>Manual control (no DCV)</t>
  </si>
  <si>
    <t>Clock control (no DCV)</t>
  </si>
  <si>
    <t>Central demand control</t>
  </si>
  <si>
    <t>Local demand control</t>
  </si>
  <si>
    <t>On/off &amp; single speed</t>
  </si>
  <si>
    <t>2-speed</t>
  </si>
  <si>
    <t>Multi-speed</t>
  </si>
  <si>
    <t>Variable-speed</t>
  </si>
  <si>
    <t>Cold</t>
  </si>
  <si>
    <t>Kalt</t>
  </si>
  <si>
    <t>Average</t>
  </si>
  <si>
    <t>Warm</t>
  </si>
  <si>
    <t>Ilmanvaihdon poistoilman lämmöntalteenoton vuosihyötysuhteen laskenta</t>
  </si>
  <si>
    <t>= insert value</t>
  </si>
  <si>
    <t>Supply air volume flow, through heat recovery</t>
  </si>
  <si>
    <t>Extract air volume flow, through heat recovery</t>
  </si>
  <si>
    <t>Supply air to extract air ratio for volume flow through heat recovery</t>
  </si>
  <si>
    <t>Supply / extract air volume flow ratio for entire ventilation system</t>
  </si>
  <si>
    <t>Climate zone</t>
  </si>
  <si>
    <t>Indoor temperature</t>
  </si>
  <si>
    <t>Minimum exhaust air temperature</t>
  </si>
  <si>
    <t>Total energy demand for ventilation</t>
  </si>
  <si>
    <t>Tuloilman lämpötila LTO:n jälkeen</t>
  </si>
  <si>
    <t>Tuloilman lämpötila [°C]</t>
  </si>
  <si>
    <t>Supply air temperature [°C]</t>
  </si>
  <si>
    <t>Ulkoilman lämpötila [°C]</t>
  </si>
  <si>
    <t>Outdoor air temperature [°C]</t>
  </si>
  <si>
    <t>Exhaust air temperature</t>
  </si>
  <si>
    <t>Jäteilman lämpötila [°C]</t>
  </si>
  <si>
    <t>Exhaust air temperature [°C]</t>
  </si>
  <si>
    <t>Percentage of the year</t>
  </si>
  <si>
    <t>Supply air temperature</t>
  </si>
  <si>
    <t>Gesamt</t>
  </si>
  <si>
    <t>ST,Kd = tulo- ja ulkoilman lämpötilan välinen lämmöntarveluku, Kd</t>
  </si>
  <si>
    <t>SJ,Kd = jäte- ja ulkoilman lämpötilan välinen lämmöntarveluku, Kd</t>
  </si>
  <si>
    <t>Supply air volume flow</t>
  </si>
  <si>
    <t>Required heating power</t>
  </si>
  <si>
    <t>Volume flow</t>
  </si>
  <si>
    <t>Control valve pressure loss*</t>
  </si>
  <si>
    <t>Kielivalinta:</t>
  </si>
  <si>
    <t>1. SUOMI</t>
  </si>
  <si>
    <t>Name:</t>
  </si>
  <si>
    <t>2. ENGLANTI</t>
  </si>
  <si>
    <t>3. RUOTSI</t>
  </si>
  <si>
    <t>4. SAKSA</t>
  </si>
  <si>
    <t>Extract air (insert values):</t>
  </si>
  <si>
    <t>Supply air (insert values):</t>
  </si>
  <si>
    <t>Fan power:</t>
  </si>
  <si>
    <t>Extract fan:</t>
  </si>
  <si>
    <t>Control voltage:</t>
  </si>
  <si>
    <t xml:space="preserve">Power supply: </t>
  </si>
  <si>
    <t>käytettäessä 'dB-pakettia' (Huom! Vaatii kaappirungon)</t>
  </si>
  <si>
    <t>NB! SEC-calculation is only used for air handling units intended for residential buildings</t>
  </si>
  <si>
    <t>Calculation parameters:</t>
  </si>
  <si>
    <t xml:space="preserve">Sähkönsyöttö: </t>
  </si>
  <si>
    <r>
      <t>[kWh / (a·m</t>
    </r>
    <r>
      <rPr>
        <vertAlign val="superscript"/>
        <sz val="10"/>
        <color theme="1"/>
        <rFont val="Century Gothic"/>
        <family val="2"/>
      </rPr>
      <t>2</t>
    </r>
    <r>
      <rPr>
        <sz val="10"/>
        <color theme="1"/>
        <rFont val="Century Gothic"/>
        <family val="2"/>
      </rPr>
      <t>)]</t>
    </r>
  </si>
  <si>
    <t>Annual efficiency</t>
  </si>
  <si>
    <t>Select model:</t>
  </si>
  <si>
    <t>Valitse laitemallin yhteydessä vesikiertoinen lämmityspatteri</t>
  </si>
  <si>
    <t>Ei käyttöalueella. Tarkista mitoitusarvot.</t>
  </si>
  <si>
    <t>Value out of range. Check parameters.</t>
  </si>
  <si>
    <t>Taulukot:</t>
  </si>
  <si>
    <t>Äänenvaimennuskotelo ei käytettävissä tässä mallissa</t>
  </si>
  <si>
    <t>Sound insulated casing not available for selected model</t>
  </si>
  <si>
    <t>* With kitchen bypass, the total extract air volume flow is larger than the inserted value</t>
  </si>
  <si>
    <t>Airfi: produktvalprogram för ventilationsaggregat</t>
  </si>
  <si>
    <t>Välj modell:</t>
  </si>
  <si>
    <t>Ej tillgänglig för denna modell</t>
  </si>
  <si>
    <t>Lufttäthet: 1,2 kg/m³</t>
  </si>
  <si>
    <t>Tryckskillnad [Pa]</t>
  </si>
  <si>
    <t>Luftens volymflöde [dm³/s]</t>
  </si>
  <si>
    <t>Tilluft (fyll i värden):</t>
  </si>
  <si>
    <t>Luftens volymflöde:</t>
  </si>
  <si>
    <t>Tryckskillnad:</t>
  </si>
  <si>
    <t>Frånluft (fyll i värden):</t>
  </si>
  <si>
    <t>Tilluftsfläkt:</t>
  </si>
  <si>
    <t>Styrspänning:</t>
  </si>
  <si>
    <t>Fläktens ineffekt:</t>
  </si>
  <si>
    <t>Frånluftsfläkt:</t>
  </si>
  <si>
    <t>Totaleffekt:</t>
  </si>
  <si>
    <t>Kanalmynning</t>
  </si>
  <si>
    <t>Tilluft</t>
  </si>
  <si>
    <t>Uteluft</t>
  </si>
  <si>
    <t>Frånluft</t>
  </si>
  <si>
    <t>Avluft</t>
  </si>
  <si>
    <t>Förbigång för kök</t>
  </si>
  <si>
    <t>Ljudeffektnivåer i oktavband LW,okt [dB]</t>
  </si>
  <si>
    <t>Ljudeffektnivå till omgivningen</t>
  </si>
  <si>
    <t>Genom manteln</t>
  </si>
  <si>
    <t>Ljudtrycksnivå i ett rum, vars ljudabsorptionsarea är 10m²:</t>
  </si>
  <si>
    <t>Specifik energianvändning (SEC) och klassifikation</t>
  </si>
  <si>
    <t>I enlighet med kommisionens förordningar (EU) nr 1253/2014 &amp; nr 1254/2014</t>
  </si>
  <si>
    <t>Obs! SEC-beräkning används endast för ventilationsaggregat avsedda för bostadshus</t>
  </si>
  <si>
    <t>Referensluftflöde:</t>
  </si>
  <si>
    <t>Beräkningsparametrar:</t>
  </si>
  <si>
    <t>Allmän klassifiering</t>
  </si>
  <si>
    <t>Ventilationsstyrning</t>
  </si>
  <si>
    <t>Motor &amp; styrning</t>
  </si>
  <si>
    <t>Klimat</t>
  </si>
  <si>
    <t>Alla rättigheter förbehållna.</t>
  </si>
  <si>
    <t>SEC-värde</t>
  </si>
  <si>
    <t>Klass</t>
  </si>
  <si>
    <t>Kanalansluten enhet</t>
  </si>
  <si>
    <t>Icke kanalansluten enhet</t>
  </si>
  <si>
    <t>Manuell styrning (ej behovsstyrd ventilation)</t>
  </si>
  <si>
    <t>Klockstyrning (ej behovsstyrd ventilation)</t>
  </si>
  <si>
    <t>Central behovsstyrning</t>
  </si>
  <si>
    <t>Lokal behovsstyrning</t>
  </si>
  <si>
    <t>On/Off &amp; enkelhastighets</t>
  </si>
  <si>
    <t>2-hastighets</t>
  </si>
  <si>
    <t>Flerhastighets</t>
  </si>
  <si>
    <t>Steglös reglering</t>
  </si>
  <si>
    <t>Kall</t>
  </si>
  <si>
    <t>Medelvärde</t>
  </si>
  <si>
    <t>Varm</t>
  </si>
  <si>
    <t>Beräkning av årsverkningsgrad för värmeåtervinning av ventilationens frånluft</t>
  </si>
  <si>
    <t xml:space="preserve">Beräkning enligt Finska Miljöministeriets kompendium 122 </t>
  </si>
  <si>
    <t xml:space="preserve">Tilluftsflöde, genom värmeåtervinningssystem </t>
  </si>
  <si>
    <t xml:space="preserve">Frånluftsflöde,  genom värmeåtervinningssystem </t>
  </si>
  <si>
    <t>Klimatzon</t>
  </si>
  <si>
    <t>Inomhustemperatur</t>
  </si>
  <si>
    <t>Minimitemperatur för avluft</t>
  </si>
  <si>
    <t>Årsverkningsgrad</t>
  </si>
  <si>
    <t>Totalt energibehov för ventilation</t>
  </si>
  <si>
    <t>Namn:</t>
  </si>
  <si>
    <t>Äänipainetaso tyypillisessä kylpyhuoneessa tai tekn. tilassa (V &lt; 10 m³), jonka ääniabsorptioala &lt; 2-3 m²:</t>
  </si>
  <si>
    <t xml:space="preserve">Calculations according to Handout 122 of the Finnish Ministry of the Environment </t>
  </si>
  <si>
    <t>SS,Kd = sisä- ja ulkoilman lämpötilan välinen lämmöntarveluku, Kd</t>
  </si>
  <si>
    <t>SE,Kd = heating degree days, between exhaust air and outdoor air, Kd</t>
  </si>
  <si>
    <t>SS,Kd = heating degree days, between supply air and outdoor air, Kd</t>
  </si>
  <si>
    <t>SI,Kd = heating degree days, between indoor air and outdoor air, Kd</t>
  </si>
  <si>
    <t>Insert parameters:</t>
  </si>
  <si>
    <t>* Käytettäessä Oras DN15S suurtehorunkoa + Stabila -patteriventtiiliä (täysin auki, KV = 1,00)</t>
  </si>
  <si>
    <t>Återvunnen värmeenergi</t>
  </si>
  <si>
    <t>Tilluftstemperatur efter värmeåtervinning</t>
  </si>
  <si>
    <t>Tilluftstemperatur [°C]</t>
  </si>
  <si>
    <t>Uteluftstemperatur [°C]</t>
  </si>
  <si>
    <t>Avluftstemperatur</t>
  </si>
  <si>
    <t>Avluftstemperatur [°C]</t>
  </si>
  <si>
    <t>Dimensionering av vattenburet värmebatteri</t>
  </si>
  <si>
    <t>Fyll i dimensionerings- och målvärden:</t>
  </si>
  <si>
    <t>Temperatur för returvatten</t>
  </si>
  <si>
    <t>Temperatur för tilloppsvatten</t>
  </si>
  <si>
    <r>
      <t>Ljudeffektnivåer i</t>
    </r>
    <r>
      <rPr>
        <sz val="10"/>
        <rFont val="Century Gothic"/>
        <family val="2"/>
      </rPr>
      <t xml:space="preserve"> kanalmynningarna</t>
    </r>
  </si>
  <si>
    <t>Tilluftens volymflöde</t>
  </si>
  <si>
    <t>Värmeeffektbehov</t>
  </si>
  <si>
    <t>Batteridimensionering baserat på temperatur för tilloppsvatten</t>
  </si>
  <si>
    <t>Batteridimensionering baserat på temperatur för returvatten</t>
  </si>
  <si>
    <t>Volymflöde</t>
  </si>
  <si>
    <t>Flödeshastighet</t>
  </si>
  <si>
    <t>Ej på användningsområdet. Kontrollera dimensioneringsvärden.</t>
  </si>
  <si>
    <t>Ljudisolerat hölje ej tillgängligt för denna modell.</t>
  </si>
  <si>
    <t>* Vid användning av förbigång för kök är totala frånluftsvolymflödet större än det insatta dimensioneringsvärdet.</t>
  </si>
  <si>
    <t>Airfi: Auswahlprogramm für Lüftungsgeräte</t>
  </si>
  <si>
    <t>Designer:</t>
  </si>
  <si>
    <t>Modell wählen:</t>
  </si>
  <si>
    <t>Sound insulated casing: "dB-paketti" (NB! Requires a cabinet)</t>
  </si>
  <si>
    <t>Schallgedämmtes Gehäuse: "dB-paketti" (N.B. Braucht einen Schrankrahmen)</t>
  </si>
  <si>
    <t>Heating coil</t>
  </si>
  <si>
    <t>Värmebatteri</t>
  </si>
  <si>
    <t xml:space="preserve">Wasser-Heizregister </t>
  </si>
  <si>
    <t>Not available for the selected model</t>
  </si>
  <si>
    <t>Für das ausgewählte Modell nicht verfügbar</t>
  </si>
  <si>
    <t>Air density: 1.2 kg/m³</t>
  </si>
  <si>
    <t>Luftdichte: 1,2 kg/m³</t>
  </si>
  <si>
    <t>Druckdifferenz [Pa]</t>
  </si>
  <si>
    <t>Luftvolumenstrom [dm³/s]</t>
  </si>
  <si>
    <t>Zuluft (Werte eingeben):</t>
  </si>
  <si>
    <t>Luftvolumenstrom:</t>
  </si>
  <si>
    <t>Zuluftsventilator:</t>
  </si>
  <si>
    <t>Steuerspannung:</t>
  </si>
  <si>
    <t>Eingangsleistung:</t>
  </si>
  <si>
    <t>Abluftsventilator:</t>
  </si>
  <si>
    <t>Gesamtleistung:</t>
  </si>
  <si>
    <t>Schallleistungspegel in Anschlusskanäle</t>
  </si>
  <si>
    <t>Anschlusskanal</t>
  </si>
  <si>
    <t>Küchen Bypass</t>
  </si>
  <si>
    <t>Schallleistungspegel in Oktavbändern LW,okt [dB]</t>
  </si>
  <si>
    <t>Schallleistungspegel durch das Gehäuse</t>
  </si>
  <si>
    <t>Durch das Gehäuse</t>
  </si>
  <si>
    <t>Sound pressure level in a room with an absorption area of 10m²:</t>
  </si>
  <si>
    <t>Schalldruckpegel im Raum mit einer Absorptionsfläche von 10m²</t>
  </si>
  <si>
    <t>Sound pressure level in a typical bathroom (V &lt; 10 m³) with an absorption area &lt; 2-3 m²:</t>
  </si>
  <si>
    <t>Ljudtrycksnivå i ett typiskt badrum (V &lt; 10 m³), vars ljudabsorptionsarea är &lt; 2-3 m²</t>
  </si>
  <si>
    <t>Schalldruckpegel in typischem Badezimmer (V &lt; 10 m³) mit einer Absorptionsfläche &lt; 2-3 m²:</t>
  </si>
  <si>
    <t>Spezifischer Energieverbrauch (SEV) und Klassifizierung</t>
  </si>
  <si>
    <t>Entsprechend den Verdordnungen (EU) Nr. 1253/2014 &amp; Nr. 1254/2014 der Kommission</t>
  </si>
  <si>
    <t>NB! Die SEV-Berechnung wird nur für Wohnraumlüftungsanlage verwendet</t>
  </si>
  <si>
    <t>Nennluftvolumenstrom:</t>
  </si>
  <si>
    <t>Berechnungsparameter:</t>
  </si>
  <si>
    <t>Allgemeine Typologie</t>
  </si>
  <si>
    <t>Lüftungssteuerung</t>
  </si>
  <si>
    <t>Motor und Antrieb</t>
  </si>
  <si>
    <t>Klima</t>
  </si>
  <si>
    <t>Alle Rechte vorbehalten.</t>
  </si>
  <si>
    <t>Applied documents and standards: SFS-EN 13141-7, LVI 30-10529, Finnish Ministry of the Environment: Decree 1009/2017, "Tasauslaskentaopas 2018" &amp; "Moniste 122",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</si>
  <si>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"Tasauslaskentaopas 2018", Finska Miljöministeriets kompendium 122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</si>
  <si>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1009/2017, "Tasauslaskentaopas 2018" &amp; "Moniste 122" und Verordnung (EU) Nr. 1253/2014 &amp; 1254/2014 Der Kommission. Wir sind nicht verantwortlich für direkte oder indirekte Schäden, die durch mögliche Fehler im Auswahlprogramm verursacht werden.</t>
  </si>
  <si>
    <t>The selection program is made by Insinööritoimisto W. Zenner Oy. The program is based on laboratory measurements according to SFS-EN 13141-7.</t>
  </si>
  <si>
    <t>Produktvalprogrammet har gjorts av Insinööritoimisto W. Zenner Oy. Programmet baserar sig på laboratoriemätningar i enlighet med SFS-EN 13141-7.</t>
  </si>
  <si>
    <t>Auswahlprogramm ist von Insinööritoimisto W. Zenner Oy erstellt. Das Programm basiert auf Labormessungen nach SFS-EN 13141-7.</t>
  </si>
  <si>
    <t>SEV-Wert</t>
  </si>
  <si>
    <t>Klasse</t>
  </si>
  <si>
    <t>Anlagen mit Kanalanschlußstutzen</t>
  </si>
  <si>
    <t>Anlagen ohne Kanalanschlußstutzen</t>
  </si>
  <si>
    <t>Handsteuerung (keine Bedarfssteuerung)</t>
  </si>
  <si>
    <t>Zeitsteuerung (keine Bedarfssteuerung)</t>
  </si>
  <si>
    <t>Zentrale Bedarfssteuerung</t>
  </si>
  <si>
    <t>Steuerung nach örtlichem Bedarf</t>
  </si>
  <si>
    <t>Ein/aus und eine Drehzahl</t>
  </si>
  <si>
    <t>2 Drehzahlen</t>
  </si>
  <si>
    <t>mehrere Drehzahlen</t>
  </si>
  <si>
    <t>regelbare Drehzahl</t>
  </si>
  <si>
    <t>Durchschnitt</t>
  </si>
  <si>
    <t>Calculation of annual efficiency for exhaust air heat recovery</t>
  </si>
  <si>
    <t>Berechnung des Jahresnutzungsgrades der Wärmerückgewinnung der Lüftungsabluft</t>
  </si>
  <si>
    <t>Berechnungen gemäß Handout 122 des finnischen Umweltministeriums</t>
  </si>
  <si>
    <t>= Wert eingeben</t>
  </si>
  <si>
    <t>Zuluft, die durch die Wärmerückgewinnung strömt</t>
  </si>
  <si>
    <t>Abluft, die durch die Wärmerückgewinnung strömt</t>
  </si>
  <si>
    <t>Förhållande av till- och frånluftsflöde genom värmeåtervinningen.</t>
  </si>
  <si>
    <t>Das Verhältnis von Zuluft und Abluft Ströme durch die Wärmerückgewinnung</t>
  </si>
  <si>
    <t>Additional extract air flow rate included in heat recovery requirements</t>
  </si>
  <si>
    <t>Ytterligare frånluft ingår i värmeåtervinningskraven</t>
  </si>
  <si>
    <t>Zusatsabluft in den Wärmerückgewinnungsanforderungen enthalten</t>
  </si>
  <si>
    <t>Drifttid för ovan nämnda extra frånluft</t>
  </si>
  <si>
    <t>Betriebsdauer der obenkenannten zusätzlichen Abluft</t>
  </si>
  <si>
    <t>Das Verhältnis von Zuluft und Abluft für das gesamte Lüftungssystem</t>
  </si>
  <si>
    <t>Supply side temperature ratio</t>
  </si>
  <si>
    <t>Temperaturverkningsgrad för tilluft</t>
  </si>
  <si>
    <t>Zulufts Temperatureffizienz</t>
  </si>
  <si>
    <t>Klimazone</t>
  </si>
  <si>
    <t>Innenlufttemperatur</t>
  </si>
  <si>
    <t>Minimale Fortlufttemperatur</t>
  </si>
  <si>
    <t>Jährliche Effizienz</t>
  </si>
  <si>
    <t>Gesamtenergiebedarf für Lüftung</t>
  </si>
  <si>
    <t>Recovered heating energy</t>
  </si>
  <si>
    <t>Zurückgewonnene Heizenergie</t>
  </si>
  <si>
    <t>Supply air temperature after heat exchanger</t>
  </si>
  <si>
    <t>Zulufttemperatur nach Wärmerückgewinnung</t>
  </si>
  <si>
    <t>Zulufttemperatur [°C]</t>
  </si>
  <si>
    <t>Außenlufttemperatur [°C]</t>
  </si>
  <si>
    <t>Fortlufttemperatur</t>
  </si>
  <si>
    <t>Fortlufttemperatur [°C]</t>
  </si>
  <si>
    <t>Tid av året i procent</t>
  </si>
  <si>
    <t>Anteil des Jahres</t>
  </si>
  <si>
    <t>Summa</t>
  </si>
  <si>
    <t>SI,Kd = graddagstal, mellan inne- och uteluft, Kd</t>
  </si>
  <si>
    <r>
      <rPr>
        <sz val="11"/>
        <rFont val="Calibri"/>
        <family val="2"/>
        <scheme val="minor"/>
      </rPr>
      <t>SI,Kd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Innenluft - Außenluft, Kd</t>
    </r>
  </si>
  <si>
    <t>SS,Kd = graddagstal, mellan till- och uteluft, Kd</t>
  </si>
  <si>
    <r>
      <rPr>
        <sz val="11"/>
        <rFont val="Calibri"/>
        <family val="2"/>
        <scheme val="minor"/>
      </rPr>
      <t>SZ,Kd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Zuluft - Außenluft, Kd</t>
    </r>
  </si>
  <si>
    <t>SE,Kd = graddagstal, mellan från- och uteluft, Kd</t>
  </si>
  <si>
    <r>
      <rPr>
        <sz val="11"/>
        <rFont val="Calibri"/>
        <family val="2"/>
        <scheme val="minor"/>
      </rPr>
      <t>SF,Kd = Wärmesumme,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Fortluft - Außenluft, Kd</t>
    </r>
  </si>
  <si>
    <t>Dimensioning of heating coil</t>
  </si>
  <si>
    <t>Dimensionierung von Heizregistern</t>
  </si>
  <si>
    <t>Parameter einfügen:</t>
  </si>
  <si>
    <t>Start by inserting either inlet or outlet water temperature</t>
  </si>
  <si>
    <t>Börja med att fylla i temperatur för tillopps- eller returvatten</t>
  </si>
  <si>
    <t>Beginnen Sie mit der Eingabe entweder der Einlass- oder der Auslasswassertemperatur</t>
  </si>
  <si>
    <t>Inlet air temperature</t>
  </si>
  <si>
    <t>Lufttemperatur vid batteriingång</t>
  </si>
  <si>
    <t>Einlasslufttemperatur</t>
  </si>
  <si>
    <t>Outlet air temperature</t>
  </si>
  <si>
    <t>Lufttemperatur vid batteriutgång</t>
  </si>
  <si>
    <t>Auslasslufttemperatur</t>
  </si>
  <si>
    <t>Inlet water temperature</t>
  </si>
  <si>
    <t xml:space="preserve">Wassereinlasstemperatur </t>
  </si>
  <si>
    <t>Outlet water temperature</t>
  </si>
  <si>
    <t>Wasserauslasstemperatur</t>
  </si>
  <si>
    <t>Zuluftvolumenstrom</t>
  </si>
  <si>
    <t>Erforderliche Heizleistung</t>
  </si>
  <si>
    <t>*Using Oras DN15S Radiator valve body &amp; Stabila radiator valve (fully open, CV = 1.00)</t>
  </si>
  <si>
    <r>
      <t xml:space="preserve">* Vid användning av Oras DN15S </t>
    </r>
    <r>
      <rPr>
        <sz val="10"/>
        <rFont val="Century Gothic"/>
        <family val="2"/>
      </rPr>
      <t>radiatorventilshus + Stabila radiatorventil (fullt öppen, CV = 1,00)</t>
    </r>
  </si>
  <si>
    <t>Bei Verwendung von Oras DN15S + Stabila -Heizkörperventil (vollständig geöffnet, CV = 1.00)</t>
  </si>
  <si>
    <t>Heating coil dimensioning by inlet water temperature</t>
  </si>
  <si>
    <t>Heating coil dimensioning by outlet water temperature</t>
  </si>
  <si>
    <t>Einlasswassertemperatur</t>
  </si>
  <si>
    <t>Auslasswassertemperatur</t>
  </si>
  <si>
    <t>Volumenstrom</t>
  </si>
  <si>
    <t>Heating coil fluid side pressure loss</t>
  </si>
  <si>
    <t>Tryckfall för vätskesidan av värmebatteri</t>
  </si>
  <si>
    <t>Flüssigkeitsseitiger Druckabfall der Heizregister</t>
  </si>
  <si>
    <t>Tryckfall för reglerventil*</t>
  </si>
  <si>
    <t>Druckverlust des Regelventils*</t>
  </si>
  <si>
    <t>Flow velocity</t>
  </si>
  <si>
    <t>Fliessgeschwindigkeit</t>
  </si>
  <si>
    <t>using 'dB-paketti' (NB! Requires a cabinet)</t>
  </si>
  <si>
    <t>Vid använding av 'dB-paketti' (Obs! Kräver en skåpram)</t>
  </si>
  <si>
    <t>mit Schallgedämmtes Gehäuse "dB-paketti" (N.B. Braucht einen Schrankrahmen)</t>
  </si>
  <si>
    <t>Select heating coil in the model selection menu</t>
  </si>
  <si>
    <t>Välj värmebatteri vid val av modell</t>
  </si>
  <si>
    <t>Wasser-Heizregister im Modellauswahlmenü auswählen</t>
  </si>
  <si>
    <t>Wert außerhalb des Verwendungsbereichs. Parameter prüfen.</t>
  </si>
  <si>
    <t>Schallgedämmtes Gehäuse für ausgewähltes Modell nicht verfügbar</t>
  </si>
  <si>
    <t>* Bei Küchen-bypass ist der Gesamtabluftvolumenstrom größer als der eingegebene Wert</t>
  </si>
  <si>
    <t>Säävyöhyke (valtio/maa)</t>
  </si>
  <si>
    <t>Climate zone (state/country)</t>
  </si>
  <si>
    <t>Klimatzon (stat/land)</t>
  </si>
  <si>
    <t>Klimazone (Staat/Land)</t>
  </si>
  <si>
    <t>Säävyöhyke (kunta/kaupunki)</t>
  </si>
  <si>
    <t>Climate zone (municipality/city)</t>
  </si>
  <si>
    <t>Klimatzon (kommun/stad)</t>
  </si>
  <si>
    <t>Klimazone (Gemeinde/Stadt)</t>
  </si>
  <si>
    <t>5.5</t>
  </si>
  <si>
    <t>Lisätty kielivalinta ENG, SWE, GER</t>
  </si>
  <si>
    <t>JK/HR</t>
  </si>
  <si>
    <t xml:space="preserve">Stromversorgung: </t>
  </si>
  <si>
    <t xml:space="preserve">Strömförsörjning: </t>
  </si>
  <si>
    <r>
      <t>dm</t>
    </r>
    <r>
      <rPr>
        <vertAlign val="superscript"/>
        <sz val="9"/>
        <color theme="1"/>
        <rFont val="Century Gothic"/>
        <family val="2"/>
      </rPr>
      <t>3</t>
    </r>
    <r>
      <rPr>
        <sz val="9"/>
        <color theme="1"/>
        <rFont val="Century Gothic"/>
        <family val="2"/>
      </rPr>
      <t>/s</t>
    </r>
  </si>
  <si>
    <r>
      <t>S</t>
    </r>
    <r>
      <rPr>
        <b/>
        <vertAlign val="subscript"/>
        <sz val="8"/>
        <color theme="1"/>
        <rFont val="Century Gothic"/>
        <family val="2"/>
      </rPr>
      <t>S,Kd</t>
    </r>
  </si>
  <si>
    <r>
      <t>S</t>
    </r>
    <r>
      <rPr>
        <b/>
        <vertAlign val="subscript"/>
        <sz val="8"/>
        <color theme="1"/>
        <rFont val="Century Gothic"/>
        <family val="2"/>
      </rPr>
      <t>T,Kd</t>
    </r>
  </si>
  <si>
    <r>
      <t>S</t>
    </r>
    <r>
      <rPr>
        <b/>
        <vertAlign val="subscript"/>
        <sz val="8"/>
        <color theme="1"/>
        <rFont val="Century Gothic"/>
        <family val="2"/>
      </rPr>
      <t>J,Kd</t>
    </r>
  </si>
  <si>
    <t>Fortluft-temperatur</t>
  </si>
  <si>
    <t>Zuluft-temperatur</t>
  </si>
  <si>
    <t>Dimensionierung entsprechend der Auslasswassertemperatur</t>
  </si>
  <si>
    <t>Dimensionierung entsprechend der Einlasswassertemperatur</t>
  </si>
  <si>
    <t>Avlufts-temperatur</t>
  </si>
  <si>
    <t>Tillufts-temperatur</t>
  </si>
  <si>
    <t>Operational time of the additional extract air</t>
  </si>
  <si>
    <t>Airfi laskentaohjelma_5.5.xlsx</t>
  </si>
  <si>
    <t>Maa</t>
  </si>
  <si>
    <t>HUOM!</t>
  </si>
  <si>
    <t>Suomi</t>
  </si>
  <si>
    <t>Finland</t>
  </si>
  <si>
    <t>Finnland</t>
  </si>
  <si>
    <t>Viro</t>
  </si>
  <si>
    <t>Estonia</t>
  </si>
  <si>
    <t>Estland</t>
  </si>
  <si>
    <t>Norja</t>
  </si>
  <si>
    <t>Norway</t>
  </si>
  <si>
    <t>Norge</t>
  </si>
  <si>
    <t>Norwegen</t>
  </si>
  <si>
    <t>Tanska</t>
  </si>
  <si>
    <t>Denmark</t>
  </si>
  <si>
    <t>Danmark</t>
  </si>
  <si>
    <t>Dänemark</t>
  </si>
  <si>
    <t>Puola</t>
  </si>
  <si>
    <t>Poland</t>
  </si>
  <si>
    <t>Polen</t>
  </si>
  <si>
    <t>Saksa</t>
  </si>
  <si>
    <t>Germany</t>
  </si>
  <si>
    <t>Tyskland</t>
  </si>
  <si>
    <t>Deutschland</t>
  </si>
  <si>
    <t>Islanti</t>
  </si>
  <si>
    <t>Iceland</t>
  </si>
  <si>
    <t>Island</t>
  </si>
  <si>
    <t>Ruotsi</t>
  </si>
  <si>
    <t>Sweden</t>
  </si>
  <si>
    <t>Sverige</t>
  </si>
  <si>
    <t>Schweden</t>
  </si>
  <si>
    <t>I (Vantaa)</t>
  </si>
  <si>
    <t>I (Vanda)</t>
  </si>
  <si>
    <t>II (Jockis)</t>
  </si>
  <si>
    <t>Tallinna</t>
  </si>
  <si>
    <t>Oslo</t>
  </si>
  <si>
    <t>Kööpenhamina</t>
  </si>
  <si>
    <t>Varsova</t>
  </si>
  <si>
    <t>Berliini</t>
  </si>
  <si>
    <t>Reykjavík</t>
  </si>
  <si>
    <t>Tukholma</t>
  </si>
  <si>
    <t>Stockholm</t>
  </si>
  <si>
    <t>Malmö</t>
  </si>
  <si>
    <t>Göteborg</t>
  </si>
  <si>
    <t>Gothenburg</t>
  </si>
  <si>
    <t>MAA 1</t>
  </si>
  <si>
    <t>MAA 2</t>
  </si>
  <si>
    <t>MAA 3</t>
  </si>
  <si>
    <t>MAA 4</t>
  </si>
  <si>
    <t>MAA 5</t>
  </si>
  <si>
    <t>MAA 6</t>
  </si>
  <si>
    <t>MAA 7</t>
  </si>
  <si>
    <t>MAA 8</t>
  </si>
  <si>
    <t>MAA 9</t>
  </si>
  <si>
    <t>MAA 10</t>
  </si>
  <si>
    <t>MAA 11</t>
  </si>
  <si>
    <t>MAA 12</t>
  </si>
  <si>
    <t>MAA 13</t>
  </si>
  <si>
    <t>MAA 14</t>
  </si>
  <si>
    <t>MAA 15</t>
  </si>
  <si>
    <t>MAA 16</t>
  </si>
  <si>
    <t>MAA 17</t>
  </si>
  <si>
    <t>MAA 18</t>
  </si>
  <si>
    <t>MAA 19</t>
  </si>
  <si>
    <t>MAA 20</t>
  </si>
  <si>
    <t>MAA 21</t>
  </si>
  <si>
    <t>MAA 22</t>
  </si>
  <si>
    <t>MAA 23</t>
  </si>
  <si>
    <t>MAA 24</t>
  </si>
  <si>
    <t>MAA 25</t>
  </si>
  <si>
    <t>Syötä maat/valtiot niin, että väliin ei jää tyhjiä rivejä.</t>
  </si>
  <si>
    <t>ALUE 1</t>
  </si>
  <si>
    <t>ALUE 2</t>
  </si>
  <si>
    <t>ALUE 3</t>
  </si>
  <si>
    <t>ALUE 4</t>
  </si>
  <si>
    <t>ALUE 5</t>
  </si>
  <si>
    <t>ALUE 6</t>
  </si>
  <si>
    <t>ALUE 7</t>
  </si>
  <si>
    <t>ALUE 8</t>
  </si>
  <si>
    <t>ALUE 9</t>
  </si>
  <si>
    <t>ALUE 10</t>
  </si>
  <si>
    <t>ALUE 11</t>
  </si>
  <si>
    <t>ALUE 12</t>
  </si>
  <si>
    <t>ALUE 13</t>
  </si>
  <si>
    <t>ALUE 14</t>
  </si>
  <si>
    <t>ALUE 15</t>
  </si>
  <si>
    <t>ALUE 16</t>
  </si>
  <si>
    <t>ALUE 17</t>
  </si>
  <si>
    <t>ALUE 18</t>
  </si>
  <si>
    <t>ALUE 19</t>
  </si>
  <si>
    <t>ALUE 20</t>
  </si>
  <si>
    <t>ALUE 21</t>
  </si>
  <si>
    <t>ALUE 22</t>
  </si>
  <si>
    <t>ALUE 23</t>
  </si>
  <si>
    <t>ALUE 24</t>
  </si>
  <si>
    <t>ALUE 25</t>
  </si>
  <si>
    <t>ALUE 26</t>
  </si>
  <si>
    <t>ALUE 27</t>
  </si>
  <si>
    <t>ALUE 28</t>
  </si>
  <si>
    <t>ALUE 29</t>
  </si>
  <si>
    <t>ALUE 30</t>
  </si>
  <si>
    <t>ALUE 31</t>
  </si>
  <si>
    <t>ALUE 32</t>
  </si>
  <si>
    <t>ALUE 33</t>
  </si>
  <si>
    <t>ALUE 34</t>
  </si>
  <si>
    <t>ALUE 35</t>
  </si>
  <si>
    <t>ALUE 36</t>
  </si>
  <si>
    <t>ALUE 37</t>
  </si>
  <si>
    <t>ALUE 38</t>
  </si>
  <si>
    <t>ALUE 39</t>
  </si>
  <si>
    <t>Syötä alueet/kaupungit niin, että väliin ei jää tyhjiä rivejä.</t>
  </si>
  <si>
    <t>PR</t>
  </si>
  <si>
    <t>5.6</t>
  </si>
  <si>
    <t xml:space="preserve">Suomen säädataksi muutettu TRY2020 (vanhat datat poistettu). Lisätty ulkomaiden säädata Riuska:sta. Lisätty toiminnallisuudet maan ja kaupunkien valitsemiselle. </t>
  </si>
  <si>
    <t>Airfi laskentaohjelma_5.6.xlsx</t>
  </si>
  <si>
    <t>Ljudisolerat hölje: "dB-paketti" (Obs! Kräver en skåpram)</t>
  </si>
  <si>
    <t>Huom oli ennen v.5.7 päivitystä näin:</t>
  </si>
  <si>
    <t>Ilman tilavuusvirta [m³/h]</t>
  </si>
  <si>
    <t>SPI:</t>
  </si>
  <si>
    <t>W/(m³/h)</t>
  </si>
  <si>
    <t>W/(m³/s)</t>
  </si>
  <si>
    <t>kW/(m³/s)</t>
  </si>
  <si>
    <t>Maksimi tehostusvara</t>
  </si>
  <si>
    <t>Toimintapiste tehostustilanteessa:</t>
  </si>
  <si>
    <t>Mitoituspiste (syötä tilavuusvirta ja paine-ero)</t>
  </si>
  <si>
    <t>Tehostusvara</t>
  </si>
  <si>
    <t>Max tehostus</t>
  </si>
  <si>
    <t>Maksimi tehostusvara:</t>
  </si>
  <si>
    <t>Syötä haluttu tehostusarvo:</t>
  </si>
  <si>
    <t>Haluttu tehostuspiste</t>
  </si>
  <si>
    <t>Tarkistus onko käyttöalueella</t>
  </si>
  <si>
    <t>Tehostuspisteen ohjausjännite</t>
  </si>
  <si>
    <t>(OK, jos TOSI)</t>
  </si>
  <si>
    <t>Halutun tehostuksen toimintapiste:</t>
  </si>
  <si>
    <t>Haluttu tehostus</t>
  </si>
  <si>
    <t>(Toisen potenssin verkkokäyrästä suoraan):</t>
  </si>
  <si>
    <t>Tehostuksen toimintapiste</t>
  </si>
  <si>
    <t>Tehostusarvo [%]:</t>
  </si>
  <si>
    <t>Operating point (insert air flow and pressure difference values):</t>
  </si>
  <si>
    <t>Abluft (Werte eingeben):</t>
  </si>
  <si>
    <t>Werte überprüfen</t>
  </si>
  <si>
    <t>Värde utanför området</t>
  </si>
  <si>
    <t>Driftpunkt (ange luftflöde och tryckdifferensvärden):</t>
  </si>
  <si>
    <t>Betriebspunkt (Geben Sie Luftvolumenstrom- und Druckdifferenzwerte ein):</t>
  </si>
  <si>
    <t>Boost situation calculation:</t>
  </si>
  <si>
    <t>Tehostustilanteen laskenta:</t>
  </si>
  <si>
    <t>Beräkning av forceringssituation:</t>
  </si>
  <si>
    <t>Berechnung der Verstärkungssituation:</t>
  </si>
  <si>
    <t>Maximale Verstärkungsreserve:</t>
  </si>
  <si>
    <t>= Infoga värde</t>
  </si>
  <si>
    <t>Insert the desired boost value:</t>
  </si>
  <si>
    <t>Verstärkungswert eingeben:</t>
  </si>
  <si>
    <t>Boost value [%]:</t>
  </si>
  <si>
    <t>Verstärkungswert [%]:</t>
  </si>
  <si>
    <t>Operating point in boost situation:</t>
  </si>
  <si>
    <t>Betriebspunkt in der Verstärkungssituation:</t>
  </si>
  <si>
    <t>Maximum
boost reserve:</t>
  </si>
  <si>
    <t>Maximal forceringsreserv:</t>
  </si>
  <si>
    <t>Ange forceringsvärde:</t>
  </si>
  <si>
    <t>Forceringsvärde [%]:</t>
  </si>
  <si>
    <t>Driftpunkt i forceringssituation:</t>
  </si>
  <si>
    <t>T10</t>
  </si>
  <si>
    <t>T11</t>
  </si>
  <si>
    <t>T9</t>
  </si>
  <si>
    <t>Tehostuksen piirto</t>
  </si>
  <si>
    <t>Mitoitus</t>
  </si>
  <si>
    <t>Tehostus</t>
  </si>
  <si>
    <t>Origo</t>
  </si>
  <si>
    <t>Sovite ohjausjännitteelle, tehostuspistes</t>
  </si>
  <si>
    <t>5.7</t>
  </si>
  <si>
    <t>HUOM Model 250 rajoitettu 7,5 V</t>
  </si>
  <si>
    <t>Model 250 rajoitettu max 7,5 V</t>
  </si>
  <si>
    <t>Tehostus positiivinen luku</t>
  </si>
  <si>
    <t>Airfi laskentaohjelma_5.7.xlsx</t>
  </si>
  <si>
    <t>Valittu kieli</t>
  </si>
  <si>
    <t>Kielivalinta ja sen vaikutus syöttösoluihin</t>
  </si>
  <si>
    <t>Muut kielet</t>
  </si>
  <si>
    <t>Määritettyä tehostusarvoa ei saavutettu</t>
  </si>
  <si>
    <t>The specified boost value was not achieved</t>
  </si>
  <si>
    <t>Det angivna forceringsvärdet uppnåddes inte</t>
  </si>
  <si>
    <t>Der festgelegte Verstärkungswert wurde nicht erreicht</t>
  </si>
  <si>
    <t>Kielen valinnan vaikutus käyrien tulostukseen (dm³/s vai m³/h)</t>
  </si>
  <si>
    <t>KIELIVALINTA</t>
  </si>
  <si>
    <t>Yläakseli:</t>
  </si>
  <si>
    <t>Ala-akseli:</t>
  </si>
  <si>
    <t>Kielivalinnan vaikutus</t>
  </si>
  <si>
    <t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t>
  </si>
  <si>
    <t>Tillämpade dokument och standarder: SFS-EN 13141-7, LVI 30-10529, Finska Miljöministeriets förordning 1009/2017, samt kommisionens förordningar (EU) nr 1253//2014 &amp; nr 1254/2014. Vi ansvarar inte för direkt eller indirekt skada orsakad av möjliga fel i produktvalprogrammet.</t>
  </si>
  <si>
    <t>Angewandte Dokumente und Normen: SFS-EN 13141-7, LVI 30-10529, Finnisches Umweltministerium: Dekret 1009/2017 und Verordnung (EU) Nr. 1253/2014 &amp; 1254/2014 Der Kommission. Wir sind nicht verantwortlich für direkte oder indirekte Schäden, die durch mögliche Fehler im Auswahlprogramm verursacht werden.</t>
  </si>
  <si>
    <t>www.airfi.eu</t>
  </si>
  <si>
    <t>Kielivalinta</t>
  </si>
  <si>
    <t>Kielivalinta tuloilman lämpötilarajoitukseen</t>
  </si>
  <si>
    <t>Muut</t>
  </si>
  <si>
    <t>Lukema</t>
  </si>
  <si>
    <t>Otsikot</t>
  </si>
  <si>
    <t>Aloitus</t>
  </si>
  <si>
    <t>Määrä</t>
  </si>
  <si>
    <t>Valittu alue listasta</t>
  </si>
  <si>
    <t>Tarkastus, jos on suurempi ollut kuin suomen</t>
  </si>
  <si>
    <t>Siirtymä säädatalistassa</t>
  </si>
  <si>
    <t>Otsikko</t>
  </si>
  <si>
    <t>Valitse säävyöhyke (kaupunki)</t>
  </si>
  <si>
    <t>Select climate zone (city)</t>
  </si>
  <si>
    <t>Välj klimatzon (kommun/stad)</t>
  </si>
  <si>
    <t>Wählen Sie die klimazone (Stadt)</t>
  </si>
  <si>
    <t>välilehti</t>
  </si>
  <si>
    <t>KS. säädata</t>
  </si>
  <si>
    <t>Air volume flow [m³/h]</t>
  </si>
  <si>
    <t>Luftens volymflöde [m³/h]</t>
  </si>
  <si>
    <t>Luftvolumenstrom [m³/h]</t>
  </si>
  <si>
    <r>
      <t xml:space="preserve">Suomi, </t>
    </r>
    <r>
      <rPr>
        <b/>
        <u/>
        <sz val="11"/>
        <color theme="1"/>
        <rFont val="Century Gothic"/>
        <family val="2"/>
      </rPr>
      <t>TRY 2020</t>
    </r>
  </si>
  <si>
    <t>Lisätty tehostustilan laskenta (samalla muutettu tulostuksen sijoitteluja), otettu pois käytöstä muiden maiden säävalinta, Suomen säädata TRY2020</t>
  </si>
  <si>
    <t>5.8</t>
  </si>
  <si>
    <t>Airfi laskentaohjelma_5.8.xlsx</t>
  </si>
  <si>
    <t>Lisätty tilaajan 3.11.2023 antamat muutostoiveet (Kielivalinnan vaikutus HS-laskentaan, tilavuusvirran syötön yksiköihin ja tulosteuksen teksteihin + pieniä muita korjauksia)</t>
  </si>
  <si>
    <t>Huom. yllä olevat arvot sisältävät myös laitteen elektroniikan.</t>
  </si>
  <si>
    <t>Note: The above values also include the device's electronics.</t>
  </si>
  <si>
    <t>Die obigen Werte beinhalten auch die Elektronik des Geräts.</t>
  </si>
  <si>
    <t>Lisätty Bukarest säädatat ja ohjeteksti, että sähkötehon arvot sisältävät myös koneen elektroniikan.</t>
  </si>
  <si>
    <t>5.9</t>
  </si>
  <si>
    <t>Romania</t>
  </si>
  <si>
    <t>Rumänien</t>
  </si>
  <si>
    <t>Bukarest</t>
  </si>
  <si>
    <t>Airfi laskentaohjelma_5.9.xlsx</t>
  </si>
  <si>
    <t>De ovanstående värdena inkluderar också enhetens elektronik.</t>
  </si>
  <si>
    <t>Laskentaohjelmassa V. 5,8</t>
  </si>
  <si>
    <t>AIEMMAT ARVOT</t>
  </si>
  <si>
    <t>Ehdotus</t>
  </si>
  <si>
    <t>versio 5.9 ja seuraavat</t>
  </si>
  <si>
    <t>Ohjelmassa NRLTO=1,  nyt</t>
  </si>
  <si>
    <t>Model 60, 79,5 %</t>
  </si>
  <si>
    <t>Model 100, 82,5 %</t>
  </si>
  <si>
    <t>ohjaus V</t>
  </si>
  <si>
    <t>g/s</t>
  </si>
  <si>
    <t>tuloilman lämpötilahyötysuhde 60-kone, mitattu Zenner</t>
  </si>
  <si>
    <t>dm³/s</t>
  </si>
  <si>
    <t>Model 60nykyinen NRLTO=1</t>
  </si>
  <si>
    <t xml:space="preserve">EHDOTUS, model 60, EN 13141-7  1:1    Nt(RLTO=1)  </t>
  </si>
  <si>
    <t>Ehdotus EN308 model 60</t>
  </si>
  <si>
    <t>Model 130, 77,5 %</t>
  </si>
  <si>
    <t>Model 150, 79,5 %</t>
  </si>
  <si>
    <t>Model 250 ja Model 350 muuttuva</t>
  </si>
  <si>
    <t xml:space="preserve">ilmavirta </t>
  </si>
  <si>
    <t>arvo</t>
  </si>
  <si>
    <t>tuloilman lämpötilahyötysuhde 100-kone, mitattu Zenner</t>
  </si>
  <si>
    <t>Model 100nykyinen NRLTO=1</t>
  </si>
  <si>
    <t xml:space="preserve">EHDOTUS, model 100, EN 13141-7  1:1    Nt(RLTO=1)  </t>
  </si>
  <si>
    <t>Ehdotus EN308 model 100</t>
  </si>
  <si>
    <t xml:space="preserve">tuloilman lämpötilahyötysuhde 130-kone, simuloitu </t>
  </si>
  <si>
    <t>Model 130nykyinen NRLTO=1</t>
  </si>
  <si>
    <t xml:space="preserve">EHDOTUS, model 130, EN 13141-7  1:1    Nt(RLTO=1)  </t>
  </si>
  <si>
    <t>Ehdotus EN308 model 130</t>
  </si>
  <si>
    <t>tuloilman lämpötilahyötysuhde 150-kone, mitattu Zenner</t>
  </si>
  <si>
    <t>Model 150nykyinen NRLTO=1</t>
  </si>
  <si>
    <t xml:space="preserve">EHDOTUS, model 150, EN 13141-7  1:1    Nt(RLTO=1)  </t>
  </si>
  <si>
    <t>Ehdotus EN308 model 150</t>
  </si>
  <si>
    <t>3,8/3,8</t>
  </si>
  <si>
    <t>4,6/4,2</t>
  </si>
  <si>
    <t>7,4/6,1</t>
  </si>
  <si>
    <t>10/8</t>
  </si>
  <si>
    <t>ilmeisesti poikkeama kohdassa 76,6</t>
  </si>
  <si>
    <t>Model 250 / 350</t>
  </si>
  <si>
    <t>Model 250-350 nykyinen NRLTO=1</t>
  </si>
  <si>
    <t xml:space="preserve">EHDOTUS, model 250-350, EN 13141-7  1:1    Nt(RLTO=1)  </t>
  </si>
  <si>
    <t>Ehdotus EN308 model 250-350</t>
  </si>
  <si>
    <t>Vanhaa laskentaa --&gt; EI KÄYTÖSSÄ</t>
  </si>
  <si>
    <t xml:space="preserve">Muutokset versioon 6.0 </t>
  </si>
  <si>
    <t>Aiemmissa versioissa ollut fiksattu arvo 79,5 % Model 60,100, 130 ja 150</t>
  </si>
  <si>
    <t>Aiemmissa versioissa ollut tilavuusvirrasta riippuva laskenta Model 250/350 (79.5 % - 77.3 %)</t>
  </si>
  <si>
    <t>Käytetään tätä (huom. Versioon 5.9 saakka, tämän jälkeen tuli muutos)</t>
  </si>
  <si>
    <t>Versioon 6.0 iso muutos, ja käytetään A. Pulkkasen ohjeen mukaan tilavuusvirtariippuvaista laskentaa jokaisella mallilla</t>
  </si>
  <si>
    <t>LTO-arvot A. Pulkkasen sähköpostilla antaman ehdotuksen mukaisesti (8.2.2024)</t>
  </si>
  <si>
    <t>EN 13141-7</t>
  </si>
  <si>
    <t>EN 13141-7
Nt(RLTO=1)</t>
  </si>
  <si>
    <t>Tilavuusvirta [dm³/s]</t>
  </si>
  <si>
    <t>EN 308</t>
  </si>
  <si>
    <t>Laitevalinta</t>
  </si>
  <si>
    <t>Arvo versioon v5.9 saakka</t>
  </si>
  <si>
    <t>Mitoitus qV</t>
  </si>
  <si>
    <t>Tarkistus min/max</t>
  </si>
  <si>
    <t>Aputaulukko</t>
  </si>
  <si>
    <t>Vanha</t>
  </si>
  <si>
    <t>Huom. Päivitetty v6.0 lähtien</t>
  </si>
  <si>
    <t>LTO-hyötysuhteet v6.0 eteenpäin</t>
  </si>
  <si>
    <t>η</t>
  </si>
  <si>
    <t>Ilmanvaihtokoneen energiankulutus</t>
  </si>
  <si>
    <t>Teho (puhaltimet + elektroniikka)</t>
  </si>
  <si>
    <t>Tuloilman tavoitelämpötila</t>
  </si>
  <si>
    <t>Jälkilämmityspatterin ottoteho</t>
  </si>
  <si>
    <t>Jälkilämmityspatterin maksimiteho</t>
  </si>
  <si>
    <t>Jälkilämmityspatterin</t>
  </si>
  <si>
    <t>ottoteho</t>
  </si>
  <si>
    <t>Tulostus</t>
  </si>
  <si>
    <t>Tavoitelämpötila</t>
  </si>
  <si>
    <t>Tuloilman lämpötilan rajoitus</t>
  </si>
  <si>
    <t>Ei rajoitusta</t>
  </si>
  <si>
    <t>6.0</t>
  </si>
  <si>
    <t>Tuloilman rajoituksen ehdot kielivalinnasta riippuen (v.5.8 ja 5.9)</t>
  </si>
  <si>
    <t>Maksimi tuloilman lämpötila rajoitetussa tilanteessa</t>
  </si>
  <si>
    <t>Rajoitettu</t>
  </si>
  <si>
    <t>Tuloilma rajoitus</t>
  </si>
  <si>
    <t>kWh/a</t>
  </si>
  <si>
    <t>tLTO (LTO jälkeinen lämpötila mitoitusolosuhteessa)</t>
  </si>
  <si>
    <t>Mitoittava ulkoilman minimilämpötila</t>
  </si>
  <si>
    <t>Jälkilämmityspatterin ottotehon mitoitukseen</t>
  </si>
  <si>
    <t>Max tLTO valinta</t>
  </si>
  <si>
    <t>Maksimi asetus</t>
  </si>
  <si>
    <t>Tuloilman rajoitus (muutos v.6.0)</t>
  </si>
  <si>
    <t>Syöttöarvon muotoilu</t>
  </si>
  <si>
    <t>Huomioteksti</t>
  </si>
  <si>
    <t>Huom. YM monisteen 122 mukaisesti laskettuna tuloilman maksimilämpötilan rajoitus voi olla käytössä tai sitä ei tarvitse huomioida. Todellisuudessa rakennuksen energiankulutusta arvioitaessa tulee huomioida, että kaikkea kennon talteenottamaa lämpöenergiaa ei voida hyödyntää.</t>
  </si>
  <si>
    <t>Tuloilman lämpötilahyötysuhde yhtä suurilla ilmavirroilla (EN 13141-7)</t>
  </si>
  <si>
    <t>Supply side temperature ratio for balanced air flow (EN 13141-7)</t>
  </si>
  <si>
    <t>Temperaturverkningsgrad för tilluft vid motsvarande luftflöde (EN 13141-7)</t>
  </si>
  <si>
    <t>Zulufts Temperatureffizienz bei gleichen Luftströmen (EN 13141-7)</t>
  </si>
  <si>
    <t>Puhaltimien ja elektroniikan sähkönkulutus</t>
  </si>
  <si>
    <t>Electricity consumption of fans and electronics</t>
  </si>
  <si>
    <t>Elkonsumtion för fläktar och elektronik</t>
  </si>
  <si>
    <t>Stromverbrauch von Ventilatoren und Elektronik</t>
  </si>
  <si>
    <t>Heat recovery cell efficiency (EN 308)</t>
  </si>
  <si>
    <t>Verkningsgrad för värmeåtervinningscell (EN 308)</t>
  </si>
  <si>
    <t>Wirkungsgrad der Wärmerückgewinnungszelle (EN 308)</t>
  </si>
  <si>
    <t>Lämmöntalteenottokennon hyötysuhde (EN 308)</t>
  </si>
  <si>
    <t>Limited</t>
  </si>
  <si>
    <t>Supply air temperature limitation</t>
  </si>
  <si>
    <t>Begränsning av tilluftstemperatur</t>
  </si>
  <si>
    <t>Begrenzung der Zulufttemperatur</t>
  </si>
  <si>
    <t>Begränsad</t>
  </si>
  <si>
    <t>No limitation</t>
  </si>
  <si>
    <t>Ingen begränsning</t>
  </si>
  <si>
    <t>Keine Begrenzung</t>
  </si>
  <si>
    <t>Begrenzt</t>
  </si>
  <si>
    <t>Maximum supply air temperature in a limited situation</t>
  </si>
  <si>
    <t>Maximitemperatur för tilluft i ett begränsad läge</t>
  </si>
  <si>
    <t>Maximale Zulufttemperatur in einer begrenzten Situation</t>
  </si>
  <si>
    <t>Target supply air temperature</t>
  </si>
  <si>
    <t>Målinställd temperatur för tilluften</t>
  </si>
  <si>
    <t>Ziel-Zulufttemperatur</t>
  </si>
  <si>
    <t>Design minimum outdoor air temperature</t>
  </si>
  <si>
    <t>Dimensionerande utomhustemperatur</t>
  </si>
  <si>
    <t>Auslegungsmindestaußentemperatur</t>
  </si>
  <si>
    <t>Tarvittava jälkilämmityspatterin ottoteho</t>
  </si>
  <si>
    <t>Required reheating power</t>
  </si>
  <si>
    <t>Utgångseffekt för eftervärmningsbatteriet</t>
  </si>
  <si>
    <t>Abgabeleistung des Nachheizregisters</t>
  </si>
  <si>
    <t>Maximum power of the reheater</t>
  </si>
  <si>
    <t>Maximal effekt för eftervärmningsbatteriet</t>
  </si>
  <si>
    <t>Maximalleistung des Nachheizregisters</t>
  </si>
  <si>
    <t>Muutoksia vuosihyötysuhdelaskentaan ja tulostukseen (mm. kennon hyötysuhteet, tilavusvirtariippuvaiset hyötysuhteet, tuloilma rajoituksen valinta yms.)</t>
  </si>
  <si>
    <t>Vesimalli</t>
  </si>
  <si>
    <t>Versio 6.1</t>
  </si>
  <si>
    <t>Version 6.1</t>
  </si>
  <si>
    <t>Pistotulppa 230 V, 50 Hz, 16 A, max 3500 W</t>
  </si>
  <si>
    <t>Pistotulppa 230 V, 50 Hz, 16 A, max 2200 W</t>
  </si>
  <si>
    <t>Pistotulppa 230 V, 50 Hz, 10 A, max 1255 W</t>
  </si>
  <si>
    <t>Pistotulppa 230 V, 50 Hz, 10 A, max 1165 W</t>
  </si>
  <si>
    <t>Pistotulppa 400 VAC, 50 Hz, 3 x 16 A, max 8250 W</t>
  </si>
  <si>
    <t>Pistotulppa 230 V, 50 Hz, 10 A, max 1100 W</t>
  </si>
  <si>
    <t>Electric plug 230 V, 50 Hz, 10 A, max 1255 W</t>
  </si>
  <si>
    <t>Electric plug 400 VAC, 50 Hz, 3 x 16 A, max 8250 W</t>
  </si>
  <si>
    <t>Electric plug 230 V, 50 Hz, 16 A, max 3500 W</t>
  </si>
  <si>
    <t>Electric plug 230 V, 50 Hz, 16 A, max 2200 W</t>
  </si>
  <si>
    <t>Electric plug 230 V, 50 Hz, 10 A, max 1165 W</t>
  </si>
  <si>
    <t>Stickkontakt 230 V, 50 Hz, 10 A, max 1165 W</t>
  </si>
  <si>
    <t>Stickkontakt 230 V, 50 Hz, 10 A, max 1255 W</t>
  </si>
  <si>
    <t>Stickkontakt 230 V, 50 Hz, 16 A, max 2200 W</t>
  </si>
  <si>
    <t>Stickkontakt 400 VAC, 50 Hz, 3 x 16 A, max 8250 W</t>
  </si>
  <si>
    <t>Stecker 230 V, 50 Hz, 10 A, max 1165 W</t>
  </si>
  <si>
    <t>Stecker 230 V, 50 Hz, 10 A, max 1255 W</t>
  </si>
  <si>
    <t>Stecker 230 V, 50 Hz, 16 A, max 2200 W</t>
  </si>
  <si>
    <t>Stecker 230 V, 50 Hz, 16 A, max 3500 W</t>
  </si>
  <si>
    <t>Stecker 400 VAC, 50 Hz, 3 x 16 A, max 8250 W</t>
  </si>
  <si>
    <t>Stickkontakt 230 V, 50 Hz, 16 A, max 3500 W</t>
  </si>
  <si>
    <t>Electric plug 230 V, 50 Hz, 10 A, max 1100 W</t>
  </si>
  <si>
    <t>Stickkontakt 230 V, 50 Hz, 10 A, max 1100 W</t>
  </si>
  <si>
    <t>Stecker 230 V, 50 Hz, 10 A, max 1100 W</t>
  </si>
  <si>
    <t>Tulostusvälilehden ohjauksia, jos kielivalinta suomi</t>
  </si>
  <si>
    <t>Suomi valittu</t>
  </si>
  <si>
    <t>Suomi ei valittu</t>
  </si>
  <si>
    <t>EST - Tallinn</t>
  </si>
  <si>
    <t>DEN - Copenhagen</t>
  </si>
  <si>
    <t>DEN - Köpenhamn</t>
  </si>
  <si>
    <t>DEN - Kopenhagen</t>
  </si>
  <si>
    <t>NOR - Oslo</t>
  </si>
  <si>
    <t>Latvia</t>
  </si>
  <si>
    <t>Lettland</t>
  </si>
  <si>
    <t>Liettua</t>
  </si>
  <si>
    <t>Lithuania</t>
  </si>
  <si>
    <t>Litauen</t>
  </si>
  <si>
    <t>POL - Warsaw</t>
  </si>
  <si>
    <t>POL - Warszawa</t>
  </si>
  <si>
    <t>POL - Warschau</t>
  </si>
  <si>
    <t>GER - Berlin</t>
  </si>
  <si>
    <t>ISL - Reykjavík</t>
  </si>
  <si>
    <t>RO - Bucharest</t>
  </si>
  <si>
    <t>Riika</t>
  </si>
  <si>
    <t>Riga</t>
  </si>
  <si>
    <t>Vilna</t>
  </si>
  <si>
    <t>Gdansk</t>
  </si>
  <si>
    <t>Krakova</t>
  </si>
  <si>
    <t>LAT - Riga</t>
  </si>
  <si>
    <t>LTU - Vilnius</t>
  </si>
  <si>
    <t>LTU - Wilna</t>
  </si>
  <si>
    <t>POL - Gdansk</t>
  </si>
  <si>
    <t>POL - Danzig</t>
  </si>
  <si>
    <t>POL - Krakow</t>
  </si>
  <si>
    <t>POL - Krakau</t>
  </si>
  <si>
    <t>SWE - Gothenburg</t>
  </si>
  <si>
    <t>SWE - Göteborg</t>
  </si>
  <si>
    <t>SWE - Stockholm</t>
  </si>
  <si>
    <t>Köpis</t>
  </si>
  <si>
    <t>Reyk</t>
  </si>
  <si>
    <t>Buka</t>
  </si>
  <si>
    <t>Stökis</t>
  </si>
  <si>
    <t>Goteb</t>
  </si>
  <si>
    <t>5. PUOLA</t>
  </si>
  <si>
    <t>6. VIRO</t>
  </si>
  <si>
    <t>7. LATVIA</t>
  </si>
  <si>
    <t>8. LIETTUA</t>
  </si>
  <si>
    <t>EST - Tallin</t>
  </si>
  <si>
    <t>EST - Tallina</t>
  </si>
  <si>
    <t>EST - Talinas</t>
  </si>
  <si>
    <t>SWE - Sztokholm</t>
  </si>
  <si>
    <t>SWE - Goteborg</t>
  </si>
  <si>
    <t>SWE - Stokholma</t>
  </si>
  <si>
    <t>SWE - Gēteborga</t>
  </si>
  <si>
    <t>SWE - Stokholmas</t>
  </si>
  <si>
    <t>SWE - Geteborgas</t>
  </si>
  <si>
    <t>LAT - Ryga</t>
  </si>
  <si>
    <t>LAT - Riia</t>
  </si>
  <si>
    <t>LAT - Rīga</t>
  </si>
  <si>
    <t>LTU - Wilno</t>
  </si>
  <si>
    <t>LTU - Viļņa</t>
  </si>
  <si>
    <t>POL - Varssavi</t>
  </si>
  <si>
    <t>POL - Varšava</t>
  </si>
  <si>
    <t>POL - Varšuva</t>
  </si>
  <si>
    <t>POL - Kraków</t>
  </si>
  <si>
    <t>POL - Krakova</t>
  </si>
  <si>
    <t>POL - Krokuva</t>
  </si>
  <si>
    <t>POL - Gdańsk</t>
  </si>
  <si>
    <t>POL - Gdaņska</t>
  </si>
  <si>
    <t>POL - Gdanskas</t>
  </si>
  <si>
    <t>ISL - Reykjavik</t>
  </si>
  <si>
    <t>ISL - Reikjavīka</t>
  </si>
  <si>
    <t>ISL - Reikjavikas</t>
  </si>
  <si>
    <t>ROU - Bukarest</t>
  </si>
  <si>
    <t>ROU - Bucharest</t>
  </si>
  <si>
    <t>ROU - Bukareszt</t>
  </si>
  <si>
    <t>ROU - Bukareste</t>
  </si>
  <si>
    <t>ROU - Bukareštas</t>
  </si>
  <si>
    <t>NOR - Oslas</t>
  </si>
  <si>
    <t>DEN - Kopenhaga</t>
  </si>
  <si>
    <t>DEN - Kopenhaagen</t>
  </si>
  <si>
    <t>DEN - Kopenhāgena</t>
  </si>
  <si>
    <t>GER - Berliin</t>
  </si>
  <si>
    <t>GER - Berlynas</t>
  </si>
  <si>
    <t>GER - Berlīne</t>
  </si>
  <si>
    <t>Wersja 6. 1</t>
  </si>
  <si>
    <t>Airfi: wybrane oprogramowanie do urządzeń wentylacyjnych</t>
  </si>
  <si>
    <t>Obiekt:</t>
  </si>
  <si>
    <t>Projektant:</t>
  </si>
  <si>
    <t>Wybierz model:</t>
  </si>
  <si>
    <t xml:space="preserve">Obudowa tłumiąca dźwięk: "pakiet dB" (Uwaga! Wymaga ramy szafki) </t>
  </si>
  <si>
    <t>Grzejnik wodny</t>
  </si>
  <si>
    <t>Niedostępne w tym modelu</t>
  </si>
  <si>
    <t>Wtyczka 230 V, 50 Hz, 10 A, maks. 1165 W</t>
  </si>
  <si>
    <t>Wtyczka 230 V, 50 Hz, 10 A, maks. 1255 W</t>
  </si>
  <si>
    <t>Wtyczka 230 V, 50 Hz, 16 A, maks. 2200 W</t>
  </si>
  <si>
    <t>Wtyczka 230 V, 50 Hz, 16 A, maks. 3500 W</t>
  </si>
  <si>
    <t>Wtyczka 400 VAC, 50 Hz, 3 x 16 A, maks. 8250 W</t>
  </si>
  <si>
    <t>Gęstość powietrza: 1,2 kg/m³</t>
  </si>
  <si>
    <t>Powietrze wlotowe</t>
  </si>
  <si>
    <t>Powietrze wylotowe</t>
  </si>
  <si>
    <t>Różnica ciśnień [Pa]</t>
  </si>
  <si>
    <t>Natężenie przepływu powietrza [dm³/s]</t>
  </si>
  <si>
    <t>Nawiewane powietrze (wprowadzić wartości):</t>
  </si>
  <si>
    <t>Natężenie przepływu powietrza</t>
  </si>
  <si>
    <t>Różnica ciśnień:</t>
  </si>
  <si>
    <t>Nie w obszarze użytkowania</t>
  </si>
  <si>
    <t>Powietrze wylotowe (wprowadzić wartości):</t>
  </si>
  <si>
    <t>Wentylator wlotowy:</t>
  </si>
  <si>
    <t>Napięcie sterowania:</t>
  </si>
  <si>
    <t>Wejście zasilania wentylatora:</t>
  </si>
  <si>
    <t>Wentylator wyciągowy:</t>
  </si>
  <si>
    <t>Całkowita moc:</t>
  </si>
  <si>
    <t>Poziomy mocy akustycznej w kanałach przyłączeniowych</t>
  </si>
  <si>
    <t>Kanał przyłączeniowy</t>
  </si>
  <si>
    <t>Powietrze zewnętrzne</t>
  </si>
  <si>
    <t>Powietrze odpadowe</t>
  </si>
  <si>
    <t>Ominięcie kuchni</t>
  </si>
  <si>
    <r>
      <t>Poziomy mocy akustycznej w paśmie oktawowym L</t>
    </r>
    <r>
      <rPr>
        <vertAlign val="subscript"/>
        <sz val="11"/>
        <color theme="1"/>
        <rFont val="Calibri"/>
        <family val="2"/>
        <scheme val="minor"/>
      </rPr>
      <t>W,oct</t>
    </r>
    <r>
      <rPr>
        <sz val="11"/>
        <color theme="1"/>
        <rFont val="Calibri"/>
        <family val="2"/>
        <scheme val="minor"/>
      </rPr>
      <t xml:space="preserve"> [dB]</t>
    </r>
  </si>
  <si>
    <t>Poziomy mocy akustycznej w otoczeniu</t>
  </si>
  <si>
    <t>Przez osłonę</t>
  </si>
  <si>
    <t>Poziom ciśnienia akustycznego w pomieszczeniu o powierzchni pochłaniania dźwięku wynoszącej 10 m²:</t>
  </si>
  <si>
    <t>Poziom ciśnienia akustycznego w typowej łazience lub pomieszczeniu technicznym (V &lt; 10 m³) o powierzchni pochłaniania dźwięku &lt; 2-3 m²:</t>
  </si>
  <si>
    <t>Jednostkowe zużycie energii (SEC) i klasyfikacja</t>
  </si>
  <si>
    <t>Zgodnie z rozporządzeniami Komisji (UE) nr 1253/2014 i nr 1254/2014</t>
  </si>
  <si>
    <t>UWAGA! Obliczenia SEC są stosowane tylko w przypadku urządzeń wentylacyjnych przeznaczonych do budynków mieszkalnych.</t>
  </si>
  <si>
    <t>Referencyjny przepływ powietrza:</t>
  </si>
  <si>
    <t>Wartości wyjściowe dla obliczeń:</t>
  </si>
  <si>
    <t>Klasyfikacja ogólna</t>
  </si>
  <si>
    <t>Sterowanie wymianą powietrza</t>
  </si>
  <si>
    <t>Silnik i układ kierowniczy</t>
  </si>
  <si>
    <t>Wszelkie prawa zastrzeżone.</t>
  </si>
  <si>
    <t>Obowiązujące dokumenty i normy: SFS-EN 13141-7, LVI 30-10529, Rozporządzenie Ministerstwa Środowiska YMa1009/2017, Przewodnik bilansowania 2018, Publikacja Ministerstwa Środowiska YM 122 oraz rozporządzenia Komisji (UE) nr 1253/2014 i nr 1254/2014. Nie ponosimy odpowiedzialności za jakiekolwiek błędy w programie ani za jakiekolwiek bezpośrednie lub pośrednie błędy przez nie spowodowane.</t>
  </si>
  <si>
    <t>Program obliczeniowy został przygotowany przez W. Zenner Oy. Program obliczeniowy oparty jest na pomiarach laboratoryjnych zgodnie z normą SFS-EN 13141-7.</t>
  </si>
  <si>
    <t>Numer SEC</t>
  </si>
  <si>
    <t>Klasa</t>
  </si>
  <si>
    <t>Powiązany z kanałem</t>
  </si>
  <si>
    <t>Inne niż powiązane z kanałem</t>
  </si>
  <si>
    <t>Obsługa ręczna (niewymagana) IV)</t>
  </si>
  <si>
    <t>Sterowanie zegarem (niewymagane) IV)</t>
  </si>
  <si>
    <t>Scentralizowana kontrola w zależności od potrzeb</t>
  </si>
  <si>
    <t>Lokalna kontrola w zależności od potrzeb</t>
  </si>
  <si>
    <t>Włączanie/wyłączanie i pojedyncza prędkość</t>
  </si>
  <si>
    <t>Dwubiegowy</t>
  </si>
  <si>
    <t>Wieloprędkościowy</t>
  </si>
  <si>
    <t>Bezstopniowa regulacja</t>
  </si>
  <si>
    <t>Zimne</t>
  </si>
  <si>
    <t>Średnia wartość</t>
  </si>
  <si>
    <t>Ciepłe</t>
  </si>
  <si>
    <t>Obliczanie rocznej sprawności odzysku ciepła z powietrza wywiewanego z wentylacji</t>
  </si>
  <si>
    <t>Obliczenia zgodnie z Publikacją Ministerstwa Środowiska YM 122</t>
  </si>
  <si>
    <t>= wprowadzana komórka</t>
  </si>
  <si>
    <t>Przepływ powietrza nawiewanego przez LTO</t>
  </si>
  <si>
    <t>Przepływ powietrza wylotowego, przepływ przez LTO</t>
  </si>
  <si>
    <t>Stosunek przepływu powietrza nawiewanego i wywiewanego przez LTO</t>
  </si>
  <si>
    <t>Oddzielny przepływ powietrza wylotowego podlegający wymogom LTO</t>
  </si>
  <si>
    <t>Czas korzystania z powyższego oddzielnego wyciągu powietrza</t>
  </si>
  <si>
    <t>Stosunek przepływów powietrza nawiewanego i wywiewanego dla całego IV</t>
  </si>
  <si>
    <t>Wydajność temperaturowa powietrza nawiewanego przy równych przepływach powietrza (EN 13141-7)</t>
  </si>
  <si>
    <t>Wydajność temperaturowa powietrza nawiewanego</t>
  </si>
  <si>
    <t>Strefa klimatyczna</t>
  </si>
  <si>
    <t>Temperatura wewnętrzna</t>
  </si>
  <si>
    <t>Minimalna temperatura powietrza odpadowego</t>
  </si>
  <si>
    <t>Maksymalna temperatura powietrza nawiewanego w ograniczonej sytuacji</t>
  </si>
  <si>
    <t>Roczny współczynnik efektywności energetycznej</t>
  </si>
  <si>
    <t>Całkowite zapotrzebowanie na energię dla wentylacji</t>
  </si>
  <si>
    <t>Odzyskana energia grzewcza</t>
  </si>
  <si>
    <t>Temperatura powietrza nawiewanego po LTO</t>
  </si>
  <si>
    <t>Temperatura powietrza nawiewanego [°C]</t>
  </si>
  <si>
    <t>Temperatura powietrza zewnętrznego [°C]</t>
  </si>
  <si>
    <t>Temperatura zużytego powietrza</t>
  </si>
  <si>
    <t>Temperatura zużytego powietrza [°C]</t>
  </si>
  <si>
    <t>Czas w roku</t>
  </si>
  <si>
    <t>Temperatura powietrza nawiewanego</t>
  </si>
  <si>
    <t>Razem</t>
  </si>
  <si>
    <t>SS,Kd = współczynnik rozszerzalności cieplnej między temperaturą powietrza wewnętrznego i zewnętrznego, Kd</t>
  </si>
  <si>
    <t>ST,Kd = współczynnik rozszerzalności cieplnej między temperaturą powietrza nawiewanego i zewnętrznego, Kd</t>
  </si>
  <si>
    <t>SJ,Kd = współczynnik przenikania ciepła między powietrzem a temperaturą powietrza zewnętrznego, Kd</t>
  </si>
  <si>
    <t>Wymiarowanie grzejnika wodnego</t>
  </si>
  <si>
    <t>Wprowadź rozmiar i wartości docelowe:</t>
  </si>
  <si>
    <t>Rozpocznij od wprowadzenia temperatury wody zasilającej lub powrotnej</t>
  </si>
  <si>
    <t>Temperatura powietrza wpływającego do chłodnicy</t>
  </si>
  <si>
    <t>Temperatura powietrza opuszczającego chłodnicę</t>
  </si>
  <si>
    <t>Temperatura wody zasilającej</t>
  </si>
  <si>
    <t>Temperatura wody powrotnej</t>
  </si>
  <si>
    <t>Przepływ objętościowy powietrza nawiewanego</t>
  </si>
  <si>
    <t>Wymagana moc grzewcza:</t>
  </si>
  <si>
    <t>* W przypadku korzystania z korpusu o dużej pojemności Oras DN15S + zaworu grzejnikowego Stabila (całkowicie otwarty, KV = 1,00)</t>
  </si>
  <si>
    <t xml:space="preserve">Dobór grzejnika w zależności od temperatury wody zasilającej </t>
  </si>
  <si>
    <t xml:space="preserve">Dobór grzejnika w zależności od temperatury wody powrotnej </t>
  </si>
  <si>
    <t>Natężenie przepływu</t>
  </si>
  <si>
    <t>Spadek ciśnienia po stronie cieczy chłodnicy</t>
  </si>
  <si>
    <t>Spadek ciśnienia na zaworze sterującym*</t>
  </si>
  <si>
    <t>Prędkość przepływu</t>
  </si>
  <si>
    <t>Wtyczka 230 V, 50 Hz, 10 A, maks. 1100 W</t>
  </si>
  <si>
    <t xml:space="preserve">Zasilanie elektryczne: </t>
  </si>
  <si>
    <t>podczas korzystania z "pakietu dB" (Uwaga! Wymaga ramy szafki)</t>
  </si>
  <si>
    <t>Wybierz chłodnicę chłodzoną wodą dla swojego modelu</t>
  </si>
  <si>
    <t>Nie w obszarze użytkowania. Sprawdź wartości wymiarowe</t>
  </si>
  <si>
    <t>Obudowa z redukcją szumów nie jest dostępna dla tego modelu</t>
  </si>
  <si>
    <t>* Uwaga: W przypadku korzystania z okapu kuchennego całkowity przepływ powietrza wylotowego jest wyższy niż wartość znamionowa wejścia.</t>
  </si>
  <si>
    <t>Strefa klimatyczna (kraj)</t>
  </si>
  <si>
    <t>Strefa klimatyczna (gmina/miasto)</t>
  </si>
  <si>
    <t>Natężenie przepływu powietrza [m³/h]</t>
  </si>
  <si>
    <t>Punkt wymiarowania (wprowadź przepływ objętościowy i różnicę ciśnień)</t>
  </si>
  <si>
    <t>Obliczanie sytuacji wydajnościowej:</t>
  </si>
  <si>
    <t>Maksymalny margines wydajności:</t>
  </si>
  <si>
    <t>Wprowadź żądaną wartość wydajności:</t>
  </si>
  <si>
    <t>Wartość wydajności [%]:</t>
  </si>
  <si>
    <t>Punkt działania w sytuacji doładowania:</t>
  </si>
  <si>
    <t>Zdefiniowana wartość wydajności nie została osiągnięta</t>
  </si>
  <si>
    <t>Wybierz strefę klimatową (miasto)</t>
  </si>
  <si>
    <t>Uwaga: Powyższe wartości obejmują elektronikę urządzenia.</t>
  </si>
  <si>
    <t>Sprawność ogniwa odzysku ciepła (EN 308)</t>
  </si>
  <si>
    <t>Zużycie energii elektrycznej przez wentylatory i elektronikę</t>
  </si>
  <si>
    <t>Ograniczenie temperatury powietrza nawiewanego</t>
  </si>
  <si>
    <t>Ograniczone</t>
  </si>
  <si>
    <t>Brak ograniczenia</t>
  </si>
  <si>
    <t>Docelowa temperatura powietrza nawiewanego</t>
  </si>
  <si>
    <t>Minimalna mierzalna temperatura powietrza zewnętrznego</t>
  </si>
  <si>
    <t>Wymagana moc wejściowa wymiennika dogrzewania wtórnego</t>
  </si>
  <si>
    <t>Maksymalna moc wymiennika dogrzewania wtórnego</t>
  </si>
  <si>
    <t>Versioon 6.1</t>
  </si>
  <si>
    <t>Airfi: ventilatsiooniseadme valimise tarkvara</t>
  </si>
  <si>
    <t>Objekt:</t>
  </si>
  <si>
    <t>Projekteerija:</t>
  </si>
  <si>
    <t>Vali mudel:</t>
  </si>
  <si>
    <t xml:space="preserve">Mürasummutuskate: 'dB-pakett' (NB! Nõuab kapiraami) </t>
  </si>
  <si>
    <t>Veeringlusega kalorifeer</t>
  </si>
  <si>
    <t>Ei ole selle mudeli puhul kasutatav</t>
  </si>
  <si>
    <t>Pistik 230 V, 50 Hz, 10 A, max 1165 W</t>
  </si>
  <si>
    <t>Pistik 230 V, 50 Hz, 10 A, max 1255 W</t>
  </si>
  <si>
    <t>Pistik 230 V, 50 Hz, 16 A, max 2200 W</t>
  </si>
  <si>
    <t>Pistik 230 V, 50 Hz, 16 A, max 3500 W</t>
  </si>
  <si>
    <t>Pistik 400 V AC, 50 Hz, 3 x 16 A, max 8250 W</t>
  </si>
  <si>
    <t>Õhu tihedus: 1,2 kg/m³</t>
  </si>
  <si>
    <t>Sissepuhkeõhk</t>
  </si>
  <si>
    <t>Väljatõmbeõhk</t>
  </si>
  <si>
    <t>Rõhuerinevus [Pa]</t>
  </si>
  <si>
    <t>Õhu vooluhulk [dm³/s]</t>
  </si>
  <si>
    <t>Sissepuhkeõhk (sisesta väärtused):</t>
  </si>
  <si>
    <t>Õhu vooluhulk:</t>
  </si>
  <si>
    <t>Rõhuerinevus</t>
  </si>
  <si>
    <t>Pole kasutusalas</t>
  </si>
  <si>
    <t>Väljatõmbeõhk (sisestage väärtused):</t>
  </si>
  <si>
    <t>Sissepuhkeventilaator:</t>
  </si>
  <si>
    <t>Juhtpinge:</t>
  </si>
  <si>
    <t>Ventilaatori võimsustarve:</t>
  </si>
  <si>
    <t>Väljatõmbeventilaator:</t>
  </si>
  <si>
    <t>Koguvõimsus:</t>
  </si>
  <si>
    <t>Helivõimsustasemed ühenduskanalites</t>
  </si>
  <si>
    <t>Ühenduskanal</t>
  </si>
  <si>
    <t>Välisõhk</t>
  </si>
  <si>
    <t>Heitõhk</t>
  </si>
  <si>
    <t>Köögi möödaviik</t>
  </si>
  <si>
    <r>
      <t>Helivõimsuse tasemed oktaaviribade kaupa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</si>
  <si>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Helivõimsuse tasemed keskkonnas</t>
  </si>
  <si>
    <t>Läbi katte</t>
  </si>
  <si>
    <t>Helirõhutase ruumis, mille heli neeldumispind on 10 m²:</t>
  </si>
  <si>
    <t>Helirõhutase tüüpilises vannitoas või tehnoruumis (V &lt; 10 m³), mille heli neeldumispind on &lt; 2-3 m²:</t>
  </si>
  <si>
    <t>Spetsiifiline energiatarve (SEC) ja liigitus</t>
  </si>
  <si>
    <t>Vastavalt Euroopa Komisjoni määrustele (EL) nr 1253/2014 ja 1254/2014</t>
  </si>
  <si>
    <t>TÄHELEPANU! SEC arvutust kasutatakse ainult eluhoonetes kasutatavate ventilatsiooniseadmete puhul.</t>
  </si>
  <si>
    <t>Võrdlusõhuvool:</t>
  </si>
  <si>
    <t>Arvutuse lähteväärtused:</t>
  </si>
  <si>
    <t>Üldine liigitus</t>
  </si>
  <si>
    <t>Ventilatsiooni juhtimine</t>
  </si>
  <si>
    <t>Mootor ja juhtimine</t>
  </si>
  <si>
    <t>Kliima</t>
  </si>
  <si>
    <t>Kõik õigused on kaitstud.</t>
  </si>
  <si>
    <t>Kohaldatud dokumendid ja standardid: SFS-EN 13141-7, LVI 30-10529, YMa 1009/2017, Ühtlustamisarvutuste juhend 2018, YM paljundus 122 ja Komisjoni määrused (EL) nr 1253/2014 ja nr 1254/2014. Me ei vastuta tarkvara võimalike puuduste ega nendest tulenevate otseste või kaudsete vigade eest.</t>
  </si>
  <si>
    <t>Arvutusprogrammi on koostanud Insinööritoimisto W. Zenner Oy. Arvutusprogramm põhineb standardile SFS-EN 13141-7 vastavatel laboratoorsetel mõõtmistel.</t>
  </si>
  <si>
    <t>SEC arv</t>
  </si>
  <si>
    <t>Kanaliühendusega</t>
  </si>
  <si>
    <t>Muu kui kanaliühendusega</t>
  </si>
  <si>
    <t>Käsikasutus (mittevajaduspõhine ventilatsioon)</t>
  </si>
  <si>
    <t>Kelljuhtimine (mittevajaduspõhine ventilatsioon)</t>
  </si>
  <si>
    <t>Tsentraalne vajaduspõhine juhtimine</t>
  </si>
  <si>
    <t>Kohalik vajaduspõhine juhtimine</t>
  </si>
  <si>
    <t>Sisse/välja ja ühekiiruseline</t>
  </si>
  <si>
    <t>Kahekiiruseline</t>
  </si>
  <si>
    <t>Mitmekiiruseline</t>
  </si>
  <si>
    <t>Sujuv reguleerimine</t>
  </si>
  <si>
    <t>Külm</t>
  </si>
  <si>
    <t>Keskmine</t>
  </si>
  <si>
    <t>Soe</t>
  </si>
  <si>
    <t>Ventilatsiooni väljatõmbeõhu soojusvahetuse aastase kasuteguri arvutamine</t>
  </si>
  <si>
    <t>Arvutamine YM-i trükise 122 kohaselt</t>
  </si>
  <si>
    <t>= sisestatav lahter</t>
  </si>
  <si>
    <t>Sissepuhkeõhu vooluhulk, läbi soojusvaheti</t>
  </si>
  <si>
    <t>Väljatõmbeõhu vooluhulk, läbi soojusvaheti</t>
  </si>
  <si>
    <t>Läbi soojusvaheti voolava sissepuhkeõhu ja väljapuhkeõhu vooluhulga suhe</t>
  </si>
  <si>
    <t>Soojusvaheti nõude alla kuuluv väljatõmbeõhu eriõhuvool</t>
  </si>
  <si>
    <t>Näiteks eriväljatõmbeõhu kasutusaeg</t>
  </si>
  <si>
    <t>Kogu ventilatsiooni sissepuhke ja väljatõmbe õhuvoolude suhe</t>
  </si>
  <si>
    <t>Sissepuhkeõhu temperatuuri kasutegur samade õhuvoolude korral (EN 13141-7)</t>
  </si>
  <si>
    <t>Sissepuhkeõhu temperatuuri kasutegur</t>
  </si>
  <si>
    <t>Kliimavöönd</t>
  </si>
  <si>
    <t>Sisetemperatuur</t>
  </si>
  <si>
    <t>Minimaalne heitõhu temperatuur</t>
  </si>
  <si>
    <t>Maksimaalne sissepuhkeõhu temperatuur piiratud olukorras</t>
  </si>
  <si>
    <t>Aastane kasutegur</t>
  </si>
  <si>
    <t>Ventilatsiooni koguenergiavajadus</t>
  </si>
  <si>
    <t>Salvestatud kütteenergia</t>
  </si>
  <si>
    <t>Sissepuhkeõhu temperatuur pärast soojusvahetit</t>
  </si>
  <si>
    <t>Sissepuhkeõhu temperatuur [°C]</t>
  </si>
  <si>
    <t>Välisõhu temperatuur [°C]</t>
  </si>
  <si>
    <t>Heitõhu temperatuur</t>
  </si>
  <si>
    <t>Heitõhu temperatuur [°C]</t>
  </si>
  <si>
    <t>Aeg aastas</t>
  </si>
  <si>
    <t>Sissepuhkeõhu temperatuur</t>
  </si>
  <si>
    <t>Kokku</t>
  </si>
  <si>
    <t>SS,Kd = sise- ja välisõhu temperatuuri vaheline soojusvajadusarv, Kd</t>
  </si>
  <si>
    <t>SS,Kd = sissepuhkeõhu ja välisõhu temperatuuri vaheline soojusvajadusarv, Kd</t>
  </si>
  <si>
    <t>SJ,Kd = heitõhu ja välisõhu temperatuuri vaheline soojusvajadusarv, Kd</t>
  </si>
  <si>
    <t>Vesiringlusega kalorifeeri arvutus</t>
  </si>
  <si>
    <t>Sisesta arvutus- ja sihtväärtused:</t>
  </si>
  <si>
    <t>Alustuseks sisesta kas välja- või tagasivooluvee temperatuur</t>
  </si>
  <si>
    <t>Kalorifeeri siseneva õhu temperatuur</t>
  </si>
  <si>
    <t>Kalorifeerist väljuva õhu temperatuur</t>
  </si>
  <si>
    <t>Väljuva vee temperatuur</t>
  </si>
  <si>
    <t>Tagasivooluvee temperatuur</t>
  </si>
  <si>
    <t>Sissepuhkeõhu vooluhulk</t>
  </si>
  <si>
    <t>Vajalik küttevõimsus:</t>
  </si>
  <si>
    <t>* Kasutades Oras DN15S suurt korpust + Stabila kalorifeeri ventiili (täielikult avatud, KV = 1,00)</t>
  </si>
  <si>
    <t xml:space="preserve">Kalorifeeri arvutus vastavalt väljuva vee temperatuurile </t>
  </si>
  <si>
    <t xml:space="preserve">Kalorifeeri arvutus vastavalt tagasivooluvee temperatuurile </t>
  </si>
  <si>
    <t>Vooluhulk</t>
  </si>
  <si>
    <t>Kalorifeeri vedelikupoole rõhukadu</t>
  </si>
  <si>
    <t>Reguleerventiili rõhukadu*</t>
  </si>
  <si>
    <t>Voolukiirus</t>
  </si>
  <si>
    <t>Pistik 230 V, 50 Hz, 10 A, max 1100 W</t>
  </si>
  <si>
    <t xml:space="preserve">Elektritoide: </t>
  </si>
  <si>
    <t>kasutades 'dB-paketti' (NB! Nõuab kapiraami)</t>
  </si>
  <si>
    <t>Vali seadmemudeli puhul vesiringlusega kalorifeer</t>
  </si>
  <si>
    <t>Pole kasutusalas. Kontrolli arvutusväärtusi.</t>
  </si>
  <si>
    <t>Mürasummutuskate ei ole selle mudeli puhul kasutatav</t>
  </si>
  <si>
    <t>* NB! Köögi möödavoolu kasutamisel on väljatõmbeõhu õhuvoolu väärtus sisestatud arvutusväärtusest suurem</t>
  </si>
  <si>
    <t>Kliimavöönd (riik/maa)</t>
  </si>
  <si>
    <t>Kliimavöönd (vald/linn)</t>
  </si>
  <si>
    <t>Õhu vooluhulk [m³/h]</t>
  </si>
  <si>
    <t>Arvutuspunkt (sisesta vooluhulk ja rõhuerinevus)</t>
  </si>
  <si>
    <t>Võimendusolukorra arvutamine:</t>
  </si>
  <si>
    <t>Maksimaalne võimendusvaru:</t>
  </si>
  <si>
    <t>Sisesta soovitud võimendusväärtus:</t>
  </si>
  <si>
    <t>Võimendusväärtus [%]:</t>
  </si>
  <si>
    <t>Toimimiskoht võimendusolukorras:</t>
  </si>
  <si>
    <t>Määratud võimendusväärtust ei saavutatud</t>
  </si>
  <si>
    <t>Kliimavööndi valimine (linn)</t>
  </si>
  <si>
    <t>NB! Ülaltoodud väärtused hõlmavad ka seadme elektroonikat.</t>
  </si>
  <si>
    <t>Soojusvaheti kasutegur (EN 308)</t>
  </si>
  <si>
    <t>Ventilaatorite ja elektroonika voolutarve</t>
  </si>
  <si>
    <t>Sissepuhkeõhu temperatuuri piirang</t>
  </si>
  <si>
    <t>Piiratud</t>
  </si>
  <si>
    <t>Piiranguteta</t>
  </si>
  <si>
    <t>Sissepuhkeõhu soovitud temperatuur</t>
  </si>
  <si>
    <t>Arvutatav minimaalne välisõhu temperatuur</t>
  </si>
  <si>
    <t>Vajalik järelküttekalorifeeri võimsusvajadus</t>
  </si>
  <si>
    <t>Järelsoojenduskalorifeeri maksimaalne võimsus</t>
  </si>
  <si>
    <t>Versija 6.1</t>
  </si>
  <si>
    <t>Airfi: ventilācijas iekārtas izvēles programma</t>
  </si>
  <si>
    <t>Objekts:</t>
  </si>
  <si>
    <t>Projektētājs:</t>
  </si>
  <si>
    <t>Izvēlēties modeli:</t>
  </si>
  <si>
    <t xml:space="preserve">Skaņu slāpējošs korpuss: 'dB-pakete' (Uzmanību! Nepieciešams skapja korpuss) </t>
  </si>
  <si>
    <t>Ūdens cirkulācijas apsildes radiators</t>
  </si>
  <si>
    <t>Šim modelim nav izmantojams</t>
  </si>
  <si>
    <t>Kontaktspraudnis 230 V, 50 Hz, 10 A, maks. 1165 W</t>
  </si>
  <si>
    <t>Kontaktspraudnis 230 V, 50 Hz, 10 A, maks. 1255 W</t>
  </si>
  <si>
    <t>Kontaktspraudnis 230 V, 50 Hz, 16 A, maks. 2200 W</t>
  </si>
  <si>
    <t>Kontaktspraudnis 230 V, 50 Hz, 16 A, maks. 3500 W</t>
  </si>
  <si>
    <t>Kontaktspraudnis 400 VAC, 50 Hz, 3 x 16 A, maks. 8250 W</t>
  </si>
  <si>
    <t>Gaisa blīvums: 1,2 kg/m³</t>
  </si>
  <si>
    <t>Ieplūstošais gaiss</t>
  </si>
  <si>
    <t>Izplūstošais gaiss</t>
  </si>
  <si>
    <t>Spiedienu starpība [Pa]</t>
  </si>
  <si>
    <t>Gaisa tilpuma plūsma [dm³/s]</t>
  </si>
  <si>
    <t>Ieplūstošais gaiss (ievadīt vērtības):</t>
  </si>
  <si>
    <t>Gaisa tilpuma plūsma:</t>
  </si>
  <si>
    <t>Spiedienu starpība:</t>
  </si>
  <si>
    <t>Nav ekspluatācijas diapazonā</t>
  </si>
  <si>
    <t>Izplūstošais gaiss (ievadīt vērtības):</t>
  </si>
  <si>
    <t>Ieplūstošā gaisa ventilators:</t>
  </si>
  <si>
    <t>Vadības spriegums:</t>
  </si>
  <si>
    <t>Ventilatoru ieejas jauda:</t>
  </si>
  <si>
    <t>Izplūstošā gaisa ventilators:</t>
  </si>
  <si>
    <t>Kopējā jauda:</t>
  </si>
  <si>
    <t>Skaņas jaudas līmeņi savienotājkanālos</t>
  </si>
  <si>
    <t>Pieslēguma kanāli</t>
  </si>
  <si>
    <t>Āra gaiss</t>
  </si>
  <si>
    <t>Piesārņotais gaiss</t>
  </si>
  <si>
    <t>Virtuves apeja</t>
  </si>
  <si>
    <r>
      <t>Skaņas jaudas līmeņi pa oktāvas joslām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</si>
  <si>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Skaņas jaudas līmeņi vidē</t>
  </si>
  <si>
    <t>Caur apvalku</t>
  </si>
  <si>
    <t>Skaņas spiediena līmenis telpā, kuras skaņas absorbcijas platība ir 10 m²:</t>
  </si>
  <si>
    <t>Skaņas spiediena līmenis tipiskā vannas istabā vai tehniskajā telpā (V &lt; 10 m³), kuras skaņas absorbcijas platība ir &lt; 2-3 m²:</t>
  </si>
  <si>
    <t>Īpatnējais enerģijas patēriņš (Specific Energy Consumption — SEC) un klasifikācija</t>
  </si>
  <si>
    <t>Saskaņā ar Komisijas Regulām (ES) Nr. 1253/2014 un Nr. 1254/2014</t>
  </si>
  <si>
    <t>UZMANĪBU! SEC aprēķinu izmanto tikai dzīvojamajām ēkā paredzētajām ventilācijas iekārtām.</t>
  </si>
  <si>
    <t>References gaisa plūsma:</t>
  </si>
  <si>
    <t>Aprēķinu izejas vērtības:</t>
  </si>
  <si>
    <t>Vispārīgā klasifikācija</t>
  </si>
  <si>
    <t>Ventilācijas vadība</t>
  </si>
  <si>
    <t>Motors un vadība</t>
  </si>
  <si>
    <t>Klimats</t>
  </si>
  <si>
    <t>Visas tiesības rezervētas.</t>
  </si>
  <si>
    <t>Izmantotie dokumenti un standarti: SFS-EN 13141-7, LVI 30-10529, Vides ministrijas dekrēts 1009/2017, Balansēšanas aprēķina rokasgrāmata 2018, Vides ministrijas kopija Nr. 122 un Komisijas Regulas (ES) Nr. 1253/2014 un Nr. 1254/2014. Nenesam atbildību par iespējamām kļūdām programmā vai to izraisītām tiešām vai netiešām kļūdām.</t>
  </si>
  <si>
    <t>Aprēķinu programmu sagatavoja inženieru birojs Insinööritoimisto W. Zenner Oy. Aprēķinu programmas pamatā ir saskaņā ar SFS-EN 13141-7 veikti laboratorijas mērījumi.</t>
  </si>
  <si>
    <t>SEC skaitlis</t>
  </si>
  <si>
    <t>Klase</t>
  </si>
  <si>
    <t>Pieslēdzams kanālam</t>
  </si>
  <si>
    <t>Kanālam nepieslēdzams</t>
  </si>
  <si>
    <t>Manuāla vadība (ne pēc vajadzības IV)</t>
  </si>
  <si>
    <t>Pulksteņvadība (ne pēc vajadzības IV)</t>
  </si>
  <si>
    <t>Centralizēta vadība pēc vajadzības</t>
  </si>
  <si>
    <t>Vietēja vadība pēc vajadzības</t>
  </si>
  <si>
    <t>Ieslēgts/izslēgts un vienātruma</t>
  </si>
  <si>
    <t>Divātrumu</t>
  </si>
  <si>
    <t>Vairākātrumu</t>
  </si>
  <si>
    <t>Bezpakāpju regulēšana</t>
  </si>
  <si>
    <t>Auksts</t>
  </si>
  <si>
    <t>Vidējs</t>
  </si>
  <si>
    <t>Silts</t>
  </si>
  <si>
    <t>Ventilācijas izplūstošā gaisa rekuperācijas ikgadējā lietderības koeficienta aprēķināšana</t>
  </si>
  <si>
    <t>Aprēķins saskaņā ar Vides ministrijas kopiju Nr. 122</t>
  </si>
  <si>
    <t>= ievadāmais lauciņš</t>
  </si>
  <si>
    <t>Ieplūstošā gaisa plūsma, caur rekuperatoru plūstošā</t>
  </si>
  <si>
    <t>Izplūstošā gaisa plūsma, caur rekuperatoru plūstošā</t>
  </si>
  <si>
    <t>Caur rekuperatoru plūstošās ieplūstošās un izplūstošās gaisa plūsmas attiecība</t>
  </si>
  <si>
    <t>Rekuperatora darbības prasībās ietvertā atsevišķā izplūstošā gaisa plūsma</t>
  </si>
  <si>
    <t>Iepriekš minētās atsevišķās izplūstošās gaisa plūsmas izmantošanas laiks</t>
  </si>
  <si>
    <t>Visu IV ieplūstošo un izplūstošo gaisa plūsmu attiecība</t>
  </si>
  <si>
    <t>Ieplūstošā gaisa temperatūras pārneses lietderības koeficients vienlīdz lielām gaisa plūsmām (EN 13141-7)</t>
  </si>
  <si>
    <t>Ieplūstošā gaisa temperatūras pārneses lietderības koeficients</t>
  </si>
  <si>
    <t>Meteoroloģiskā zona</t>
  </si>
  <si>
    <t>Iekštelpu temperatūra</t>
  </si>
  <si>
    <t>Piesārņotā gaisa minimālā temperatūra</t>
  </si>
  <si>
    <t>Maksimālā ieplūstošā gaisa temperatūra ierobežotā situācijā</t>
  </si>
  <si>
    <t>Gada lietderības koeficients</t>
  </si>
  <si>
    <t>Kopējais ventilācijai nepieciešamās enerģijas daudzums</t>
  </si>
  <si>
    <t>Rekuperētā siltumenerģija</t>
  </si>
  <si>
    <t>Ieplūstošā gaisa temperatūra pēc rekuperatora</t>
  </si>
  <si>
    <t>Ieplūstošā gaisa temperatūra [°C]</t>
  </si>
  <si>
    <t>Āra gaisa temperatūra [°C]</t>
  </si>
  <si>
    <t>Piesārņotā gaisa temperatūra</t>
  </si>
  <si>
    <t>Piesārņotā gaisa temperatūra [°C]</t>
  </si>
  <si>
    <t>Laiks gadā</t>
  </si>
  <si>
    <t>Ieplūstošā gaisa temperatūra</t>
  </si>
  <si>
    <t>Kopā</t>
  </si>
  <si>
    <t>SS,Kd = iekštelpu un āra gaisa temperatūras savstarpējais nepieciešamā siltuma koeficients, Kd</t>
  </si>
  <si>
    <t>ST,Kd = ieplūstošā un āra gaisa temperatūras savstarpējais nepieciešamā siltuma koeficients, Kd</t>
  </si>
  <si>
    <t>SJ,Kd = piesārņotā un āra gaisa temperatūras savstarpējais nepieciešamā siltuma koeficients, Kd</t>
  </si>
  <si>
    <t>Ūdens cirkulācijas apsildes radiatora dimensionēšana</t>
  </si>
  <si>
    <t>Ievadīt dimensionēšanas un mērķa vērtības:</t>
  </si>
  <si>
    <t>Sākt ievadi, ievadot turpgaitas vai atpakaļgaitas ūdens temperatūru</t>
  </si>
  <si>
    <t>Pie radiatora pieplūstošā gaisa temperatūra</t>
  </si>
  <si>
    <t>No radiatora aizplūstošā gaisa temperatūra</t>
  </si>
  <si>
    <t>Turpgaitas ūdens temperatūra</t>
  </si>
  <si>
    <t>Atpakaļgaitas ūdens temperatūra</t>
  </si>
  <si>
    <t>Ieplūstošā gaisa tilpuma plūsma</t>
  </si>
  <si>
    <t>Nepieciešamā apsildes jauda:</t>
  </si>
  <si>
    <t>* Izmantojot Oras DN15S lieljaudas korpusu + Stabila radiatora ventili (pilnīgi atvērtu, KV = 1,00)</t>
  </si>
  <si>
    <t xml:space="preserve">Radiatoru dimensionēšana atbilstoši turpgaitas ūdens temperatūrai </t>
  </si>
  <si>
    <t xml:space="preserve">Radiatoru dimensionēšana atbilstoši atpakaļgaitas ūdens temperatūrai </t>
  </si>
  <si>
    <t>Plūsma</t>
  </si>
  <si>
    <t>Radiatora šķidruma spiediena zudums</t>
  </si>
  <si>
    <t>Regulācijas ventiļa spiediena zudums*</t>
  </si>
  <si>
    <t>Plūsmas ātrums</t>
  </si>
  <si>
    <t>Kontaktspraudnis 230 V, 50 Hz, 10 A, maks. 1100 W</t>
  </si>
  <si>
    <t xml:space="preserve">Elektrības padeve: </t>
  </si>
  <si>
    <t>izmantojot 'dB-paketi' (Uzmanību! Nepieciešams skapja korpuss)</t>
  </si>
  <si>
    <t>Kopā ar iekārtas modeli izvēlieties ūdens cirkulācijas radiatoru</t>
  </si>
  <si>
    <t>Nav ekspluatācijas diapazonā. Pārbaudīt dimensionēšanas vērtības.</t>
  </si>
  <si>
    <t>Skaņu slāpējošs korpuss šim modelim nav pieejams</t>
  </si>
  <si>
    <t>* Uzmanību: ja tiek apieta virtuve, kopējā izplūstošā gaisa plūsma ir lielāka par ievadīto dimensionēšanas vērtību</t>
  </si>
  <si>
    <t>Meteoroloģiskā zona (valsts/teritorija)</t>
  </si>
  <si>
    <t>Meteoroloģiskā zona (pašvaldība/pilsēta)</t>
  </si>
  <si>
    <t>Gaisa tilpuma plūsma [m³/h]</t>
  </si>
  <si>
    <t>Dimensionēšanas punkts (ievadīt tilpuma plūsmu un spiediena starpību)</t>
  </si>
  <si>
    <t>Efektivitātes palielināšanas situācijas aprēķins:</t>
  </si>
  <si>
    <t>Maksimālā efektivitātes palielināšana:</t>
  </si>
  <si>
    <t>Ievadīt vēlamo efektivitātes palielināšanas vērtību:</t>
  </si>
  <si>
    <t>Efektivitātes palielināšanas vērtība [%]:</t>
  </si>
  <si>
    <t>Darbības punkts efektivitātes palielināšanas situācijā:</t>
  </si>
  <si>
    <t>Noteiktā efektivitātes palielināšanas vērtība nav sasniegta</t>
  </si>
  <si>
    <t>Izvēlēties meteoroloģisko zonu (pilsēta)</t>
  </si>
  <si>
    <t>Uzmanību: iepriekš minētās vērtības ietver arī iekārtas elektroniku.</t>
  </si>
  <si>
    <t>Rekuperatora elementa lietderības koeficients (EN 308)</t>
  </si>
  <si>
    <t>Ventilatora un elektronikas strāvas patēriņš</t>
  </si>
  <si>
    <t>Ieplūstošā gaisa temperatūras ierobežojums</t>
  </si>
  <si>
    <t>Ierobežots</t>
  </si>
  <si>
    <t>Neierobežots</t>
  </si>
  <si>
    <t>Ieplūstošā gaisa mērķa temperatūra</t>
  </si>
  <si>
    <t>Dimensionēšanas minimālā āra gaisa temperatūra</t>
  </si>
  <si>
    <t>Nepieciešamā pēcapsildes radiatora ieejas jauda</t>
  </si>
  <si>
    <t>Pēcapsildes radiatora maksimālā jauda</t>
  </si>
  <si>
    <t>6.1 versija</t>
  </si>
  <si>
    <t>Airfi: vėdinimo įrangos parinkties programa</t>
  </si>
  <si>
    <t>Objektas:</t>
  </si>
  <si>
    <t>Projektuotojas:</t>
  </si>
  <si>
    <t>Pasirinkti modelį:</t>
  </si>
  <si>
    <t xml:space="preserve">Garso slopinimo gaubtas: „dB paketas“ (Dėmesio! Reikalingas rėminis korpusas) </t>
  </si>
  <si>
    <t>Šildymo radiatorius su vandens cirkuliacija</t>
  </si>
  <si>
    <t>Šiame modelyje nėra</t>
  </si>
  <si>
    <t>Kištukas 230 V, 50 Hz, 10 A, maks. 1165 W</t>
  </si>
  <si>
    <t>Kištukas 230 V, 50 Hz, 10 A, maks. 1255 W</t>
  </si>
  <si>
    <t>Kištukas 230 V, 50 Hz, 16 A, maks. 2200 W</t>
  </si>
  <si>
    <t>Kištukas 230 V, 50 Hz, 16 A, maks. 3500 W</t>
  </si>
  <si>
    <t>Kištukas 400 VAC, 50 Hz, 3 x 16 A, maks. 8250 W</t>
  </si>
  <si>
    <t>Oro tankis: 1,2 kg/m³</t>
  </si>
  <si>
    <t>Tiekiamas oras</t>
  </si>
  <si>
    <t>Ištraukiamas oras</t>
  </si>
  <si>
    <t>Slėgio skirtumas [Pa]</t>
  </si>
  <si>
    <t>Oro srautas [dm³/s]</t>
  </si>
  <si>
    <t>Tiekiamas oras (įveskite vertes):</t>
  </si>
  <si>
    <t>Oro srautas:</t>
  </si>
  <si>
    <t>Slėgio skirtumas:</t>
  </si>
  <si>
    <t>Naudojimo zonoje nėra</t>
  </si>
  <si>
    <t>Ištraukiamas oras (įveskite vertes):</t>
  </si>
  <si>
    <t>Įsiurbimo ventiliatorius:</t>
  </si>
  <si>
    <t>Valdymo įtampa:</t>
  </si>
  <si>
    <t>Ventiliatorių įsiurbimo galia:</t>
  </si>
  <si>
    <t>Ištraukiamasis ventiliatorius:</t>
  </si>
  <si>
    <t>Bendra galia:</t>
  </si>
  <si>
    <t>Garso galios lygis jungiamajame kanale</t>
  </si>
  <si>
    <t>Jungiamasis kanalas</t>
  </si>
  <si>
    <t>Lauko oras</t>
  </si>
  <si>
    <t>Išeinantis oras</t>
  </si>
  <si>
    <t>Virtuvės aplenkimas</t>
  </si>
  <si>
    <r>
      <t>Garso galios lygiai pagal oktavų juostas L</t>
    </r>
    <r>
      <rPr>
        <vertAlign val="subscript"/>
        <sz val="11"/>
        <color theme="1"/>
        <rFont val="Calibri"/>
        <family val="2"/>
        <scheme val="minor"/>
      </rPr>
      <t>W,okt</t>
    </r>
    <r>
      <rPr>
        <sz val="11"/>
        <color theme="1"/>
        <rFont val="Calibri"/>
        <family val="2"/>
        <scheme val="minor"/>
      </rPr>
      <t xml:space="preserve"> [dB]</t>
    </r>
  </si>
  <si>
    <t>Garso galios lygiai aplinkoje</t>
  </si>
  <si>
    <t>Per vožtuvą</t>
  </si>
  <si>
    <t>Garso slėgio lygis patalpoje, kurios garso sugerties plotas yra 10 m²:</t>
  </si>
  <si>
    <t>Garso slėgio lygis įprastame vonios kambaryje arba techninėje patalpoje (V &lt; 10 m³), kurios garso sugerties plotas &lt; 2-3 m²:</t>
  </si>
  <si>
    <t>Savitasis energijos suvartojimas (SEC) ir klasifikacija</t>
  </si>
  <si>
    <t>Pagal Komisijos reglamentus (ES) Nr. 1253/2014 ir Nr. 1254/2014</t>
  </si>
  <si>
    <t>DĖMESIO! SEC formulė taikoma tik gyvenamiesiems pastatams skirtiems vėdinimo įrenginiams.</t>
  </si>
  <si>
    <t>Lyginamasis oro srautas:</t>
  </si>
  <si>
    <t>Skaičiavimo pradinės vertės:</t>
  </si>
  <si>
    <t>Bendroji klasifikacija</t>
  </si>
  <si>
    <t>Vėdinimo valdymas</t>
  </si>
  <si>
    <t>Variklis ir valdymas</t>
  </si>
  <si>
    <t>Klimatas</t>
  </si>
  <si>
    <t>Visos teisės saugomos.</t>
  </si>
  <si>
    <t>Taikyti dokumentai ir standartai: SFS-EN 13141-7, LVI 30-10529, YMa 1009/2017, 2018 m. skaičiavimo vadovas, Aplinkos ministerijos leidinys 122 ir Komisijos reglamentai (ES) Nr. 1253/2014 ir Nr. 1254/2014. Neatsakome už jokias programos klaidas ar dėl jų atsiradusias tiesiogines ar netiesiogines paklaidas.</t>
  </si>
  <si>
    <t>Skaičiavimo programą parengė inžinierių biuras „W. Zenner Oy“. Skaičiavimo programa grindžiama laboratoriniais matavimais pagal SFS-EN 13141-7.</t>
  </si>
  <si>
    <t>SEC numeris</t>
  </si>
  <si>
    <t>Kategorija</t>
  </si>
  <si>
    <t>Su jungiamuoju kanalu</t>
  </si>
  <si>
    <t>Su kitokiu, o ne jungiamuoju kanalu</t>
  </si>
  <si>
    <t>Rankinis valdymas (ne pagal poreikį IV)</t>
  </si>
  <si>
    <t>Laikrodinis valdymas (ne pagal poreikį IV)</t>
  </si>
  <si>
    <t>Centralizuotas valdymas pagal poreikį</t>
  </si>
  <si>
    <t>Vietinis valdymas pagal poreikį</t>
  </si>
  <si>
    <t>Įjungta/išjungta ir vienas greitis</t>
  </si>
  <si>
    <t>Du greičiai</t>
  </si>
  <si>
    <t>Daugiau greičių</t>
  </si>
  <si>
    <t>Tolygus reguliavimas</t>
  </si>
  <si>
    <t>Šalta</t>
  </si>
  <si>
    <t>Vidutinė vertė</t>
  </si>
  <si>
    <t>Šilta</t>
  </si>
  <si>
    <t>Metinio šilumos atgavimo iš ištraukiamo oro efektyvumo apskaičiavimas</t>
  </si>
  <si>
    <t>Skaičiavimas pagal Aplinkos ministerijos leidinį Nr. 122</t>
  </si>
  <si>
    <t>= įvesties langelis</t>
  </si>
  <si>
    <t>Tiekiamo oro srautas, tekantis per LTO</t>
  </si>
  <si>
    <t>Ištraukiamo oro srautas, tekantis per LTO</t>
  </si>
  <si>
    <t>Tiekiamo ir ištraukiamo oro srauto per LTO santykis</t>
  </si>
  <si>
    <t>Atskiras ištraukiamo oro srautas, kuriam taikomas LTO reikalavimas</t>
  </si>
  <si>
    <t>Minėto atskiro ištraukiamo oro naudojimo laikas</t>
  </si>
  <si>
    <t>Tiekiamo ir ištraukiamo oro srautų santykis visame IV</t>
  </si>
  <si>
    <t>Tiekiamo oro temperatūros efektyvumo koeficientas esant vienodiems oro srautams (EN 13141-7)</t>
  </si>
  <si>
    <t>Tiekiamo oro temperatūros efektyvumo koeficientas</t>
  </si>
  <si>
    <t>Klimato juosta</t>
  </si>
  <si>
    <t>Vidaus temperatūra</t>
  </si>
  <si>
    <t>Minimali išeinančio oro temperatūra</t>
  </si>
  <si>
    <t>Didžiausia tiekiamo oro temperatūra ribotoje padėtyje</t>
  </si>
  <si>
    <t>Metinis efektyvumo koeficientas</t>
  </si>
  <si>
    <t>Bendras vėdinimo sistemos energijos poreikis</t>
  </si>
  <si>
    <t>Atgauta šilumos energija</t>
  </si>
  <si>
    <t>Tiekiamo oro temperatūra po LTO</t>
  </si>
  <si>
    <t>Tiekiamo oro temperatūra [°C]</t>
  </si>
  <si>
    <t>Lauko oro temperatūra [°C]</t>
  </si>
  <si>
    <t>Išeinančio oro temperatūra</t>
  </si>
  <si>
    <t>Išeinančio oro temperatūra [°C]</t>
  </si>
  <si>
    <t>Metų laikas</t>
  </si>
  <si>
    <t>Tiekiamo oro temperatūra</t>
  </si>
  <si>
    <t>Iš viso</t>
  </si>
  <si>
    <t>SS, Kd = šilumos poreikio tarp patalpos ir lauko oro temperatūros koeficientas, Kd</t>
  </si>
  <si>
    <t>ST, Kd = šilumos poreikio tarp tiekiamo ir lauko oro temperatūros koeficientas, Kd</t>
  </si>
  <si>
    <t>SJ, Kd = šilumos poreikio tarp išeinančio ir lauko oro temperatūros koeficientas, Kd</t>
  </si>
  <si>
    <t>Radiatoriaus su vandens cirkuliacija matmenys</t>
  </si>
  <si>
    <t>Įveskite matmenis ir tikslines vertes:</t>
  </si>
  <si>
    <t>Pirmiausia įveskite įleidžiamo arba grįžtančio vandens temperatūrą</t>
  </si>
  <si>
    <t>Į radiatorių įeinančio oro temperatūra</t>
  </si>
  <si>
    <t>Iš radiatoriaus išeinančio oro temperatūra</t>
  </si>
  <si>
    <t>Įleidžiamo vandens temperatūra</t>
  </si>
  <si>
    <t>Grįžtančio vandens temperatūra</t>
  </si>
  <si>
    <t>Tiekiamo oro srautas</t>
  </si>
  <si>
    <t>Reikalinga šildymo galia:</t>
  </si>
  <si>
    <t>* Naudojant didelės galios „Oras DN15S“ korpusą + „Stabila“ radiatoriaus vožtuvą (visiškai atidarytas, KV = 1,00)</t>
  </si>
  <si>
    <t xml:space="preserve">Radiatoriaus matmenys pagal įleidžiamo vandens temperatūrą </t>
  </si>
  <si>
    <t xml:space="preserve">Radiatoriaus matmenys pagal grįžtančio vandens temperatūrą </t>
  </si>
  <si>
    <t>Srautas</t>
  </si>
  <si>
    <t>Radiatoriaus skysčio slėgio sumažėjimas</t>
  </si>
  <si>
    <t>Slėgio sumažėjimas valdymo vožtuve*</t>
  </si>
  <si>
    <t>Srauto greitis</t>
  </si>
  <si>
    <t>Kištukas 230 V, 50 Hz, 10 A, maks. 1100 W</t>
  </si>
  <si>
    <t xml:space="preserve">Elektros tiekimas: </t>
  </si>
  <si>
    <t>naudojant „dB paketą“ (Dėmesio! Reikalingas rėminis korpusas)</t>
  </si>
  <si>
    <t>Rinkdamiesi įrangos modelį, pasirinkite šildymo radiatorių su vandens cirkuliacija</t>
  </si>
  <si>
    <t>Naudojimo zonoje nėra. Patikrinkite matmenų vertes.</t>
  </si>
  <si>
    <t>Garso slopinimo gaubto šiame modelyje nėra</t>
  </si>
  <si>
    <t>* Pastaba: naudojant virtuvės apylanką, bendras ištraukiamo oro srautas yra didesnis už įvestą išmatuotą vertę.</t>
  </si>
  <si>
    <t>Klimato juosta (valstybė / šalis)</t>
  </si>
  <si>
    <t>Klimato juosta (savivaldybė / miestas)</t>
  </si>
  <si>
    <t>Oro srautas [m³/h]</t>
  </si>
  <si>
    <t>Matavimo taškas (įveskite srautą ir slėgio skirtumą)</t>
  </si>
  <si>
    <t>Galingumo didinimo apskaičiavimas:</t>
  </si>
  <si>
    <t>Didžiausias galingumo padidinimas:</t>
  </si>
  <si>
    <t>Įveskite norimą galingumo padidinimo vertę:</t>
  </si>
  <si>
    <t>Galingumo padidinimo vertė [%]:</t>
  </si>
  <si>
    <t>Veikimo taškas galingumo padidinimo atveju:</t>
  </si>
  <si>
    <t>Nustatyta galingumo padidinimo vertė nebuvo pasiekta</t>
  </si>
  <si>
    <t>Pasirinkite klimato juostą (miestas)</t>
  </si>
  <si>
    <t>Pastaba: į pirmiau nurodytas vertes įskaičiuota ir prietaiso elektronika.</t>
  </si>
  <si>
    <t>Šilumos atgavimo elemento efektyvumo koeficientas (EN 308)</t>
  </si>
  <si>
    <t>Ventiliatorių ir elektronikos įtaisų elektros sąnaudos</t>
  </si>
  <si>
    <t>Tiekiamo oro temperatūros apribojimas</t>
  </si>
  <si>
    <t>Apribota</t>
  </si>
  <si>
    <t>Neribojama</t>
  </si>
  <si>
    <t>Pageidaujama tiekiamo oro temperatūra</t>
  </si>
  <si>
    <t>Mažiausia išmatuojama lauko oro temperatūra</t>
  </si>
  <si>
    <t>Reikiama pašildymo radiatoriaus įsiurbimo galia</t>
  </si>
  <si>
    <t>Didžiausia pašildymo radiatoriaus galia</t>
  </si>
  <si>
    <t xml:space="preserve"> Väljatõmbeõhk</t>
  </si>
  <si>
    <t xml:space="preserve"> Izplūstošais gaiss</t>
  </si>
  <si>
    <t xml:space="preserve"> Ištraukiamas oras</t>
  </si>
  <si>
    <t>Huom. Yllä olevia arvoja käytetään SEC-laskennassa, vaikka hyvin pieni poikkeama mitoituspisteen laskentaohjelman arvoissa voi olla</t>
  </si>
  <si>
    <t>Airfi laskentaohjelma_6.0.xlsx</t>
  </si>
  <si>
    <t>Airfi laskentaohjelma_6.1.xlsx</t>
  </si>
  <si>
    <t>Syöttö</t>
  </si>
  <si>
    <t>Laskentaan</t>
  </si>
  <si>
    <t>Tehty Pulkkasen mukaiset muutokset, esim. kielilisäykset, uudet kaupungit ja muotoilumuutoksia. Ks. Pulkkasen sähköposti ja Excel-liite muutostoiveista. Korjattu dm³/s / m³/h laskentavirhe kennon hyötysuhteen laskennassa (syöttöarvo muuttuu kun kieli vaihtuu).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</si>
</sst>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0.000"/>
    <numFmt numFmtId="165" formatCode="0.0"/>
    <numFmt numFmtId="166" formatCode="0.00000"/>
    <numFmt numFmtId="167" formatCode="0&quot; m³/h&quot;"/>
    <numFmt numFmtId="168" formatCode="0&quot; °C&quot;"/>
    <numFmt numFmtId="169" formatCode="0.0&quot; °C&quot;"/>
    <numFmt numFmtId="170" formatCode="0.0\ %"/>
    <numFmt numFmtId="171" formatCode="0.0000"/>
  </numFmts>
  <fonts count="87" x14ac:knownFonts="1"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3F3F76"/>
      <name val="Century Gothic"/>
      <family val="2"/>
    </font>
    <font>
      <b/>
      <sz val="10"/>
      <color rgb="FF3F3F3F"/>
      <name val="Century Gothic"/>
      <family val="2"/>
    </font>
    <font>
      <b/>
      <sz val="10"/>
      <color rgb="FFFA7D00"/>
      <name val="Century Gothic"/>
      <family val="2"/>
    </font>
    <font>
      <i/>
      <sz val="10"/>
      <color rgb="FF7F7F7F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vertAlign val="subscript"/>
      <sz val="10"/>
      <name val="Century Gothic"/>
      <family val="2"/>
    </font>
    <font>
      <vertAlign val="superscript"/>
      <sz val="10"/>
      <color theme="1"/>
      <name val="Century Gothic"/>
      <family val="2"/>
    </font>
    <font>
      <b/>
      <vertAlign val="superscript"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1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rgb="FFFF0000"/>
      <name val="Century Gothic"/>
      <family val="2"/>
    </font>
    <font>
      <vertAlign val="subscript"/>
      <sz val="10"/>
      <color theme="1"/>
      <name val="Century Gothic"/>
      <family val="2"/>
    </font>
    <font>
      <b/>
      <vertAlign val="subscript"/>
      <sz val="10"/>
      <color theme="1"/>
      <name val="Century Gothic"/>
      <family val="2"/>
    </font>
    <font>
      <b/>
      <sz val="10"/>
      <color rgb="FFC00000"/>
      <name val="Century Gothic"/>
      <family val="2"/>
    </font>
    <font>
      <u/>
      <sz val="10"/>
      <color theme="10"/>
      <name val="Century Gothic"/>
      <family val="2"/>
    </font>
    <font>
      <u/>
      <sz val="8"/>
      <color theme="10"/>
      <name val="Century Gothic"/>
      <family val="2"/>
    </font>
    <font>
      <sz val="10"/>
      <color rgb="FF006100"/>
      <name val="Century Gothic"/>
      <family val="2"/>
    </font>
    <font>
      <b/>
      <sz val="12"/>
      <color theme="1"/>
      <name val="Century Gothic"/>
      <family val="2"/>
    </font>
    <font>
      <sz val="10"/>
      <color theme="3" tint="-0.499984740745262"/>
      <name val="Century Gothic"/>
      <family val="2"/>
    </font>
    <font>
      <b/>
      <sz val="10"/>
      <color theme="3" tint="-0.499984740745262"/>
      <name val="Century Gothic"/>
      <family val="2"/>
    </font>
    <font>
      <b/>
      <sz val="9"/>
      <color theme="1"/>
      <name val="Century Gothic"/>
      <family val="2"/>
    </font>
    <font>
      <b/>
      <sz val="11"/>
      <color theme="3" tint="-0.499984740745262"/>
      <name val="Century Gothic"/>
      <family val="2"/>
    </font>
    <font>
      <b/>
      <u/>
      <sz val="10"/>
      <color theme="1"/>
      <name val="Century Gothic"/>
      <family val="2"/>
    </font>
    <font>
      <b/>
      <sz val="13"/>
      <color theme="4" tint="-0.499984740745262"/>
      <name val="Century Gothic"/>
      <family val="2"/>
    </font>
    <font>
      <b/>
      <sz val="11"/>
      <color rgb="FF3F3F3F"/>
      <name val="Century Gothic"/>
      <family val="2"/>
    </font>
    <font>
      <sz val="10"/>
      <color theme="0"/>
      <name val="Century Gothic"/>
      <family val="2"/>
    </font>
    <font>
      <b/>
      <sz val="14"/>
      <color theme="4" tint="-0.499984740745262"/>
      <name val="Century Gothic"/>
      <family val="2"/>
    </font>
    <font>
      <b/>
      <sz val="16"/>
      <name val="Century Gothic"/>
      <family val="2"/>
    </font>
    <font>
      <sz val="10"/>
      <color rgb="FFFF0000"/>
      <name val="Century Gothic"/>
      <family val="2"/>
    </font>
    <font>
      <b/>
      <sz val="9"/>
      <color rgb="FFFF0000"/>
      <name val="Century Gothic"/>
      <family val="2"/>
    </font>
    <font>
      <i/>
      <sz val="10"/>
      <color theme="1"/>
      <name val="Century Gothic"/>
      <family val="2"/>
    </font>
    <font>
      <b/>
      <vertAlign val="superscript"/>
      <sz val="10"/>
      <name val="Century Gothic"/>
      <family val="2"/>
    </font>
    <font>
      <strike/>
      <sz val="10"/>
      <color theme="1"/>
      <name val="Century Gothic"/>
      <family val="2"/>
    </font>
    <font>
      <b/>
      <strike/>
      <sz val="10"/>
      <color theme="1"/>
      <name val="Century Gothic"/>
      <family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Century Gothic"/>
      <family val="2"/>
    </font>
    <font>
      <sz val="10"/>
      <color rgb="FF9C5700"/>
      <name val="Century Gothic"/>
      <family val="2"/>
    </font>
    <font>
      <sz val="8"/>
      <color theme="9"/>
      <name val="Century Gothic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7.5"/>
      <color theme="1"/>
      <name val="Century Gothic"/>
      <family val="2"/>
    </font>
    <font>
      <u/>
      <sz val="7.5"/>
      <color theme="10"/>
      <name val="Century Gothic"/>
      <family val="2"/>
    </font>
    <font>
      <sz val="9"/>
      <color theme="3" tint="-0.499984740745262"/>
      <name val="Century Gothic"/>
      <family val="2"/>
    </font>
    <font>
      <vertAlign val="superscript"/>
      <sz val="9"/>
      <color theme="1"/>
      <name val="Century Gothic"/>
      <family val="2"/>
    </font>
    <font>
      <b/>
      <sz val="8"/>
      <color theme="1"/>
      <name val="Century Gothic"/>
      <family val="2"/>
    </font>
    <font>
      <b/>
      <vertAlign val="subscript"/>
      <sz val="8"/>
      <color theme="1"/>
      <name val="Century Gothic"/>
      <family val="2"/>
    </font>
    <font>
      <b/>
      <sz val="14"/>
      <color rgb="FFFF0000"/>
      <name val="Century Gothic"/>
      <family val="2"/>
    </font>
    <font>
      <u/>
      <sz val="10"/>
      <color theme="1"/>
      <name val="Century Gothic"/>
      <family val="2"/>
    </font>
    <font>
      <b/>
      <sz val="8"/>
      <color rgb="FFFF0000"/>
      <name val="Century Gothic"/>
      <family val="2"/>
    </font>
    <font>
      <sz val="10"/>
      <color theme="1" tint="0.249977111117893"/>
      <name val="Century Gothic"/>
      <family val="2"/>
    </font>
    <font>
      <b/>
      <u/>
      <sz val="11"/>
      <color theme="1"/>
      <name val="Century Gothic"/>
      <family val="2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entury Gothic"/>
      <family val="2"/>
    </font>
    <font>
      <strike/>
      <sz val="10"/>
      <color theme="3" tint="-0.499984740745262"/>
      <name val="Century Gothic"/>
      <family val="2"/>
    </font>
    <font>
      <sz val="9"/>
      <color rgb="FFFF0000"/>
      <name val="Century Gothic"/>
      <family val="2"/>
    </font>
    <font>
      <b/>
      <sz val="14"/>
      <color theme="1"/>
      <name val="Century Gothic"/>
      <family val="2"/>
    </font>
    <font>
      <sz val="8"/>
      <color rgb="FF000000"/>
      <name val="Segoe UI"/>
      <charset val="1"/>
    </font>
  </fonts>
  <fills count="32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8F8F8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4DFF00"/>
        <bgColor indexed="64"/>
      </patternFill>
    </fill>
    <fill>
      <patternFill patternType="solid">
        <fgColor rgb="FFB3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FF4D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rgb="FFFDFDFD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</fills>
  <borders count="13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 style="thin">
        <color rgb="FF7F7F7F"/>
      </top>
      <bottom style="thin">
        <color indexed="64"/>
      </bottom>
      <diagonal/>
    </border>
    <border>
      <left/>
      <right style="thin">
        <color indexed="64"/>
      </right>
      <top style="thin">
        <color rgb="FF7F7F7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indexed="64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medium">
        <color indexed="64"/>
      </bottom>
      <diagonal/>
    </border>
    <border>
      <left style="thin">
        <color rgb="FF3F3F3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B2B2B2"/>
      </right>
      <top style="dotted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double">
        <color rgb="FFB2B2B2"/>
      </bottom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theme="0" tint="-0.2499465926084170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indexed="64"/>
      </top>
      <bottom style="double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double">
        <color indexed="64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rgb="FF3F3F3F"/>
      </bottom>
      <diagonal/>
    </border>
  </borders>
  <cellStyleXfs count="21">
    <xf numFmtId="0" fontId="0" fillId="0" borderId="0"/>
    <xf numFmtId="0" fontId="18" fillId="4" borderId="1" applyNumberFormat="0" applyAlignment="0" applyProtection="0"/>
    <xf numFmtId="0" fontId="19" fillId="17" borderId="2" applyNumberFormat="0" applyAlignment="0" applyProtection="0"/>
    <xf numFmtId="0" fontId="20" fillId="2" borderId="1" applyNumberFormat="0" applyAlignment="0" applyProtection="0"/>
    <xf numFmtId="0" fontId="21" fillId="0" borderId="0" applyNumberFormat="0" applyFill="0" applyBorder="0" applyAlignment="0" applyProtection="0"/>
    <xf numFmtId="0" fontId="23" fillId="3" borderId="35" applyNumberFormat="0" applyFont="0" applyAlignment="0" applyProtection="0"/>
    <xf numFmtId="0" fontId="23" fillId="0" borderId="0"/>
    <xf numFmtId="0" fontId="35" fillId="0" borderId="0" applyNumberFormat="0" applyFill="0" applyBorder="0" applyAlignment="0" applyProtection="0"/>
    <xf numFmtId="9" fontId="23" fillId="0" borderId="0" applyFont="0" applyFill="0" applyBorder="0" applyAlignment="0" applyProtection="0"/>
    <xf numFmtId="0" fontId="37" fillId="14" borderId="0" applyNumberFormat="0" applyBorder="0" applyAlignment="0" applyProtection="0"/>
    <xf numFmtId="0" fontId="39" fillId="16" borderId="54" applyNumberFormat="0" applyAlignment="0" applyProtection="0"/>
    <xf numFmtId="0" fontId="40" fillId="5" borderId="2" applyNumberFormat="0" applyAlignment="0" applyProtection="0"/>
    <xf numFmtId="0" fontId="23" fillId="15" borderId="35" applyNumberFormat="0" applyFont="0" applyAlignment="0" applyProtection="0"/>
    <xf numFmtId="0" fontId="18" fillId="22" borderId="1" applyNumberFormat="0" applyAlignment="0" applyProtection="0"/>
    <xf numFmtId="0" fontId="61" fillId="23" borderId="0" applyNumberFormat="0" applyBorder="0" applyAlignment="0" applyProtection="0"/>
    <xf numFmtId="0" fontId="17" fillId="0" borderId="0"/>
    <xf numFmtId="0" fontId="14" fillId="0" borderId="0"/>
    <xf numFmtId="0" fontId="7" fillId="0" borderId="0"/>
    <xf numFmtId="0" fontId="4" fillId="0" borderId="0"/>
    <xf numFmtId="0" fontId="3" fillId="0" borderId="0"/>
    <xf numFmtId="0" fontId="3" fillId="0" borderId="0"/>
  </cellStyleXfs>
  <cellXfs count="951">
    <xf numFmtId="0" fontId="0" fillId="0" borderId="0" xfId="0"/>
    <xf numFmtId="0" fontId="23" fillId="0" borderId="0" xfId="0" applyFont="1"/>
    <xf numFmtId="0" fontId="22" fillId="0" borderId="0" xfId="0" applyFont="1"/>
    <xf numFmtId="165" fontId="0" fillId="0" borderId="0" xfId="0" applyNumberFormat="1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165" fontId="22" fillId="0" borderId="0" xfId="0" applyNumberFormat="1" applyFont="1" applyAlignment="1">
      <alignment horizontal="center"/>
    </xf>
    <xf numFmtId="0" fontId="20" fillId="2" borderId="1" xfId="3"/>
    <xf numFmtId="0" fontId="18" fillId="4" borderId="1" xfId="1"/>
    <xf numFmtId="165" fontId="19" fillId="17" borderId="2" xfId="2" applyNumberFormat="1"/>
    <xf numFmtId="0" fontId="0" fillId="0" borderId="4" xfId="0" applyBorder="1"/>
    <xf numFmtId="0" fontId="0" fillId="0" borderId="6" xfId="0" applyBorder="1" applyAlignment="1">
      <alignment horizontal="center"/>
    </xf>
    <xf numFmtId="0" fontId="0" fillId="0" borderId="7" xfId="0" applyBorder="1"/>
    <xf numFmtId="165" fontId="0" fillId="0" borderId="8" xfId="0" applyNumberFormat="1" applyBorder="1" applyAlignment="1">
      <alignment horizontal="center"/>
    </xf>
    <xf numFmtId="0" fontId="0" fillId="0" borderId="9" xfId="0" applyBorder="1"/>
    <xf numFmtId="165" fontId="0" fillId="0" borderId="11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9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5" xfId="0" applyBorder="1"/>
    <xf numFmtId="0" fontId="22" fillId="0" borderId="4" xfId="0" applyFont="1" applyBorder="1"/>
    <xf numFmtId="0" fontId="0" fillId="0" borderId="8" xfId="0" applyBorder="1"/>
    <xf numFmtId="0" fontId="0" fillId="0" borderId="10" xfId="0" applyBorder="1"/>
    <xf numFmtId="0" fontId="0" fillId="0" borderId="11" xfId="0" applyBorder="1"/>
    <xf numFmtId="0" fontId="22" fillId="0" borderId="8" xfId="0" applyFont="1" applyBorder="1"/>
    <xf numFmtId="2" fontId="0" fillId="0" borderId="7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2" xfId="0" applyBorder="1"/>
    <xf numFmtId="0" fontId="0" fillId="0" borderId="13" xfId="0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quotePrefix="1"/>
    <xf numFmtId="0" fontId="22" fillId="0" borderId="5" xfId="0" applyFont="1" applyBorder="1"/>
    <xf numFmtId="0" fontId="0" fillId="0" borderId="12" xfId="0" applyBorder="1" applyAlignment="1">
      <alignment horizontal="center"/>
    </xf>
    <xf numFmtId="165" fontId="0" fillId="0" borderId="13" xfId="0" applyNumberForma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0" fillId="0" borderId="14" xfId="0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1" fontId="18" fillId="4" borderId="1" xfId="1" applyNumberFormat="1" applyAlignment="1">
      <alignment horizontal="center"/>
    </xf>
    <xf numFmtId="0" fontId="0" fillId="0" borderId="10" xfId="0" applyBorder="1" applyAlignment="1">
      <alignment horizontal="center"/>
    </xf>
    <xf numFmtId="164" fontId="20" fillId="2" borderId="1" xfId="3" applyNumberFormat="1" applyAlignment="1">
      <alignment horizontal="center"/>
    </xf>
    <xf numFmtId="2" fontId="20" fillId="2" borderId="1" xfId="3" applyNumberFormat="1" applyAlignment="1">
      <alignment horizontal="center"/>
    </xf>
    <xf numFmtId="165" fontId="19" fillId="17" borderId="2" xfId="2" applyNumberFormat="1" applyAlignment="1">
      <alignment horizontal="center"/>
    </xf>
    <xf numFmtId="164" fontId="19" fillId="17" borderId="2" xfId="2" applyNumberFormat="1" applyAlignment="1">
      <alignment horizontal="center"/>
    </xf>
    <xf numFmtId="165" fontId="21" fillId="0" borderId="7" xfId="4" applyNumberFormat="1" applyBorder="1" applyAlignment="1">
      <alignment horizontal="center"/>
    </xf>
    <xf numFmtId="165" fontId="21" fillId="0" borderId="0" xfId="4" applyNumberFormat="1" applyBorder="1" applyAlignment="1">
      <alignment horizontal="center"/>
    </xf>
    <xf numFmtId="165" fontId="21" fillId="0" borderId="8" xfId="4" applyNumberFormat="1" applyBorder="1" applyAlignment="1">
      <alignment horizontal="center"/>
    </xf>
    <xf numFmtId="165" fontId="21" fillId="0" borderId="9" xfId="4" applyNumberFormat="1" applyBorder="1" applyAlignment="1">
      <alignment horizontal="center"/>
    </xf>
    <xf numFmtId="165" fontId="21" fillId="0" borderId="10" xfId="4" applyNumberFormat="1" applyBorder="1" applyAlignment="1">
      <alignment horizontal="center"/>
    </xf>
    <xf numFmtId="165" fontId="21" fillId="0" borderId="11" xfId="4" applyNumberFormat="1" applyBorder="1" applyAlignment="1">
      <alignment horizontal="center"/>
    </xf>
    <xf numFmtId="0" fontId="21" fillId="0" borderId="4" xfId="4" applyBorder="1" applyAlignment="1">
      <alignment horizontal="center"/>
    </xf>
    <xf numFmtId="0" fontId="21" fillId="0" borderId="5" xfId="4" applyBorder="1" applyAlignment="1">
      <alignment horizontal="center"/>
    </xf>
    <xf numFmtId="0" fontId="21" fillId="0" borderId="6" xfId="4" applyBorder="1" applyAlignment="1">
      <alignment horizontal="center"/>
    </xf>
    <xf numFmtId="0" fontId="21" fillId="0" borderId="9" xfId="4" applyBorder="1" applyAlignment="1">
      <alignment horizontal="center"/>
    </xf>
    <xf numFmtId="0" fontId="21" fillId="0" borderId="10" xfId="4" applyBorder="1" applyAlignment="1">
      <alignment horizontal="center"/>
    </xf>
    <xf numFmtId="0" fontId="21" fillId="0" borderId="11" xfId="4" applyBorder="1" applyAlignment="1">
      <alignment horizontal="center"/>
    </xf>
    <xf numFmtId="165" fontId="18" fillId="4" borderId="18" xfId="1" applyNumberFormat="1" applyBorder="1" applyAlignment="1">
      <alignment horizontal="center"/>
    </xf>
    <xf numFmtId="165" fontId="18" fillId="4" borderId="1" xfId="1" applyNumberFormat="1" applyAlignment="1">
      <alignment horizontal="center"/>
    </xf>
    <xf numFmtId="165" fontId="18" fillId="4" borderId="19" xfId="1" applyNumberFormat="1" applyBorder="1" applyAlignment="1">
      <alignment horizontal="center"/>
    </xf>
    <xf numFmtId="165" fontId="18" fillId="4" borderId="20" xfId="1" applyNumberFormat="1" applyBorder="1" applyAlignment="1">
      <alignment horizontal="center"/>
    </xf>
    <xf numFmtId="165" fontId="18" fillId="4" borderId="21" xfId="1" applyNumberFormat="1" applyBorder="1" applyAlignment="1">
      <alignment horizontal="center"/>
    </xf>
    <xf numFmtId="165" fontId="18" fillId="4" borderId="22" xfId="1" applyNumberFormat="1" applyBorder="1" applyAlignment="1">
      <alignment horizontal="center"/>
    </xf>
    <xf numFmtId="0" fontId="23" fillId="0" borderId="0" xfId="0" applyFont="1" applyAlignment="1">
      <alignment horizontal="center"/>
    </xf>
    <xf numFmtId="0" fontId="0" fillId="0" borderId="15" xfId="0" applyBorder="1"/>
    <xf numFmtId="0" fontId="0" fillId="0" borderId="17" xfId="0" applyBorder="1"/>
    <xf numFmtId="0" fontId="0" fillId="0" borderId="34" xfId="0" applyBorder="1"/>
    <xf numFmtId="165" fontId="0" fillId="0" borderId="16" xfId="0" applyNumberFormat="1" applyBorder="1"/>
    <xf numFmtId="0" fontId="22" fillId="0" borderId="34" xfId="0" applyFont="1" applyBorder="1"/>
    <xf numFmtId="2" fontId="28" fillId="0" borderId="0" xfId="0" applyNumberFormat="1" applyFont="1"/>
    <xf numFmtId="1" fontId="0" fillId="0" borderId="0" xfId="0" applyNumberFormat="1" applyAlignment="1">
      <alignment horizontal="center"/>
    </xf>
    <xf numFmtId="165" fontId="0" fillId="0" borderId="10" xfId="0" applyNumberFormat="1" applyBorder="1"/>
    <xf numFmtId="0" fontId="0" fillId="0" borderId="0" xfId="0" quotePrefix="1" applyAlignment="1">
      <alignment horizontal="center"/>
    </xf>
    <xf numFmtId="0" fontId="29" fillId="0" borderId="0" xfId="0" applyFont="1"/>
    <xf numFmtId="165" fontId="22" fillId="0" borderId="0" xfId="0" applyNumberFormat="1" applyFont="1"/>
    <xf numFmtId="1" fontId="18" fillId="4" borderId="21" xfId="1" applyNumberFormat="1" applyBorder="1" applyAlignment="1">
      <alignment horizontal="center"/>
    </xf>
    <xf numFmtId="1" fontId="19" fillId="17" borderId="2" xfId="2" applyNumberFormat="1" applyAlignment="1">
      <alignment horizontal="center"/>
    </xf>
    <xf numFmtId="0" fontId="22" fillId="0" borderId="0" xfId="0" quotePrefix="1" applyFont="1" applyAlignment="1">
      <alignment horizontal="center"/>
    </xf>
    <xf numFmtId="0" fontId="0" fillId="5" borderId="0" xfId="0" applyFill="1"/>
    <xf numFmtId="2" fontId="0" fillId="5" borderId="0" xfId="0" applyNumberFormat="1" applyFill="1"/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24" fillId="0" borderId="23" xfId="0" applyFont="1" applyBorder="1" applyAlignment="1">
      <alignment horizontal="center"/>
    </xf>
    <xf numFmtId="0" fontId="24" fillId="0" borderId="24" xfId="0" applyFont="1" applyBorder="1" applyAlignment="1">
      <alignment horizontal="center"/>
    </xf>
    <xf numFmtId="0" fontId="24" fillId="0" borderId="25" xfId="0" applyFont="1" applyBorder="1" applyAlignment="1">
      <alignment horizontal="center"/>
    </xf>
    <xf numFmtId="0" fontId="0" fillId="0" borderId="3" xfId="0" applyBorder="1"/>
    <xf numFmtId="0" fontId="0" fillId="0" borderId="13" xfId="0" applyBorder="1"/>
    <xf numFmtId="14" fontId="0" fillId="0" borderId="7" xfId="0" applyNumberFormat="1" applyBorder="1"/>
    <xf numFmtId="164" fontId="0" fillId="0" borderId="7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22" fillId="0" borderId="0" xfId="0" applyFont="1" applyAlignment="1">
      <alignment horizontal="center"/>
    </xf>
    <xf numFmtId="0" fontId="0" fillId="0" borderId="7" xfId="0" quotePrefix="1" applyBorder="1"/>
    <xf numFmtId="14" fontId="0" fillId="0" borderId="13" xfId="0" applyNumberFormat="1" applyBorder="1"/>
    <xf numFmtId="2" fontId="18" fillId="4" borderId="1" xfId="1" applyNumberFormat="1" applyAlignment="1">
      <alignment horizontal="center"/>
    </xf>
    <xf numFmtId="1" fontId="22" fillId="0" borderId="0" xfId="0" applyNumberFormat="1" applyFont="1" applyAlignment="1">
      <alignment horizontal="center"/>
    </xf>
    <xf numFmtId="14" fontId="0" fillId="0" borderId="13" xfId="0" applyNumberFormat="1" applyBorder="1" applyAlignment="1">
      <alignment horizontal="right"/>
    </xf>
    <xf numFmtId="1" fontId="0" fillId="0" borderId="0" xfId="0" applyNumberFormat="1"/>
    <xf numFmtId="2" fontId="22" fillId="0" borderId="0" xfId="0" applyNumberFormat="1" applyFont="1" applyAlignment="1">
      <alignment horizontal="center"/>
    </xf>
    <xf numFmtId="1" fontId="18" fillId="4" borderId="42" xfId="1" applyNumberFormat="1" applyBorder="1" applyAlignment="1">
      <alignment horizontal="center"/>
    </xf>
    <xf numFmtId="1" fontId="18" fillId="4" borderId="43" xfId="1" applyNumberFormat="1" applyBorder="1" applyAlignment="1">
      <alignment horizontal="center"/>
    </xf>
    <xf numFmtId="0" fontId="18" fillId="4" borderId="42" xfId="1" applyBorder="1" applyAlignment="1">
      <alignment horizontal="center"/>
    </xf>
    <xf numFmtId="0" fontId="18" fillId="4" borderId="43" xfId="1" applyBorder="1" applyAlignment="1">
      <alignment horizontal="center"/>
    </xf>
    <xf numFmtId="165" fontId="18" fillId="4" borderId="44" xfId="1" applyNumberFormat="1" applyBorder="1" applyAlignment="1">
      <alignment horizontal="center"/>
    </xf>
    <xf numFmtId="165" fontId="18" fillId="4" borderId="45" xfId="1" applyNumberFormat="1" applyBorder="1" applyAlignment="1">
      <alignment horizontal="center"/>
    </xf>
    <xf numFmtId="165" fontId="18" fillId="4" borderId="42" xfId="1" applyNumberFormat="1" applyBorder="1" applyAlignment="1">
      <alignment horizontal="center"/>
    </xf>
    <xf numFmtId="165" fontId="18" fillId="4" borderId="43" xfId="1" applyNumberFormat="1" applyBorder="1" applyAlignment="1">
      <alignment horizontal="center"/>
    </xf>
    <xf numFmtId="165" fontId="18" fillId="4" borderId="46" xfId="1" applyNumberFormat="1" applyBorder="1" applyAlignment="1">
      <alignment horizontal="center"/>
    </xf>
    <xf numFmtId="165" fontId="18" fillId="4" borderId="47" xfId="1" applyNumberFormat="1" applyBorder="1" applyAlignment="1">
      <alignment horizontal="center"/>
    </xf>
    <xf numFmtId="165" fontId="20" fillId="2" borderId="1" xfId="3" applyNumberFormat="1"/>
    <xf numFmtId="165" fontId="22" fillId="0" borderId="34" xfId="0" applyNumberFormat="1" applyFont="1" applyBorder="1" applyAlignment="1">
      <alignment horizontal="center"/>
    </xf>
    <xf numFmtId="166" fontId="20" fillId="2" borderId="1" xfId="3" applyNumberFormat="1" applyAlignment="1">
      <alignment horizontal="center"/>
    </xf>
    <xf numFmtId="2" fontId="19" fillId="17" borderId="2" xfId="2" applyNumberFormat="1"/>
    <xf numFmtId="0" fontId="0" fillId="6" borderId="0" xfId="0" applyFill="1"/>
    <xf numFmtId="0" fontId="0" fillId="6" borderId="10" xfId="0" applyFill="1" applyBorder="1"/>
    <xf numFmtId="0" fontId="0" fillId="0" borderId="16" xfId="0" applyBorder="1"/>
    <xf numFmtId="0" fontId="0" fillId="0" borderId="0" xfId="0" applyAlignment="1">
      <alignment horizontal="right"/>
    </xf>
    <xf numFmtId="0" fontId="22" fillId="6" borderId="3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5" xfId="0" applyFill="1" applyBorder="1" applyAlignment="1">
      <alignment horizontal="right"/>
    </xf>
    <xf numFmtId="0" fontId="0" fillId="6" borderId="0" xfId="0" applyFill="1" applyAlignment="1">
      <alignment horizontal="right"/>
    </xf>
    <xf numFmtId="0" fontId="0" fillId="6" borderId="10" xfId="0" applyFill="1" applyBorder="1" applyAlignment="1">
      <alignment horizontal="right"/>
    </xf>
    <xf numFmtId="0" fontId="22" fillId="6" borderId="0" xfId="0" applyFont="1" applyFill="1" applyAlignment="1">
      <alignment horizontal="left" vertical="center" wrapText="1"/>
    </xf>
    <xf numFmtId="165" fontId="0" fillId="6" borderId="10" xfId="0" applyNumberFormat="1" applyFill="1" applyBorder="1"/>
    <xf numFmtId="0" fontId="28" fillId="6" borderId="7" xfId="0" applyFont="1" applyFill="1" applyBorder="1" applyAlignment="1">
      <alignment horizontal="left"/>
    </xf>
    <xf numFmtId="2" fontId="28" fillId="6" borderId="9" xfId="0" applyNumberFormat="1" applyFont="1" applyFill="1" applyBorder="1" applyAlignment="1">
      <alignment horizontal="left"/>
    </xf>
    <xf numFmtId="0" fontId="22" fillId="6" borderId="7" xfId="0" applyFont="1" applyFill="1" applyBorder="1" applyAlignment="1">
      <alignment horizontal="left"/>
    </xf>
    <xf numFmtId="0" fontId="34" fillId="0" borderId="0" xfId="0" applyFont="1"/>
    <xf numFmtId="0" fontId="36" fillId="0" borderId="0" xfId="7" applyFont="1" applyFill="1" applyBorder="1"/>
    <xf numFmtId="167" fontId="22" fillId="6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0" fillId="0" borderId="10" xfId="0" applyBorder="1" applyAlignment="1">
      <alignment vertical="center"/>
    </xf>
    <xf numFmtId="0" fontId="0" fillId="0" borderId="0" xfId="0" quotePrefix="1" applyAlignment="1">
      <alignment vertical="center"/>
    </xf>
    <xf numFmtId="0" fontId="22" fillId="0" borderId="4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6" xfId="0" applyBorder="1" applyAlignment="1">
      <alignment vertical="center"/>
    </xf>
    <xf numFmtId="0" fontId="22" fillId="0" borderId="16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8" xfId="0" applyBorder="1" applyAlignment="1">
      <alignment vertical="center"/>
    </xf>
    <xf numFmtId="0" fontId="22" fillId="0" borderId="0" xfId="0" applyFont="1" applyAlignment="1">
      <alignment vertical="center"/>
    </xf>
    <xf numFmtId="168" fontId="0" fillId="0" borderId="55" xfId="0" applyNumberFormat="1" applyBorder="1" applyAlignment="1">
      <alignment horizontal="center" vertical="center"/>
    </xf>
    <xf numFmtId="10" fontId="0" fillId="0" borderId="56" xfId="8" applyNumberFormat="1" applyFont="1" applyBorder="1" applyAlignment="1">
      <alignment horizontal="center" vertical="center"/>
    </xf>
    <xf numFmtId="169" fontId="0" fillId="0" borderId="57" xfId="0" applyNumberFormat="1" applyBorder="1" applyAlignment="1">
      <alignment horizontal="center" vertical="center"/>
    </xf>
    <xf numFmtId="169" fontId="0" fillId="0" borderId="56" xfId="0" applyNumberFormat="1" applyBorder="1" applyAlignment="1">
      <alignment horizontal="center" vertical="center"/>
    </xf>
    <xf numFmtId="1" fontId="22" fillId="0" borderId="57" xfId="0" applyNumberFormat="1" applyFont="1" applyBorder="1" applyAlignment="1">
      <alignment horizontal="center" vertical="center"/>
    </xf>
    <xf numFmtId="1" fontId="22" fillId="0" borderId="56" xfId="0" applyNumberFormat="1" applyFont="1" applyBorder="1" applyAlignment="1">
      <alignment horizontal="center" vertical="center"/>
    </xf>
    <xf numFmtId="1" fontId="22" fillId="0" borderId="58" xfId="0" applyNumberFormat="1" applyFont="1" applyBorder="1" applyAlignment="1">
      <alignment horizontal="center" vertical="center"/>
    </xf>
    <xf numFmtId="168" fontId="0" fillId="0" borderId="59" xfId="0" applyNumberFormat="1" applyBorder="1" applyAlignment="1">
      <alignment horizontal="center" vertical="center"/>
    </xf>
    <xf numFmtId="10" fontId="0" fillId="0" borderId="60" xfId="8" applyNumberFormat="1" applyFont="1" applyBorder="1" applyAlignment="1">
      <alignment horizontal="center" vertical="center"/>
    </xf>
    <xf numFmtId="169" fontId="0" fillId="0" borderId="61" xfId="0" applyNumberFormat="1" applyBorder="1" applyAlignment="1">
      <alignment horizontal="center" vertical="center"/>
    </xf>
    <xf numFmtId="169" fontId="0" fillId="0" borderId="60" xfId="0" applyNumberFormat="1" applyBorder="1" applyAlignment="1">
      <alignment horizontal="center" vertical="center"/>
    </xf>
    <xf numFmtId="1" fontId="22" fillId="0" borderId="61" xfId="0" applyNumberFormat="1" applyFont="1" applyBorder="1" applyAlignment="1">
      <alignment horizontal="center" vertical="center"/>
    </xf>
    <xf numFmtId="1" fontId="22" fillId="0" borderId="60" xfId="0" applyNumberFormat="1" applyFont="1" applyBorder="1" applyAlignment="1">
      <alignment horizontal="center" vertical="center"/>
    </xf>
    <xf numFmtId="1" fontId="22" fillId="0" borderId="62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vertical="center"/>
    </xf>
    <xf numFmtId="0" fontId="0" fillId="0" borderId="11" xfId="0" applyBorder="1" applyAlignment="1">
      <alignment vertical="center"/>
    </xf>
    <xf numFmtId="168" fontId="0" fillId="0" borderId="63" xfId="0" applyNumberFormat="1" applyBorder="1" applyAlignment="1">
      <alignment horizontal="center" vertical="center"/>
    </xf>
    <xf numFmtId="10" fontId="0" fillId="0" borderId="64" xfId="8" applyNumberFormat="1" applyFont="1" applyBorder="1" applyAlignment="1">
      <alignment horizontal="center" vertical="center"/>
    </xf>
    <xf numFmtId="169" fontId="0" fillId="0" borderId="65" xfId="0" applyNumberFormat="1" applyBorder="1" applyAlignment="1">
      <alignment horizontal="center" vertical="center"/>
    </xf>
    <xf numFmtId="169" fontId="0" fillId="0" borderId="64" xfId="0" applyNumberFormat="1" applyBorder="1" applyAlignment="1">
      <alignment horizontal="center" vertical="center"/>
    </xf>
    <xf numFmtId="1" fontId="22" fillId="0" borderId="65" xfId="0" applyNumberFormat="1" applyFont="1" applyBorder="1" applyAlignment="1">
      <alignment horizontal="center" vertical="center"/>
    </xf>
    <xf numFmtId="1" fontId="22" fillId="0" borderId="64" xfId="0" applyNumberFormat="1" applyFont="1" applyBorder="1" applyAlignment="1">
      <alignment horizontal="center" vertical="center"/>
    </xf>
    <xf numFmtId="1" fontId="22" fillId="0" borderId="66" xfId="0" applyNumberFormat="1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" fontId="42" fillId="5" borderId="67" xfId="1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1" fontId="0" fillId="0" borderId="3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/>
    </xf>
    <xf numFmtId="170" fontId="0" fillId="0" borderId="15" xfId="8" applyNumberFormat="1" applyFont="1" applyBorder="1" applyAlignment="1">
      <alignment horizontal="center"/>
    </xf>
    <xf numFmtId="170" fontId="0" fillId="0" borderId="17" xfId="8" applyNumberFormat="1" applyFont="1" applyBorder="1" applyAlignment="1">
      <alignment horizontal="center"/>
    </xf>
    <xf numFmtId="170" fontId="42" fillId="5" borderId="2" xfId="11" applyNumberFormat="1" applyFont="1" applyAlignment="1">
      <alignment horizontal="center"/>
    </xf>
    <xf numFmtId="1" fontId="42" fillId="5" borderId="2" xfId="11" applyNumberFormat="1" applyFont="1" applyAlignment="1">
      <alignment horizontal="center"/>
    </xf>
    <xf numFmtId="0" fontId="22" fillId="0" borderId="15" xfId="0" applyFont="1" applyBorder="1" applyAlignment="1">
      <alignment horizontal="center" vertical="center"/>
    </xf>
    <xf numFmtId="165" fontId="39" fillId="15" borderId="35" xfId="12" applyNumberFormat="1" applyFont="1" applyAlignment="1">
      <alignment horizontal="center"/>
    </xf>
    <xf numFmtId="0" fontId="0" fillId="0" borderId="7" xfId="0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70" fontId="0" fillId="0" borderId="7" xfId="8" applyNumberFormat="1" applyFont="1" applyBorder="1" applyAlignment="1">
      <alignment horizontal="center"/>
    </xf>
    <xf numFmtId="170" fontId="0" fillId="0" borderId="0" xfId="8" applyNumberFormat="1" applyFont="1" applyBorder="1" applyAlignment="1">
      <alignment horizontal="center"/>
    </xf>
    <xf numFmtId="170" fontId="0" fillId="0" borderId="8" xfId="8" applyNumberFormat="1" applyFont="1" applyBorder="1" applyAlignment="1">
      <alignment horizontal="center"/>
    </xf>
    <xf numFmtId="1" fontId="22" fillId="0" borderId="5" xfId="0" applyNumberFormat="1" applyFont="1" applyBorder="1" applyAlignment="1">
      <alignment horizontal="center"/>
    </xf>
    <xf numFmtId="1" fontId="22" fillId="0" borderId="6" xfId="0" applyNumberFormat="1" applyFont="1" applyBorder="1" applyAlignment="1">
      <alignment horizontal="center"/>
    </xf>
    <xf numFmtId="1" fontId="22" fillId="0" borderId="8" xfId="0" applyNumberFormat="1" applyFont="1" applyBorder="1" applyAlignment="1">
      <alignment horizontal="center"/>
    </xf>
    <xf numFmtId="2" fontId="0" fillId="15" borderId="35" xfId="12" applyNumberFormat="1" applyFont="1" applyAlignment="1">
      <alignment horizontal="center"/>
    </xf>
    <xf numFmtId="170" fontId="0" fillId="15" borderId="35" xfId="12" applyNumberFormat="1" applyFont="1" applyAlignment="1">
      <alignment horizontal="center"/>
    </xf>
    <xf numFmtId="0" fontId="39" fillId="15" borderId="35" xfId="12" applyFont="1"/>
    <xf numFmtId="2" fontId="0" fillId="15" borderId="69" xfId="12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165" fontId="0" fillId="0" borderId="10" xfId="0" applyNumberFormat="1" applyBorder="1" applyAlignment="1">
      <alignment horizontal="center"/>
    </xf>
    <xf numFmtId="0" fontId="22" fillId="0" borderId="70" xfId="0" applyFont="1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10" fontId="22" fillId="0" borderId="72" xfId="8" applyNumberFormat="1" applyFont="1" applyBorder="1" applyAlignment="1">
      <alignment horizontal="center" vertical="center"/>
    </xf>
    <xf numFmtId="164" fontId="0" fillId="0" borderId="0" xfId="0" applyNumberFormat="1"/>
    <xf numFmtId="0" fontId="0" fillId="0" borderId="9" xfId="0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70" fontId="0" fillId="0" borderId="9" xfId="8" applyNumberFormat="1" applyFont="1" applyBorder="1" applyAlignment="1">
      <alignment horizontal="center"/>
    </xf>
    <xf numFmtId="170" fontId="0" fillId="0" borderId="10" xfId="8" applyNumberFormat="1" applyFont="1" applyBorder="1" applyAlignment="1">
      <alignment horizontal="center"/>
    </xf>
    <xf numFmtId="170" fontId="0" fillId="0" borderId="11" xfId="8" applyNumberFormat="1" applyFont="1" applyBorder="1" applyAlignment="1">
      <alignment horizontal="center"/>
    </xf>
    <xf numFmtId="1" fontId="22" fillId="0" borderId="10" xfId="0" applyNumberFormat="1" applyFont="1" applyBorder="1" applyAlignment="1">
      <alignment horizontal="center"/>
    </xf>
    <xf numFmtId="1" fontId="22" fillId="0" borderId="11" xfId="0" applyNumberFormat="1" applyFont="1" applyBorder="1" applyAlignment="1">
      <alignment horizontal="center"/>
    </xf>
    <xf numFmtId="170" fontId="0" fillId="0" borderId="0" xfId="8" applyNumberFormat="1" applyFont="1" applyAlignment="1">
      <alignment horizontal="center"/>
    </xf>
    <xf numFmtId="10" fontId="0" fillId="0" borderId="0" xfId="8" applyNumberFormat="1" applyFont="1" applyBorder="1" applyAlignment="1">
      <alignment horizontal="center" vertical="center"/>
    </xf>
    <xf numFmtId="10" fontId="0" fillId="0" borderId="0" xfId="8" applyNumberFormat="1" applyFont="1" applyAlignment="1">
      <alignment horizontal="center" vertical="center"/>
    </xf>
    <xf numFmtId="170" fontId="0" fillId="0" borderId="0" xfId="8" applyNumberFormat="1" applyFont="1"/>
    <xf numFmtId="0" fontId="0" fillId="0" borderId="73" xfId="0" applyBorder="1"/>
    <xf numFmtId="0" fontId="0" fillId="0" borderId="74" xfId="0" applyBorder="1" applyAlignment="1">
      <alignment horizontal="left"/>
    </xf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0" xfId="0" applyAlignment="1">
      <alignment horizontal="left"/>
    </xf>
    <xf numFmtId="0" fontId="0" fillId="0" borderId="76" xfId="0" applyBorder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78" xfId="0" applyBorder="1"/>
    <xf numFmtId="170" fontId="0" fillId="0" borderId="79" xfId="8" applyNumberFormat="1" applyFont="1" applyBorder="1" applyAlignment="1">
      <alignment horizontal="left"/>
    </xf>
    <xf numFmtId="0" fontId="0" fillId="0" borderId="79" xfId="0" applyBorder="1"/>
    <xf numFmtId="0" fontId="0" fillId="0" borderId="80" xfId="0" applyBorder="1"/>
    <xf numFmtId="0" fontId="43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170" fontId="0" fillId="0" borderId="0" xfId="8" applyNumberFormat="1" applyFont="1" applyAlignment="1">
      <alignment horizontal="left"/>
    </xf>
    <xf numFmtId="170" fontId="0" fillId="0" borderId="0" xfId="0" applyNumberFormat="1" applyAlignment="1">
      <alignment horizontal="left"/>
    </xf>
    <xf numFmtId="170" fontId="0" fillId="0" borderId="72" xfId="8" applyNumberFormat="1" applyFont="1" applyBorder="1" applyAlignment="1">
      <alignment horizontal="left"/>
    </xf>
    <xf numFmtId="170" fontId="0" fillId="0" borderId="0" xfId="0" applyNumberFormat="1"/>
    <xf numFmtId="1" fontId="42" fillId="5" borderId="2" xfId="11" applyNumberFormat="1" applyFont="1" applyAlignment="1">
      <alignment horizontal="center" vertical="center"/>
    </xf>
    <xf numFmtId="0" fontId="22" fillId="0" borderId="17" xfId="0" applyFont="1" applyBorder="1" applyAlignment="1">
      <alignment vertical="center"/>
    </xf>
    <xf numFmtId="165" fontId="37" fillId="14" borderId="68" xfId="9" applyNumberFormat="1" applyBorder="1" applyAlignment="1">
      <alignment horizontal="center"/>
    </xf>
    <xf numFmtId="165" fontId="37" fillId="14" borderId="35" xfId="9" applyNumberFormat="1" applyBorder="1" applyAlignment="1">
      <alignment horizontal="center"/>
    </xf>
    <xf numFmtId="170" fontId="37" fillId="14" borderId="35" xfId="9" applyNumberFormat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4" xfId="0" applyBorder="1" applyAlignment="1">
      <alignment vertical="center"/>
    </xf>
    <xf numFmtId="0" fontId="0" fillId="0" borderId="81" xfId="0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85" xfId="0" applyBorder="1" applyAlignment="1">
      <alignment vertical="center"/>
    </xf>
    <xf numFmtId="1" fontId="0" fillId="0" borderId="34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44" fillId="0" borderId="0" xfId="0" applyFont="1" applyAlignment="1">
      <alignment vertical="top" wrapText="1"/>
    </xf>
    <xf numFmtId="164" fontId="20" fillId="2" borderId="1" xfId="3" applyNumberFormat="1"/>
    <xf numFmtId="0" fontId="29" fillId="0" borderId="82" xfId="0" applyFont="1" applyBorder="1" applyAlignment="1">
      <alignment vertical="center"/>
    </xf>
    <xf numFmtId="0" fontId="29" fillId="0" borderId="83" xfId="0" applyFont="1" applyBorder="1" applyAlignment="1">
      <alignment vertical="center"/>
    </xf>
    <xf numFmtId="0" fontId="30" fillId="0" borderId="6" xfId="0" applyFont="1" applyBorder="1" applyAlignment="1">
      <alignment horizontal="right"/>
    </xf>
    <xf numFmtId="0" fontId="30" fillId="0" borderId="5" xfId="0" applyFont="1" applyBorder="1"/>
    <xf numFmtId="0" fontId="46" fillId="0" borderId="0" xfId="0" applyFont="1" applyAlignment="1">
      <alignment horizontal="left"/>
    </xf>
    <xf numFmtId="2" fontId="23" fillId="0" borderId="34" xfId="6" applyNumberFormat="1" applyBorder="1" applyAlignment="1">
      <alignment horizontal="center"/>
    </xf>
    <xf numFmtId="0" fontId="47" fillId="0" borderId="0" xfId="0" applyFont="1" applyAlignment="1">
      <alignment vertical="top" wrapText="1"/>
    </xf>
    <xf numFmtId="0" fontId="0" fillId="0" borderId="0" xfId="0" applyAlignment="1">
      <alignment vertical="top"/>
    </xf>
    <xf numFmtId="165" fontId="39" fillId="3" borderId="35" xfId="5" applyNumberFormat="1" applyFont="1" applyAlignment="1">
      <alignment horizontal="center" vertical="center"/>
    </xf>
    <xf numFmtId="0" fontId="22" fillId="0" borderId="85" xfId="0" applyFont="1" applyBorder="1"/>
    <xf numFmtId="0" fontId="0" fillId="0" borderId="7" xfId="0" applyBorder="1" applyAlignment="1">
      <alignment vertical="center" wrapText="1"/>
    </xf>
    <xf numFmtId="1" fontId="31" fillId="0" borderId="0" xfId="0" applyNumberFormat="1" applyFont="1" applyAlignment="1">
      <alignment horizontal="center"/>
    </xf>
    <xf numFmtId="0" fontId="49" fillId="0" borderId="0" xfId="0" applyFont="1"/>
    <xf numFmtId="171" fontId="19" fillId="17" borderId="2" xfId="2" applyNumberFormat="1"/>
    <xf numFmtId="164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22" fillId="0" borderId="3" xfId="0" applyFont="1" applyBorder="1"/>
    <xf numFmtId="1" fontId="0" fillId="0" borderId="3" xfId="0" applyNumberFormat="1" applyBorder="1" applyAlignment="1">
      <alignment horizontal="center"/>
    </xf>
    <xf numFmtId="0" fontId="30" fillId="0" borderId="0" xfId="0" applyFont="1" applyAlignment="1">
      <alignment vertical="top"/>
    </xf>
    <xf numFmtId="0" fontId="30" fillId="6" borderId="10" xfId="0" applyFont="1" applyFill="1" applyBorder="1" applyAlignment="1">
      <alignment vertical="center"/>
    </xf>
    <xf numFmtId="0" fontId="0" fillId="5" borderId="0" xfId="0" applyFill="1" applyAlignment="1">
      <alignment vertical="center"/>
    </xf>
    <xf numFmtId="0" fontId="0" fillId="6" borderId="9" xfId="0" applyFill="1" applyBorder="1" applyAlignment="1">
      <alignment vertical="center"/>
    </xf>
    <xf numFmtId="0" fontId="0" fillId="6" borderId="10" xfId="0" applyFill="1" applyBorder="1" applyAlignment="1">
      <alignment vertical="center"/>
    </xf>
    <xf numFmtId="0" fontId="0" fillId="6" borderId="11" xfId="0" applyFill="1" applyBorder="1" applyAlignment="1">
      <alignment vertical="center"/>
    </xf>
    <xf numFmtId="0" fontId="0" fillId="10" borderId="0" xfId="0" applyFill="1"/>
    <xf numFmtId="165" fontId="0" fillId="0" borderId="89" xfId="0" applyNumberFormat="1" applyBorder="1" applyAlignment="1">
      <alignment horizontal="center"/>
    </xf>
    <xf numFmtId="165" fontId="0" fillId="0" borderId="75" xfId="0" applyNumberFormat="1" applyBorder="1" applyAlignment="1">
      <alignment horizontal="center"/>
    </xf>
    <xf numFmtId="165" fontId="0" fillId="0" borderId="77" xfId="0" applyNumberFormat="1" applyBorder="1" applyAlignment="1">
      <alignment horizontal="center"/>
    </xf>
    <xf numFmtId="0" fontId="0" fillId="0" borderId="90" xfId="0" applyBorder="1"/>
    <xf numFmtId="165" fontId="0" fillId="0" borderId="91" xfId="0" applyNumberFormat="1" applyBorder="1" applyAlignment="1">
      <alignment horizontal="center"/>
    </xf>
    <xf numFmtId="165" fontId="0" fillId="0" borderId="92" xfId="0" applyNumberFormat="1" applyBorder="1" applyAlignment="1">
      <alignment horizontal="center"/>
    </xf>
    <xf numFmtId="165" fontId="0" fillId="0" borderId="80" xfId="0" applyNumberFormat="1" applyBorder="1" applyAlignment="1">
      <alignment horizontal="center"/>
    </xf>
    <xf numFmtId="0" fontId="0" fillId="10" borderId="72" xfId="0" applyFill="1" applyBorder="1"/>
    <xf numFmtId="165" fontId="19" fillId="17" borderId="93" xfId="2" applyNumberFormat="1" applyBorder="1"/>
    <xf numFmtId="165" fontId="49" fillId="10" borderId="72" xfId="0" applyNumberFormat="1" applyFont="1" applyFill="1" applyBorder="1"/>
    <xf numFmtId="0" fontId="22" fillId="0" borderId="0" xfId="0" applyFont="1" applyAlignment="1">
      <alignment horizontal="right"/>
    </xf>
    <xf numFmtId="165" fontId="22" fillId="0" borderId="8" xfId="0" applyNumberFormat="1" applyFont="1" applyBorder="1" applyAlignment="1">
      <alignment horizontal="center"/>
    </xf>
    <xf numFmtId="1" fontId="0" fillId="10" borderId="0" xfId="0" applyNumberFormat="1" applyFill="1" applyAlignment="1">
      <alignment horizontal="center"/>
    </xf>
    <xf numFmtId="1" fontId="22" fillId="10" borderId="0" xfId="0" applyNumberFormat="1" applyFont="1" applyFill="1" applyAlignment="1">
      <alignment horizontal="center"/>
    </xf>
    <xf numFmtId="0" fontId="51" fillId="10" borderId="0" xfId="0" applyFont="1" applyFill="1" applyAlignment="1">
      <alignment horizontal="center"/>
    </xf>
    <xf numFmtId="0" fontId="0" fillId="18" borderId="72" xfId="0" applyFill="1" applyBorder="1"/>
    <xf numFmtId="0" fontId="22" fillId="0" borderId="73" xfId="0" applyFont="1" applyBorder="1"/>
    <xf numFmtId="1" fontId="0" fillId="0" borderId="76" xfId="0" applyNumberFormat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78" xfId="0" applyNumberFormat="1" applyBorder="1" applyAlignment="1">
      <alignment horizontal="center"/>
    </xf>
    <xf numFmtId="1" fontId="0" fillId="0" borderId="92" xfId="0" applyNumberFormat="1" applyBorder="1" applyAlignment="1">
      <alignment horizontal="center"/>
    </xf>
    <xf numFmtId="165" fontId="0" fillId="0" borderId="76" xfId="0" applyNumberFormat="1" applyBorder="1"/>
    <xf numFmtId="165" fontId="0" fillId="0" borderId="77" xfId="0" applyNumberFormat="1" applyBorder="1"/>
    <xf numFmtId="165" fontId="0" fillId="0" borderId="78" xfId="0" applyNumberFormat="1" applyBorder="1"/>
    <xf numFmtId="165" fontId="0" fillId="0" borderId="79" xfId="0" applyNumberFormat="1" applyBorder="1"/>
    <xf numFmtId="165" fontId="0" fillId="0" borderId="80" xfId="0" applyNumberFormat="1" applyBorder="1"/>
    <xf numFmtId="171" fontId="0" fillId="0" borderId="0" xfId="0" applyNumberFormat="1"/>
    <xf numFmtId="2" fontId="0" fillId="0" borderId="0" xfId="0" applyNumberFormat="1"/>
    <xf numFmtId="1" fontId="18" fillId="10" borderId="21" xfId="1" applyNumberFormat="1" applyFill="1" applyBorder="1" applyAlignment="1">
      <alignment horizontal="center"/>
    </xf>
    <xf numFmtId="0" fontId="53" fillId="0" borderId="0" xfId="0" applyFont="1" applyAlignment="1">
      <alignment horizontal="right"/>
    </xf>
    <xf numFmtId="0" fontId="53" fillId="0" borderId="0" xfId="0" applyFont="1"/>
    <xf numFmtId="165" fontId="54" fillId="0" borderId="8" xfId="0" applyNumberFormat="1" applyFont="1" applyBorder="1" applyAlignment="1">
      <alignment horizontal="center"/>
    </xf>
    <xf numFmtId="0" fontId="53" fillId="0" borderId="8" xfId="0" applyFont="1" applyBorder="1"/>
    <xf numFmtId="0" fontId="0" fillId="0" borderId="89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00" xfId="0" applyBorder="1"/>
    <xf numFmtId="165" fontId="0" fillId="0" borderId="101" xfId="0" applyNumberFormat="1" applyBorder="1" applyAlignment="1">
      <alignment horizontal="center"/>
    </xf>
    <xf numFmtId="0" fontId="0" fillId="4" borderId="73" xfId="0" applyFill="1" applyBorder="1"/>
    <xf numFmtId="0" fontId="0" fillId="4" borderId="74" xfId="0" applyFill="1" applyBorder="1"/>
    <xf numFmtId="0" fontId="0" fillId="0" borderId="73" xfId="0" applyBorder="1" applyAlignment="1">
      <alignment horizontal="left"/>
    </xf>
    <xf numFmtId="0" fontId="0" fillId="0" borderId="74" xfId="0" applyBorder="1" applyAlignment="1">
      <alignment horizontal="center"/>
    </xf>
    <xf numFmtId="0" fontId="0" fillId="19" borderId="73" xfId="0" applyFill="1" applyBorder="1" applyAlignment="1">
      <alignment horizontal="center"/>
    </xf>
    <xf numFmtId="0" fontId="0" fillId="19" borderId="75" xfId="0" applyFill="1" applyBorder="1" applyAlignment="1">
      <alignment horizontal="center"/>
    </xf>
    <xf numFmtId="0" fontId="0" fillId="20" borderId="74" xfId="0" applyFill="1" applyBorder="1" applyAlignment="1">
      <alignment horizontal="left"/>
    </xf>
    <xf numFmtId="0" fontId="0" fillId="20" borderId="74" xfId="0" applyFill="1" applyBorder="1" applyAlignment="1">
      <alignment horizontal="center"/>
    </xf>
    <xf numFmtId="0" fontId="55" fillId="19" borderId="76" xfId="0" applyFont="1" applyFill="1" applyBorder="1" applyAlignment="1">
      <alignment horizontal="center" wrapText="1"/>
    </xf>
    <xf numFmtId="0" fontId="55" fillId="19" borderId="77" xfId="0" applyFont="1" applyFill="1" applyBorder="1" applyAlignment="1">
      <alignment horizontal="center" wrapText="1"/>
    </xf>
    <xf numFmtId="0" fontId="55" fillId="20" borderId="0" xfId="0" applyFont="1" applyFill="1" applyAlignment="1">
      <alignment horizontal="center" wrapText="1"/>
    </xf>
    <xf numFmtId="0" fontId="0" fillId="0" borderId="98" xfId="0" applyBorder="1" applyAlignment="1">
      <alignment wrapText="1"/>
    </xf>
    <xf numFmtId="0" fontId="0" fillId="21" borderId="3" xfId="0" applyFill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56" fillId="19" borderId="76" xfId="0" applyFont="1" applyFill="1" applyBorder="1" applyAlignment="1">
      <alignment horizontal="center" wrapText="1"/>
    </xf>
    <xf numFmtId="0" fontId="56" fillId="19" borderId="77" xfId="0" applyFont="1" applyFill="1" applyBorder="1" applyAlignment="1">
      <alignment horizontal="center" wrapText="1"/>
    </xf>
    <xf numFmtId="0" fontId="57" fillId="20" borderId="0" xfId="0" applyFont="1" applyFill="1" applyAlignment="1">
      <alignment horizontal="center" wrapText="1"/>
    </xf>
    <xf numFmtId="0" fontId="0" fillId="0" borderId="98" xfId="0" applyBorder="1" applyAlignment="1">
      <alignment horizontal="center"/>
    </xf>
    <xf numFmtId="0" fontId="0" fillId="21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5" xfId="0" applyBorder="1" applyAlignment="1">
      <alignment horizontal="center"/>
    </xf>
    <xf numFmtId="0" fontId="58" fillId="19" borderId="76" xfId="0" applyFont="1" applyFill="1" applyBorder="1" applyAlignment="1">
      <alignment horizontal="center"/>
    </xf>
    <xf numFmtId="0" fontId="58" fillId="19" borderId="77" xfId="0" applyFont="1" applyFill="1" applyBorder="1" applyAlignment="1">
      <alignment horizontal="center"/>
    </xf>
    <xf numFmtId="0" fontId="0" fillId="20" borderId="0" xfId="0" applyFill="1" applyAlignment="1">
      <alignment horizontal="center"/>
    </xf>
    <xf numFmtId="0" fontId="59" fillId="20" borderId="0" xfId="0" applyFont="1" applyFill="1" applyAlignment="1">
      <alignment horizontal="center"/>
    </xf>
    <xf numFmtId="165" fontId="59" fillId="20" borderId="0" xfId="0" applyNumberFormat="1" applyFont="1" applyFill="1" applyAlignment="1">
      <alignment horizontal="center"/>
    </xf>
    <xf numFmtId="0" fontId="0" fillId="0" borderId="102" xfId="0" applyBorder="1" applyAlignment="1">
      <alignment horizontal="center"/>
    </xf>
    <xf numFmtId="0" fontId="0" fillId="21" borderId="12" xfId="0" applyFill="1" applyBorder="1" applyAlignment="1">
      <alignment horizontal="center"/>
    </xf>
    <xf numFmtId="0" fontId="0" fillId="0" borderId="103" xfId="0" applyBorder="1" applyAlignment="1">
      <alignment horizontal="center"/>
    </xf>
    <xf numFmtId="0" fontId="0" fillId="21" borderId="104" xfId="0" applyFill="1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105" xfId="0" applyBorder="1" applyAlignment="1">
      <alignment horizontal="center"/>
    </xf>
    <xf numFmtId="0" fontId="58" fillId="19" borderId="78" xfId="0" applyFont="1" applyFill="1" applyBorder="1" applyAlignment="1">
      <alignment horizontal="center"/>
    </xf>
    <xf numFmtId="0" fontId="58" fillId="19" borderId="80" xfId="0" applyFont="1" applyFill="1" applyBorder="1" applyAlignment="1">
      <alignment horizontal="center"/>
    </xf>
    <xf numFmtId="0" fontId="59" fillId="20" borderId="79" xfId="0" applyFont="1" applyFill="1" applyBorder="1" applyAlignment="1">
      <alignment horizontal="center"/>
    </xf>
    <xf numFmtId="0" fontId="0" fillId="0" borderId="106" xfId="0" applyBorder="1" applyAlignment="1">
      <alignment horizontal="left"/>
    </xf>
    <xf numFmtId="0" fontId="0" fillId="0" borderId="107" xfId="0" applyBorder="1"/>
    <xf numFmtId="0" fontId="0" fillId="0" borderId="108" xfId="0" applyBorder="1"/>
    <xf numFmtId="0" fontId="18" fillId="22" borderId="1" xfId="13" applyAlignment="1">
      <alignment horizontal="left"/>
    </xf>
    <xf numFmtId="0" fontId="0" fillId="0" borderId="77" xfId="0" applyBorder="1"/>
    <xf numFmtId="165" fontId="18" fillId="22" borderId="1" xfId="13" applyNumberFormat="1" applyAlignment="1">
      <alignment horizontal="left"/>
    </xf>
    <xf numFmtId="2" fontId="0" fillId="0" borderId="72" xfId="0" applyNumberFormat="1" applyBorder="1" applyAlignment="1">
      <alignment horizontal="center"/>
    </xf>
    <xf numFmtId="1" fontId="0" fillId="0" borderId="0" xfId="0" applyNumberFormat="1" applyAlignment="1">
      <alignment horizontal="left"/>
    </xf>
    <xf numFmtId="0" fontId="0" fillId="0" borderId="77" xfId="0" quotePrefix="1" applyBorder="1"/>
    <xf numFmtId="0" fontId="0" fillId="0" borderId="78" xfId="0" applyBorder="1" applyAlignment="1">
      <alignment horizontal="left"/>
    </xf>
    <xf numFmtId="165" fontId="0" fillId="0" borderId="79" xfId="0" applyNumberFormat="1" applyBorder="1" applyAlignment="1">
      <alignment horizontal="left"/>
    </xf>
    <xf numFmtId="0" fontId="0" fillId="0" borderId="90" xfId="0" applyBorder="1" applyAlignment="1">
      <alignment horizontal="left"/>
    </xf>
    <xf numFmtId="0" fontId="0" fillId="0" borderId="107" xfId="0" applyBorder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left"/>
    </xf>
    <xf numFmtId="0" fontId="0" fillId="0" borderId="80" xfId="0" quotePrefix="1" applyBorder="1"/>
    <xf numFmtId="2" fontId="0" fillId="0" borderId="0" xfId="0" applyNumberFormat="1" applyAlignment="1">
      <alignment horizontal="left"/>
    </xf>
    <xf numFmtId="1" fontId="0" fillId="0" borderId="79" xfId="0" applyNumberFormat="1" applyBorder="1" applyAlignment="1">
      <alignment horizontal="center"/>
    </xf>
    <xf numFmtId="165" fontId="0" fillId="0" borderId="79" xfId="0" applyNumberFormat="1" applyBorder="1" applyAlignment="1">
      <alignment horizontal="center"/>
    </xf>
    <xf numFmtId="164" fontId="0" fillId="0" borderId="72" xfId="0" applyNumberFormat="1" applyBorder="1" applyAlignment="1">
      <alignment horizontal="center"/>
    </xf>
    <xf numFmtId="10" fontId="0" fillId="0" borderId="0" xfId="8" applyNumberFormat="1" applyFont="1" applyBorder="1"/>
    <xf numFmtId="164" fontId="0" fillId="0" borderId="76" xfId="0" applyNumberFormat="1" applyBorder="1"/>
    <xf numFmtId="0" fontId="0" fillId="6" borderId="4" xfId="0" applyFill="1" applyBorder="1"/>
    <xf numFmtId="0" fontId="0" fillId="6" borderId="5" xfId="0" applyFill="1" applyBorder="1"/>
    <xf numFmtId="0" fontId="0" fillId="6" borderId="6" xfId="0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9" xfId="0" applyFill="1" applyBorder="1"/>
    <xf numFmtId="0" fontId="29" fillId="6" borderId="0" xfId="0" applyFont="1" applyFill="1"/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  <xf numFmtId="0" fontId="31" fillId="6" borderId="0" xfId="0" applyFont="1" applyFill="1"/>
    <xf numFmtId="0" fontId="50" fillId="0" borderId="0" xfId="0" applyFont="1"/>
    <xf numFmtId="0" fontId="31" fillId="0" borderId="0" xfId="0" applyFont="1"/>
    <xf numFmtId="0" fontId="0" fillId="10" borderId="79" xfId="0" applyFill="1" applyBorder="1" applyAlignment="1">
      <alignment horizontal="center"/>
    </xf>
    <xf numFmtId="0" fontId="23" fillId="0" borderId="79" xfId="0" applyFont="1" applyBorder="1" applyAlignment="1">
      <alignment horizontal="center"/>
    </xf>
    <xf numFmtId="0" fontId="23" fillId="0" borderId="109" xfId="0" applyFont="1" applyBorder="1"/>
    <xf numFmtId="0" fontId="60" fillId="0" borderId="92" xfId="0" applyFont="1" applyBorder="1" applyAlignment="1">
      <alignment horizontal="center" wrapText="1"/>
    </xf>
    <xf numFmtId="0" fontId="60" fillId="0" borderId="79" xfId="0" applyFont="1" applyBorder="1" applyAlignment="1">
      <alignment horizontal="center" wrapText="1"/>
    </xf>
    <xf numFmtId="0" fontId="60" fillId="0" borderId="109" xfId="0" applyFont="1" applyBorder="1" applyAlignment="1">
      <alignment horizontal="center" wrapText="1"/>
    </xf>
    <xf numFmtId="9" fontId="23" fillId="0" borderId="8" xfId="0" applyNumberFormat="1" applyFont="1" applyBorder="1" applyAlignment="1">
      <alignment horizontal="center"/>
    </xf>
    <xf numFmtId="165" fontId="23" fillId="0" borderId="7" xfId="0" applyNumberFormat="1" applyFont="1" applyBorder="1" applyAlignment="1">
      <alignment horizontal="center"/>
    </xf>
    <xf numFmtId="2" fontId="23" fillId="0" borderId="8" xfId="0" applyNumberFormat="1" applyFont="1" applyBorder="1" applyAlignment="1">
      <alignment horizontal="center"/>
    </xf>
    <xf numFmtId="170" fontId="23" fillId="0" borderId="0" xfId="8" applyNumberFormat="1" applyFont="1" applyFill="1" applyBorder="1" applyAlignment="1">
      <alignment horizontal="center"/>
    </xf>
    <xf numFmtId="170" fontId="23" fillId="0" borderId="0" xfId="8" applyNumberFormat="1" applyFont="1" applyBorder="1" applyAlignment="1">
      <alignment horizontal="center"/>
    </xf>
    <xf numFmtId="170" fontId="22" fillId="0" borderId="110" xfId="8" applyNumberFormat="1" applyFont="1" applyBorder="1" applyAlignment="1">
      <alignment horizontal="center"/>
    </xf>
    <xf numFmtId="170" fontId="22" fillId="0" borderId="111" xfId="8" applyNumberFormat="1" applyFont="1" applyBorder="1" applyAlignment="1">
      <alignment horizontal="center"/>
    </xf>
    <xf numFmtId="170" fontId="22" fillId="0" borderId="112" xfId="8" applyNumberFormat="1" applyFont="1" applyBorder="1" applyAlignment="1">
      <alignment horizontal="center"/>
    </xf>
    <xf numFmtId="0" fontId="23" fillId="0" borderId="78" xfId="0" applyFont="1" applyBorder="1" applyAlignment="1">
      <alignment horizontal="center"/>
    </xf>
    <xf numFmtId="0" fontId="60" fillId="0" borderId="80" xfId="0" applyFont="1" applyBorder="1" applyAlignment="1">
      <alignment horizontal="center" wrapText="1"/>
    </xf>
    <xf numFmtId="0" fontId="23" fillId="0" borderId="76" xfId="0" applyFont="1" applyBorder="1" applyAlignment="1">
      <alignment horizontal="center"/>
    </xf>
    <xf numFmtId="1" fontId="23" fillId="0" borderId="0" xfId="0" applyNumberFormat="1" applyFont="1" applyAlignment="1">
      <alignment horizontal="center"/>
    </xf>
    <xf numFmtId="165" fontId="23" fillId="0" borderId="0" xfId="0" applyNumberFormat="1" applyFont="1" applyAlignment="1">
      <alignment horizontal="center"/>
    </xf>
    <xf numFmtId="9" fontId="23" fillId="0" borderId="109" xfId="0" applyNumberFormat="1" applyFont="1" applyBorder="1" applyAlignment="1">
      <alignment horizontal="center"/>
    </xf>
    <xf numFmtId="165" fontId="23" fillId="0" borderId="92" xfId="0" applyNumberFormat="1" applyFont="1" applyBorder="1" applyAlignment="1">
      <alignment horizontal="center"/>
    </xf>
    <xf numFmtId="165" fontId="23" fillId="0" borderId="79" xfId="0" applyNumberFormat="1" applyFont="1" applyBorder="1" applyAlignment="1">
      <alignment horizontal="center"/>
    </xf>
    <xf numFmtId="2" fontId="23" fillId="0" borderId="109" xfId="0" applyNumberFormat="1" applyFont="1" applyBorder="1" applyAlignment="1">
      <alignment horizontal="center"/>
    </xf>
    <xf numFmtId="170" fontId="23" fillId="0" borderId="92" xfId="8" applyNumberFormat="1" applyFont="1" applyFill="1" applyBorder="1" applyAlignment="1">
      <alignment horizontal="center"/>
    </xf>
    <xf numFmtId="170" fontId="23" fillId="0" borderId="79" xfId="8" applyNumberFormat="1" applyFont="1" applyBorder="1" applyAlignment="1">
      <alignment horizontal="center"/>
    </xf>
    <xf numFmtId="0" fontId="54" fillId="0" borderId="0" xfId="0" applyFont="1"/>
    <xf numFmtId="9" fontId="54" fillId="21" borderId="72" xfId="8" applyFont="1" applyFill="1" applyBorder="1"/>
    <xf numFmtId="0" fontId="23" fillId="0" borderId="78" xfId="0" applyFont="1" applyBorder="1" applyAlignment="1">
      <alignment horizontal="center" wrapText="1"/>
    </xf>
    <xf numFmtId="170" fontId="22" fillId="21" borderId="72" xfId="8" applyNumberFormat="1" applyFont="1" applyFill="1" applyBorder="1"/>
    <xf numFmtId="0" fontId="24" fillId="0" borderId="34" xfId="0" applyFont="1" applyBorder="1"/>
    <xf numFmtId="0" fontId="24" fillId="0" borderId="0" xfId="0" applyFont="1"/>
    <xf numFmtId="1" fontId="51" fillId="10" borderId="0" xfId="0" applyNumberFormat="1" applyFont="1" applyFill="1" applyAlignment="1">
      <alignment horizontal="center"/>
    </xf>
    <xf numFmtId="0" fontId="0" fillId="10" borderId="79" xfId="0" applyFill="1" applyBorder="1" applyAlignment="1">
      <alignment horizontal="left"/>
    </xf>
    <xf numFmtId="0" fontId="0" fillId="0" borderId="79" xfId="0" applyBorder="1" applyAlignment="1">
      <alignment horizontal="center"/>
    </xf>
    <xf numFmtId="0" fontId="0" fillId="0" borderId="79" xfId="0" applyBorder="1" applyAlignment="1">
      <alignment horizontal="left"/>
    </xf>
    <xf numFmtId="0" fontId="21" fillId="0" borderId="73" xfId="4" applyBorder="1" applyAlignment="1">
      <alignment horizontal="center"/>
    </xf>
    <xf numFmtId="0" fontId="21" fillId="0" borderId="74" xfId="4" applyBorder="1" applyAlignment="1">
      <alignment horizontal="center"/>
    </xf>
    <xf numFmtId="0" fontId="21" fillId="0" borderId="89" xfId="4" applyBorder="1" applyAlignment="1">
      <alignment horizontal="center"/>
    </xf>
    <xf numFmtId="0" fontId="21" fillId="0" borderId="113" xfId="4" applyBorder="1" applyAlignment="1">
      <alignment horizontal="center"/>
    </xf>
    <xf numFmtId="0" fontId="21" fillId="0" borderId="75" xfId="4" applyBorder="1" applyAlignment="1">
      <alignment horizontal="center"/>
    </xf>
    <xf numFmtId="0" fontId="21" fillId="0" borderId="90" xfId="4" applyBorder="1" applyAlignment="1">
      <alignment horizontal="center"/>
    </xf>
    <xf numFmtId="0" fontId="21" fillId="0" borderId="91" xfId="4" applyBorder="1" applyAlignment="1">
      <alignment horizontal="center"/>
    </xf>
    <xf numFmtId="165" fontId="21" fillId="0" borderId="76" xfId="4" applyNumberFormat="1" applyBorder="1" applyAlignment="1">
      <alignment horizontal="center"/>
    </xf>
    <xf numFmtId="165" fontId="21" fillId="0" borderId="77" xfId="4" applyNumberFormat="1" applyBorder="1" applyAlignment="1">
      <alignment horizontal="center"/>
    </xf>
    <xf numFmtId="165" fontId="21" fillId="0" borderId="78" xfId="4" applyNumberFormat="1" applyBorder="1" applyAlignment="1">
      <alignment horizontal="center"/>
    </xf>
    <xf numFmtId="165" fontId="21" fillId="0" borderId="79" xfId="4" applyNumberFormat="1" applyBorder="1" applyAlignment="1">
      <alignment horizontal="center"/>
    </xf>
    <xf numFmtId="165" fontId="21" fillId="0" borderId="92" xfId="4" applyNumberFormat="1" applyBorder="1" applyAlignment="1">
      <alignment horizontal="center"/>
    </xf>
    <xf numFmtId="165" fontId="21" fillId="0" borderId="109" xfId="4" applyNumberFormat="1" applyBorder="1" applyAlignment="1">
      <alignment horizontal="center"/>
    </xf>
    <xf numFmtId="165" fontId="21" fillId="0" borderId="80" xfId="4" applyNumberFormat="1" applyBorder="1" applyAlignment="1">
      <alignment horizontal="center"/>
    </xf>
    <xf numFmtId="1" fontId="24" fillId="0" borderId="34" xfId="0" applyNumberFormat="1" applyFont="1" applyBorder="1" applyAlignment="1">
      <alignment horizontal="center"/>
    </xf>
    <xf numFmtId="0" fontId="28" fillId="6" borderId="0" xfId="0" applyFont="1" applyFill="1" applyAlignment="1">
      <alignment horizontal="left" wrapText="1"/>
    </xf>
    <xf numFmtId="0" fontId="61" fillId="23" borderId="0" xfId="14"/>
    <xf numFmtId="0" fontId="30" fillId="6" borderId="11" xfId="0" applyFont="1" applyFill="1" applyBorder="1" applyAlignment="1">
      <alignment horizontal="right"/>
    </xf>
    <xf numFmtId="2" fontId="0" fillId="6" borderId="5" xfId="0" applyNumberFormat="1" applyFill="1" applyBorder="1" applyAlignment="1">
      <alignment horizontal="right"/>
    </xf>
    <xf numFmtId="0" fontId="0" fillId="0" borderId="5" xfId="0" quotePrefix="1" applyBorder="1"/>
    <xf numFmtId="0" fontId="0" fillId="0" borderId="10" xfId="0" quotePrefix="1" applyBorder="1"/>
    <xf numFmtId="0" fontId="0" fillId="15" borderId="35" xfId="12" applyFont="1"/>
    <xf numFmtId="2" fontId="0" fillId="0" borderId="0" xfId="0" applyNumberFormat="1" applyAlignment="1">
      <alignment vertical="top"/>
    </xf>
    <xf numFmtId="0" fontId="38" fillId="0" borderId="0" xfId="0" applyFont="1"/>
    <xf numFmtId="167" fontId="22" fillId="6" borderId="0" xfId="0" applyNumberFormat="1" applyFont="1" applyFill="1" applyAlignment="1">
      <alignment vertical="center"/>
    </xf>
    <xf numFmtId="167" fontId="0" fillId="6" borderId="0" xfId="0" applyNumberFormat="1" applyFill="1" applyAlignment="1">
      <alignment vertical="center" wrapText="1"/>
    </xf>
    <xf numFmtId="167" fontId="30" fillId="6" borderId="7" xfId="0" applyNumberFormat="1" applyFont="1" applyFill="1" applyBorder="1" applyAlignment="1">
      <alignment vertical="center"/>
    </xf>
    <xf numFmtId="1" fontId="18" fillId="22" borderId="1" xfId="13" applyNumberFormat="1" applyAlignment="1">
      <alignment horizontal="left"/>
    </xf>
    <xf numFmtId="0" fontId="0" fillId="0" borderId="7" xfId="0" applyBorder="1" applyAlignment="1">
      <alignment horizontal="center"/>
    </xf>
    <xf numFmtId="1" fontId="0" fillId="5" borderId="15" xfId="0" applyNumberFormat="1" applyFill="1" applyBorder="1" applyAlignment="1">
      <alignment horizontal="center"/>
    </xf>
    <xf numFmtId="1" fontId="0" fillId="5" borderId="16" xfId="0" applyNumberForma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1" fontId="0" fillId="0" borderId="77" xfId="0" applyNumberFormat="1" applyBorder="1" applyAlignment="1">
      <alignment horizontal="center"/>
    </xf>
    <xf numFmtId="1" fontId="0" fillId="0" borderId="80" xfId="0" applyNumberFormat="1" applyBorder="1" applyAlignment="1">
      <alignment horizontal="center"/>
    </xf>
    <xf numFmtId="0" fontId="0" fillId="0" borderId="109" xfId="0" applyBorder="1"/>
    <xf numFmtId="1" fontId="0" fillId="0" borderId="8" xfId="0" applyNumberFormat="1" applyBorder="1" applyAlignment="1">
      <alignment horizontal="center"/>
    </xf>
    <xf numFmtId="1" fontId="0" fillId="0" borderId="109" xfId="0" applyNumberFormat="1" applyBorder="1" applyAlignment="1">
      <alignment horizontal="center"/>
    </xf>
    <xf numFmtId="0" fontId="22" fillId="0" borderId="106" xfId="0" applyFont="1" applyBorder="1"/>
    <xf numFmtId="0" fontId="62" fillId="0" borderId="0" xfId="0" applyFont="1"/>
    <xf numFmtId="165" fontId="19" fillId="17" borderId="93" xfId="2" applyNumberFormat="1" applyBorder="1" applyAlignment="1">
      <alignment horizontal="center"/>
    </xf>
    <xf numFmtId="0" fontId="0" fillId="0" borderId="114" xfId="0" applyBorder="1" applyAlignment="1">
      <alignment horizontal="center"/>
    </xf>
    <xf numFmtId="171" fontId="0" fillId="0" borderId="71" xfId="0" applyNumberFormat="1" applyBorder="1" applyAlignment="1">
      <alignment horizontal="center"/>
    </xf>
    <xf numFmtId="2" fontId="0" fillId="0" borderId="115" xfId="0" applyNumberFormat="1" applyBorder="1" applyAlignment="1">
      <alignment horizontal="center"/>
    </xf>
    <xf numFmtId="2" fontId="0" fillId="0" borderId="116" xfId="0" applyNumberFormat="1" applyBorder="1" applyAlignment="1">
      <alignment horizontal="center"/>
    </xf>
    <xf numFmtId="2" fontId="0" fillId="0" borderId="117" xfId="0" applyNumberFormat="1" applyBorder="1" applyAlignment="1">
      <alignment horizontal="center"/>
    </xf>
    <xf numFmtId="0" fontId="0" fillId="0" borderId="71" xfId="0" applyBorder="1" applyAlignment="1">
      <alignment horizontal="center"/>
    </xf>
    <xf numFmtId="165" fontId="19" fillId="17" borderId="118" xfId="2" applyNumberFormat="1" applyBorder="1" applyAlignment="1">
      <alignment horizontal="center"/>
    </xf>
    <xf numFmtId="165" fontId="19" fillId="17" borderId="119" xfId="2" applyNumberFormat="1" applyBorder="1" applyAlignment="1">
      <alignment horizontal="center"/>
    </xf>
    <xf numFmtId="165" fontId="18" fillId="4" borderId="1" xfId="1" applyNumberFormat="1" applyAlignment="1">
      <alignment horizontal="center" vertical="center"/>
    </xf>
    <xf numFmtId="164" fontId="22" fillId="0" borderId="34" xfId="0" applyNumberFormat="1" applyFont="1" applyBorder="1" applyAlignment="1">
      <alignment horizontal="center"/>
    </xf>
    <xf numFmtId="1" fontId="49" fillId="4" borderId="1" xfId="1" applyNumberFormat="1" applyFont="1" applyAlignment="1">
      <alignment horizontal="center"/>
    </xf>
    <xf numFmtId="165" fontId="18" fillId="4" borderId="1" xfId="1" applyNumberFormat="1"/>
    <xf numFmtId="1" fontId="60" fillId="4" borderId="21" xfId="1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18" fillId="4" borderId="120" xfId="1" applyNumberFormat="1" applyBorder="1" applyAlignment="1">
      <alignment horizontal="center"/>
    </xf>
    <xf numFmtId="0" fontId="0" fillId="21" borderId="0" xfId="0" applyFill="1"/>
    <xf numFmtId="0" fontId="22" fillId="21" borderId="0" xfId="0" applyFont="1" applyFill="1"/>
    <xf numFmtId="1" fontId="0" fillId="0" borderId="0" xfId="0" quotePrefix="1" applyNumberFormat="1" applyAlignment="1">
      <alignment horizontal="center"/>
    </xf>
    <xf numFmtId="0" fontId="65" fillId="20" borderId="104" xfId="15" applyFont="1" applyFill="1" applyBorder="1" applyAlignment="1">
      <alignment wrapText="1"/>
    </xf>
    <xf numFmtId="0" fontId="65" fillId="24" borderId="104" xfId="15" applyFont="1" applyFill="1" applyBorder="1"/>
    <xf numFmtId="0" fontId="65" fillId="25" borderId="104" xfId="15" applyFont="1" applyFill="1" applyBorder="1"/>
    <xf numFmtId="0" fontId="65" fillId="26" borderId="104" xfId="15" applyFont="1" applyFill="1" applyBorder="1"/>
    <xf numFmtId="0" fontId="17" fillId="0" borderId="0" xfId="15"/>
    <xf numFmtId="0" fontId="17" fillId="20" borderId="3" xfId="15" applyFill="1" applyBorder="1" applyAlignment="1">
      <alignment wrapText="1"/>
    </xf>
    <xf numFmtId="0" fontId="17" fillId="24" borderId="3" xfId="15" applyFill="1" applyBorder="1"/>
    <xf numFmtId="0" fontId="17" fillId="26" borderId="3" xfId="15" applyFill="1" applyBorder="1"/>
    <xf numFmtId="0" fontId="17" fillId="24" borderId="3" xfId="15" applyFill="1" applyBorder="1" applyAlignment="1">
      <alignment wrapText="1"/>
    </xf>
    <xf numFmtId="0" fontId="17" fillId="20" borderId="3" xfId="15" applyFill="1" applyBorder="1"/>
    <xf numFmtId="0" fontId="17" fillId="20" borderId="3" xfId="15" quotePrefix="1" applyFill="1" applyBorder="1"/>
    <xf numFmtId="0" fontId="17" fillId="20" borderId="3" xfId="15" quotePrefix="1" applyFill="1" applyBorder="1" applyAlignment="1">
      <alignment wrapText="1"/>
    </xf>
    <xf numFmtId="0" fontId="17" fillId="24" borderId="3" xfId="15" quotePrefix="1" applyFill="1" applyBorder="1"/>
    <xf numFmtId="0" fontId="63" fillId="26" borderId="3" xfId="15" applyFont="1" applyFill="1" applyBorder="1"/>
    <xf numFmtId="0" fontId="17" fillId="0" borderId="0" xfId="15" applyAlignment="1">
      <alignment wrapText="1"/>
    </xf>
    <xf numFmtId="0" fontId="64" fillId="0" borderId="0" xfId="15" applyFont="1"/>
    <xf numFmtId="0" fontId="40" fillId="5" borderId="2" xfId="11"/>
    <xf numFmtId="0" fontId="22" fillId="6" borderId="5" xfId="0" applyFont="1" applyFill="1" applyBorder="1" applyAlignment="1">
      <alignment vertical="center" wrapText="1"/>
    </xf>
    <xf numFmtId="0" fontId="22" fillId="6" borderId="0" xfId="0" applyFont="1" applyFill="1" applyAlignment="1">
      <alignment vertical="center" wrapText="1"/>
    </xf>
    <xf numFmtId="0" fontId="22" fillId="6" borderId="7" xfId="0" applyFont="1" applyFill="1" applyBorder="1" applyAlignment="1">
      <alignment vertical="center"/>
    </xf>
    <xf numFmtId="0" fontId="16" fillId="0" borderId="0" xfId="15" applyFont="1"/>
    <xf numFmtId="0" fontId="0" fillId="25" borderId="14" xfId="0" applyFill="1" applyBorder="1"/>
    <xf numFmtId="0" fontId="0" fillId="25" borderId="3" xfId="0" applyFill="1" applyBorder="1"/>
    <xf numFmtId="0" fontId="0" fillId="25" borderId="3" xfId="0" applyFill="1" applyBorder="1" applyAlignment="1">
      <alignment wrapText="1"/>
    </xf>
    <xf numFmtId="0" fontId="60" fillId="25" borderId="3" xfId="0" applyFont="1" applyFill="1" applyBorder="1"/>
    <xf numFmtId="0" fontId="23" fillId="25" borderId="3" xfId="15" applyFont="1" applyFill="1" applyBorder="1"/>
    <xf numFmtId="0" fontId="28" fillId="0" borderId="7" xfId="0" applyFont="1" applyBorder="1"/>
    <xf numFmtId="0" fontId="57" fillId="24" borderId="3" xfId="15" applyFont="1" applyFill="1" applyBorder="1"/>
    <xf numFmtId="0" fontId="17" fillId="26" borderId="3" xfId="15" applyFill="1" applyBorder="1" applyAlignment="1">
      <alignment wrapText="1"/>
    </xf>
    <xf numFmtId="0" fontId="57" fillId="26" borderId="3" xfId="15" applyFont="1" applyFill="1" applyBorder="1" applyAlignment="1">
      <alignment wrapText="1"/>
    </xf>
    <xf numFmtId="0" fontId="57" fillId="24" borderId="3" xfId="15" applyFont="1" applyFill="1" applyBorder="1" applyAlignment="1">
      <alignment wrapText="1"/>
    </xf>
    <xf numFmtId="0" fontId="57" fillId="26" borderId="3" xfId="15" applyFont="1" applyFill="1" applyBorder="1"/>
    <xf numFmtId="0" fontId="17" fillId="26" borderId="3" xfId="15" quotePrefix="1" applyFill="1" applyBorder="1"/>
    <xf numFmtId="0" fontId="57" fillId="25" borderId="3" xfId="0" applyFont="1" applyFill="1" applyBorder="1" applyAlignment="1">
      <alignment wrapText="1"/>
    </xf>
    <xf numFmtId="0" fontId="67" fillId="25" borderId="3" xfId="15" applyFont="1" applyFill="1" applyBorder="1" applyAlignment="1">
      <alignment wrapText="1"/>
    </xf>
    <xf numFmtId="0" fontId="15" fillId="26" borderId="3" xfId="15" applyFont="1" applyFill="1" applyBorder="1" applyAlignment="1">
      <alignment wrapText="1"/>
    </xf>
    <xf numFmtId="0" fontId="15" fillId="24" borderId="3" xfId="15" applyFont="1" applyFill="1" applyBorder="1"/>
    <xf numFmtId="0" fontId="68" fillId="6" borderId="10" xfId="0" applyFont="1" applyFill="1" applyBorder="1" applyAlignment="1">
      <alignment vertical="center"/>
    </xf>
    <xf numFmtId="0" fontId="68" fillId="6" borderId="0" xfId="0" applyFont="1" applyFill="1" applyAlignment="1">
      <alignment horizontal="left"/>
    </xf>
    <xf numFmtId="0" fontId="69" fillId="0" borderId="0" xfId="7" applyFont="1" applyFill="1" applyBorder="1" applyAlignment="1"/>
    <xf numFmtId="0" fontId="69" fillId="0" borderId="0" xfId="7" applyFont="1" applyFill="1" applyBorder="1"/>
    <xf numFmtId="0" fontId="50" fillId="6" borderId="0" xfId="0" applyFont="1" applyFill="1"/>
    <xf numFmtId="0" fontId="41" fillId="6" borderId="0" xfId="0" applyFont="1" applyFill="1"/>
    <xf numFmtId="0" fontId="28" fillId="6" borderId="0" xfId="0" applyFont="1" applyFill="1"/>
    <xf numFmtId="0" fontId="28" fillId="6" borderId="0" xfId="0" applyFont="1" applyFill="1" applyAlignment="1">
      <alignment vertical="top"/>
    </xf>
    <xf numFmtId="165" fontId="70" fillId="3" borderId="35" xfId="5" applyNumberFormat="1" applyFont="1" applyAlignment="1" applyProtection="1">
      <alignment horizontal="center" vertical="center"/>
      <protection locked="0"/>
    </xf>
    <xf numFmtId="0" fontId="41" fillId="6" borderId="4" xfId="0" applyFont="1" applyFill="1" applyBorder="1" applyAlignment="1">
      <alignment horizontal="left"/>
    </xf>
    <xf numFmtId="0" fontId="41" fillId="6" borderId="5" xfId="0" applyFont="1" applyFill="1" applyBorder="1"/>
    <xf numFmtId="0" fontId="41" fillId="6" borderId="6" xfId="0" applyFont="1" applyFill="1" applyBorder="1"/>
    <xf numFmtId="165" fontId="28" fillId="6" borderId="3" xfId="0" applyNumberFormat="1" applyFont="1" applyFill="1" applyBorder="1" applyAlignment="1">
      <alignment horizontal="right"/>
    </xf>
    <xf numFmtId="0" fontId="28" fillId="6" borderId="8" xfId="0" applyFont="1" applyFill="1" applyBorder="1"/>
    <xf numFmtId="164" fontId="28" fillId="6" borderId="3" xfId="0" applyNumberFormat="1" applyFont="1" applyFill="1" applyBorder="1" applyAlignment="1">
      <alignment horizontal="right"/>
    </xf>
    <xf numFmtId="0" fontId="41" fillId="6" borderId="34" xfId="0" applyFont="1" applyFill="1" applyBorder="1"/>
    <xf numFmtId="0" fontId="28" fillId="6" borderId="34" xfId="0" applyFont="1" applyFill="1" applyBorder="1"/>
    <xf numFmtId="165" fontId="28" fillId="6" borderId="34" xfId="0" applyNumberFormat="1" applyFont="1" applyFill="1" applyBorder="1" applyAlignment="1">
      <alignment horizontal="center"/>
    </xf>
    <xf numFmtId="0" fontId="28" fillId="6" borderId="9" xfId="0" applyFont="1" applyFill="1" applyBorder="1" applyAlignment="1">
      <alignment horizontal="left"/>
    </xf>
    <xf numFmtId="0" fontId="28" fillId="6" borderId="10" xfId="0" applyFont="1" applyFill="1" applyBorder="1"/>
    <xf numFmtId="2" fontId="28" fillId="6" borderId="3" xfId="0" applyNumberFormat="1" applyFont="1" applyFill="1" applyBorder="1" applyAlignment="1">
      <alignment horizontal="right"/>
    </xf>
    <xf numFmtId="0" fontId="28" fillId="6" borderId="11" xfId="0" applyFont="1" applyFill="1" applyBorder="1"/>
    <xf numFmtId="0" fontId="28" fillId="6" borderId="6" xfId="0" applyFont="1" applyFill="1" applyBorder="1"/>
    <xf numFmtId="0" fontId="28" fillId="0" borderId="81" xfId="0" applyFont="1" applyBorder="1" applyAlignment="1">
      <alignment vertical="center"/>
    </xf>
    <xf numFmtId="0" fontId="28" fillId="0" borderId="84" xfId="0" applyFont="1" applyBorder="1" applyAlignment="1">
      <alignment vertical="center"/>
    </xf>
    <xf numFmtId="0" fontId="28" fillId="0" borderId="81" xfId="0" applyFont="1" applyBorder="1" applyAlignment="1">
      <alignment horizontal="left" vertical="center"/>
    </xf>
    <xf numFmtId="0" fontId="28" fillId="0" borderId="9" xfId="0" applyFont="1" applyBorder="1" applyAlignment="1">
      <alignment vertical="center"/>
    </xf>
    <xf numFmtId="0" fontId="72" fillId="0" borderId="15" xfId="0" applyFont="1" applyBorder="1" applyAlignment="1">
      <alignment horizontal="center" wrapText="1"/>
    </xf>
    <xf numFmtId="0" fontId="72" fillId="0" borderId="3" xfId="0" applyFont="1" applyBorder="1" applyAlignment="1">
      <alignment horizontal="center" wrapText="1"/>
    </xf>
    <xf numFmtId="0" fontId="72" fillId="0" borderId="16" xfId="0" applyFont="1" applyBorder="1" applyAlignment="1">
      <alignment horizontal="center" wrapText="1"/>
    </xf>
    <xf numFmtId="0" fontId="72" fillId="0" borderId="16" xfId="0" applyFont="1" applyBorder="1" applyAlignment="1">
      <alignment horizontal="center"/>
    </xf>
    <xf numFmtId="0" fontId="72" fillId="0" borderId="3" xfId="0" applyFont="1" applyBorder="1" applyAlignment="1">
      <alignment horizontal="center"/>
    </xf>
    <xf numFmtId="0" fontId="72" fillId="0" borderId="17" xfId="0" applyFont="1" applyBorder="1" applyAlignment="1">
      <alignment horizontal="center"/>
    </xf>
    <xf numFmtId="0" fontId="15" fillId="26" borderId="3" xfId="15" applyFont="1" applyFill="1" applyBorder="1"/>
    <xf numFmtId="0" fontId="50" fillId="6" borderId="5" xfId="0" applyFont="1" applyFill="1" applyBorder="1"/>
    <xf numFmtId="0" fontId="22" fillId="0" borderId="3" xfId="0" applyFont="1" applyBorder="1" applyAlignment="1">
      <alignment horizontal="center" wrapText="1"/>
    </xf>
    <xf numFmtId="171" fontId="20" fillId="2" borderId="1" xfId="3" applyNumberFormat="1" applyAlignment="1">
      <alignment horizontal="center" vertical="center"/>
    </xf>
    <xf numFmtId="0" fontId="22" fillId="13" borderId="0" xfId="0" applyFont="1" applyFill="1"/>
    <xf numFmtId="0" fontId="0" fillId="0" borderId="0" xfId="0" applyAlignment="1">
      <alignment wrapText="1"/>
    </xf>
    <xf numFmtId="0" fontId="19" fillId="17" borderId="2" xfId="2" applyAlignment="1">
      <alignment horizontal="center" vertical="center" wrapText="1"/>
    </xf>
    <xf numFmtId="168" fontId="22" fillId="0" borderId="12" xfId="0" applyNumberFormat="1" applyFont="1" applyBorder="1" applyAlignment="1">
      <alignment horizontal="center"/>
    </xf>
    <xf numFmtId="0" fontId="18" fillId="22" borderId="1" xfId="13" applyAlignment="1" applyProtection="1">
      <alignment horizontal="center"/>
      <protection locked="0"/>
    </xf>
    <xf numFmtId="168" fontId="22" fillId="0" borderId="13" xfId="0" applyNumberFormat="1" applyFont="1" applyBorder="1" applyAlignment="1">
      <alignment horizontal="center"/>
    </xf>
    <xf numFmtId="168" fontId="22" fillId="0" borderId="14" xfId="0" applyNumberFormat="1" applyFont="1" applyBorder="1" applyAlignment="1">
      <alignment horizontal="center"/>
    </xf>
    <xf numFmtId="0" fontId="64" fillId="0" borderId="0" xfId="16" applyFont="1"/>
    <xf numFmtId="0" fontId="14" fillId="0" borderId="0" xfId="16"/>
    <xf numFmtId="0" fontId="14" fillId="0" borderId="0" xfId="16" applyAlignment="1">
      <alignment wrapText="1"/>
    </xf>
    <xf numFmtId="0" fontId="65" fillId="20" borderId="104" xfId="16" applyFont="1" applyFill="1" applyBorder="1" applyAlignment="1">
      <alignment wrapText="1"/>
    </xf>
    <xf numFmtId="0" fontId="65" fillId="24" borderId="104" xfId="16" applyFont="1" applyFill="1" applyBorder="1"/>
    <xf numFmtId="0" fontId="65" fillId="25" borderId="104" xfId="16" applyFont="1" applyFill="1" applyBorder="1"/>
    <xf numFmtId="0" fontId="65" fillId="26" borderId="104" xfId="16" applyFont="1" applyFill="1" applyBorder="1"/>
    <xf numFmtId="0" fontId="14" fillId="20" borderId="14" xfId="16" applyFill="1" applyBorder="1" applyAlignment="1" applyProtection="1">
      <alignment wrapText="1"/>
      <protection locked="0"/>
    </xf>
    <xf numFmtId="0" fontId="14" fillId="24" borderId="14" xfId="16" applyFill="1" applyBorder="1" applyProtection="1">
      <protection locked="0"/>
    </xf>
    <xf numFmtId="0" fontId="0" fillId="25" borderId="14" xfId="0" applyFill="1" applyBorder="1" applyProtection="1">
      <protection locked="0"/>
    </xf>
    <xf numFmtId="0" fontId="14" fillId="26" borderId="14" xfId="16" applyFill="1" applyBorder="1" applyProtection="1">
      <protection locked="0"/>
    </xf>
    <xf numFmtId="0" fontId="14" fillId="20" borderId="3" xfId="16" applyFill="1" applyBorder="1" applyAlignment="1" applyProtection="1">
      <alignment wrapText="1"/>
      <protection locked="0"/>
    </xf>
    <xf numFmtId="0" fontId="14" fillId="24" borderId="3" xfId="16" applyFill="1" applyBorder="1" applyProtection="1">
      <protection locked="0"/>
    </xf>
    <xf numFmtId="0" fontId="0" fillId="25" borderId="3" xfId="0" applyFill="1" applyBorder="1" applyProtection="1">
      <protection locked="0"/>
    </xf>
    <xf numFmtId="0" fontId="14" fillId="26" borderId="3" xfId="16" applyFill="1" applyBorder="1" applyProtection="1">
      <protection locked="0"/>
    </xf>
    <xf numFmtId="0" fontId="22" fillId="0" borderId="0" xfId="0" applyFont="1" applyAlignment="1">
      <alignment wrapText="1"/>
    </xf>
    <xf numFmtId="0" fontId="22" fillId="0" borderId="0" xfId="0" quotePrefix="1" applyFont="1"/>
    <xf numFmtId="0" fontId="18" fillId="22" borderId="1" xfId="13" applyProtection="1">
      <protection locked="0"/>
    </xf>
    <xf numFmtId="0" fontId="74" fillId="0" borderId="0" xfId="0" applyFont="1"/>
    <xf numFmtId="16" fontId="0" fillId="0" borderId="7" xfId="0" quotePrefix="1" applyNumberFormat="1" applyBorder="1"/>
    <xf numFmtId="0" fontId="40" fillId="5" borderId="2" xfId="11" applyProtection="1">
      <protection locked="0"/>
    </xf>
    <xf numFmtId="0" fontId="22" fillId="6" borderId="5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center" wrapText="1"/>
    </xf>
    <xf numFmtId="0" fontId="0" fillId="0" borderId="121" xfId="0" applyBorder="1"/>
    <xf numFmtId="0" fontId="13" fillId="20" borderId="3" xfId="15" applyFont="1" applyFill="1" applyBorder="1" applyAlignment="1">
      <alignment wrapText="1"/>
    </xf>
    <xf numFmtId="0" fontId="13" fillId="24" borderId="3" xfId="15" applyFont="1" applyFill="1" applyBorder="1"/>
    <xf numFmtId="0" fontId="13" fillId="26" borderId="3" xfId="15" applyFont="1" applyFill="1" applyBorder="1"/>
    <xf numFmtId="0" fontId="0" fillId="27" borderId="15" xfId="0" applyFill="1" applyBorder="1" applyAlignment="1">
      <alignment horizontal="center"/>
    </xf>
    <xf numFmtId="1" fontId="0" fillId="27" borderId="15" xfId="0" applyNumberFormat="1" applyFill="1" applyBorder="1" applyAlignment="1">
      <alignment horizontal="center"/>
    </xf>
    <xf numFmtId="0" fontId="60" fillId="0" borderId="0" xfId="0" applyFont="1"/>
    <xf numFmtId="1" fontId="24" fillId="0" borderId="0" xfId="0" applyNumberFormat="1" applyFont="1" applyAlignment="1">
      <alignment horizontal="center"/>
    </xf>
    <xf numFmtId="0" fontId="75" fillId="0" borderId="7" xfId="0" applyFont="1" applyBorder="1"/>
    <xf numFmtId="0" fontId="22" fillId="0" borderId="7" xfId="0" applyFont="1" applyBorder="1"/>
    <xf numFmtId="0" fontId="0" fillId="0" borderId="81" xfId="0" applyBorder="1"/>
    <xf numFmtId="0" fontId="0" fillId="0" borderId="0" xfId="0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124" xfId="0" applyBorder="1"/>
    <xf numFmtId="0" fontId="22" fillId="0" borderId="81" xfId="0" applyFont="1" applyBorder="1"/>
    <xf numFmtId="0" fontId="41" fillId="6" borderId="5" xfId="0" applyFont="1" applyFill="1" applyBorder="1" applyAlignment="1">
      <alignment horizontal="left"/>
    </xf>
    <xf numFmtId="0" fontId="28" fillId="6" borderId="0" xfId="0" applyFont="1" applyFill="1" applyAlignment="1">
      <alignment horizontal="left"/>
    </xf>
    <xf numFmtId="0" fontId="28" fillId="6" borderId="10" xfId="0" applyFont="1" applyFill="1" applyBorder="1" applyAlignment="1">
      <alignment horizontal="left"/>
    </xf>
    <xf numFmtId="0" fontId="24" fillId="0" borderId="8" xfId="0" applyFont="1" applyBorder="1"/>
    <xf numFmtId="165" fontId="0" fillId="0" borderId="3" xfId="0" applyNumberFormat="1" applyBorder="1" applyAlignment="1">
      <alignment horizontal="center"/>
    </xf>
    <xf numFmtId="0" fontId="24" fillId="0" borderId="9" xfId="0" applyFont="1" applyBorder="1"/>
    <xf numFmtId="0" fontId="60" fillId="0" borderId="10" xfId="0" applyFont="1" applyBorder="1"/>
    <xf numFmtId="1" fontId="24" fillId="0" borderId="10" xfId="0" applyNumberFormat="1" applyFont="1" applyBorder="1" applyAlignment="1">
      <alignment horizontal="center"/>
    </xf>
    <xf numFmtId="0" fontId="24" fillId="0" borderId="11" xfId="0" applyFont="1" applyBorder="1"/>
    <xf numFmtId="0" fontId="41" fillId="0" borderId="5" xfId="0" applyFont="1" applyBorder="1" applyAlignment="1">
      <alignment horizontal="center"/>
    </xf>
    <xf numFmtId="9" fontId="0" fillId="0" borderId="0" xfId="8" applyFont="1" applyAlignment="1">
      <alignment horizontal="center"/>
    </xf>
    <xf numFmtId="9" fontId="22" fillId="0" borderId="3" xfId="8" applyFont="1" applyBorder="1" applyAlignment="1">
      <alignment horizontal="center"/>
    </xf>
    <xf numFmtId="165" fontId="22" fillId="0" borderId="3" xfId="0" applyNumberFormat="1" applyFont="1" applyBorder="1" applyAlignment="1">
      <alignment horizontal="center"/>
    </xf>
    <xf numFmtId="9" fontId="0" fillId="0" borderId="0" xfId="0" applyNumberFormat="1"/>
    <xf numFmtId="9" fontId="0" fillId="0" borderId="0" xfId="0" applyNumberFormat="1" applyAlignment="1">
      <alignment horizontal="center"/>
    </xf>
    <xf numFmtId="165" fontId="0" fillId="0" borderId="0" xfId="8" applyNumberFormat="1" applyFont="1" applyAlignment="1">
      <alignment horizontal="center"/>
    </xf>
    <xf numFmtId="0" fontId="12" fillId="20" borderId="3" xfId="15" applyFont="1" applyFill="1" applyBorder="1" applyAlignment="1">
      <alignment wrapText="1"/>
    </xf>
    <xf numFmtId="0" fontId="12" fillId="24" borderId="3" xfId="15" applyFont="1" applyFill="1" applyBorder="1"/>
    <xf numFmtId="0" fontId="12" fillId="26" borderId="3" xfId="15" applyFont="1" applyFill="1" applyBorder="1"/>
    <xf numFmtId="0" fontId="0" fillId="25" borderId="3" xfId="0" quotePrefix="1" applyFill="1" applyBorder="1"/>
    <xf numFmtId="0" fontId="43" fillId="0" borderId="7" xfId="0" applyFont="1" applyBorder="1"/>
    <xf numFmtId="0" fontId="12" fillId="24" borderId="3" xfId="15" applyFont="1" applyFill="1" applyBorder="1" applyAlignment="1">
      <alignment wrapText="1"/>
    </xf>
    <xf numFmtId="2" fontId="22" fillId="0" borderId="3" xfId="0" applyNumberFormat="1" applyFont="1" applyBorder="1" applyAlignment="1">
      <alignment horizontal="center"/>
    </xf>
    <xf numFmtId="0" fontId="22" fillId="0" borderId="3" xfId="0" applyFont="1" applyBorder="1" applyAlignment="1">
      <alignment horizontal="center"/>
    </xf>
    <xf numFmtId="1" fontId="77" fillId="6" borderId="122" xfId="5" applyNumberFormat="1" applyFont="1" applyFill="1" applyBorder="1" applyAlignment="1" applyProtection="1">
      <alignment horizontal="center" vertical="center"/>
    </xf>
    <xf numFmtId="165" fontId="77" fillId="6" borderId="35" xfId="8" applyNumberFormat="1" applyFont="1" applyFill="1" applyBorder="1" applyAlignment="1" applyProtection="1">
      <alignment horizontal="center" vertical="center"/>
    </xf>
    <xf numFmtId="1" fontId="77" fillId="6" borderId="35" xfId="8" applyNumberFormat="1" applyFont="1" applyFill="1" applyBorder="1" applyAlignment="1" applyProtection="1">
      <alignment horizontal="center" vertical="center"/>
    </xf>
    <xf numFmtId="0" fontId="40" fillId="3" borderId="123" xfId="5" applyFont="1" applyBorder="1" applyAlignment="1" applyProtection="1">
      <alignment horizontal="center" vertical="center"/>
      <protection locked="0"/>
    </xf>
    <xf numFmtId="164" fontId="0" fillId="27" borderId="9" xfId="0" applyNumberFormat="1" applyFill="1" applyBorder="1" applyAlignment="1">
      <alignment horizontal="center"/>
    </xf>
    <xf numFmtId="164" fontId="0" fillId="27" borderId="10" xfId="0" applyNumberFormat="1" applyFill="1" applyBorder="1" applyAlignment="1">
      <alignment horizontal="center"/>
    </xf>
    <xf numFmtId="164" fontId="0" fillId="27" borderId="11" xfId="0" applyNumberFormat="1" applyFill="1" applyBorder="1" applyAlignment="1">
      <alignment horizontal="center"/>
    </xf>
    <xf numFmtId="2" fontId="0" fillId="27" borderId="14" xfId="0" applyNumberFormat="1" applyFill="1" applyBorder="1" applyAlignment="1">
      <alignment horizontal="center"/>
    </xf>
    <xf numFmtId="2" fontId="0" fillId="27" borderId="9" xfId="0" applyNumberFormat="1" applyFill="1" applyBorder="1" applyAlignment="1">
      <alignment horizontal="center"/>
    </xf>
    <xf numFmtId="2" fontId="0" fillId="27" borderId="11" xfId="0" applyNumberFormat="1" applyFill="1" applyBorder="1" applyAlignment="1">
      <alignment horizontal="center"/>
    </xf>
    <xf numFmtId="0" fontId="22" fillId="27" borderId="14" xfId="0" applyFont="1" applyFill="1" applyBorder="1" applyAlignment="1">
      <alignment horizontal="center"/>
    </xf>
    <xf numFmtId="0" fontId="18" fillId="4" borderId="94" xfId="1" applyBorder="1"/>
    <xf numFmtId="0" fontId="11" fillId="20" borderId="3" xfId="15" applyFont="1" applyFill="1" applyBorder="1" applyAlignment="1">
      <alignment wrapText="1"/>
    </xf>
    <xf numFmtId="0" fontId="11" fillId="24" borderId="3" xfId="15" applyFont="1" applyFill="1" applyBorder="1"/>
    <xf numFmtId="0" fontId="11" fillId="26" borderId="3" xfId="15" applyFont="1" applyFill="1" applyBorder="1"/>
    <xf numFmtId="0" fontId="76" fillId="0" borderId="0" xfId="0" applyFont="1" applyAlignment="1">
      <alignment horizontal="center"/>
    </xf>
    <xf numFmtId="2" fontId="0" fillId="0" borderId="3" xfId="0" applyNumberFormat="1" applyBorder="1" applyAlignment="1">
      <alignment horizontal="center"/>
    </xf>
    <xf numFmtId="1" fontId="22" fillId="0" borderId="3" xfId="0" applyNumberFormat="1" applyFont="1" applyBorder="1" applyAlignment="1">
      <alignment horizontal="center"/>
    </xf>
    <xf numFmtId="9" fontId="77" fillId="6" borderId="35" xfId="8" applyFont="1" applyFill="1" applyBorder="1" applyAlignment="1" applyProtection="1">
      <alignment horizontal="center" vertical="center"/>
    </xf>
    <xf numFmtId="1" fontId="40" fillId="3" borderId="35" xfId="5" applyNumberFormat="1" applyFont="1" applyAlignment="1" applyProtection="1">
      <alignment horizontal="center" vertical="center"/>
      <protection locked="0"/>
    </xf>
    <xf numFmtId="0" fontId="76" fillId="0" borderId="0" xfId="0" applyFont="1" applyAlignment="1">
      <alignment horizontal="left"/>
    </xf>
    <xf numFmtId="0" fontId="30" fillId="0" borderId="0" xfId="0" applyFont="1"/>
    <xf numFmtId="0" fontId="10" fillId="24" borderId="3" xfId="15" quotePrefix="1" applyFont="1" applyFill="1" applyBorder="1" applyAlignment="1">
      <alignment wrapText="1"/>
    </xf>
    <xf numFmtId="0" fontId="10" fillId="26" borderId="3" xfId="15" quotePrefix="1" applyFont="1" applyFill="1" applyBorder="1"/>
    <xf numFmtId="0" fontId="10" fillId="20" borderId="3" xfId="15" applyFont="1" applyFill="1" applyBorder="1" applyAlignment="1">
      <alignment wrapText="1"/>
    </xf>
    <xf numFmtId="0" fontId="10" fillId="24" borderId="3" xfId="15" applyFont="1" applyFill="1" applyBorder="1" applyAlignment="1">
      <alignment wrapText="1"/>
    </xf>
    <xf numFmtId="171" fontId="18" fillId="22" borderId="1" xfId="13" applyNumberFormat="1" applyAlignment="1">
      <alignment horizontal="center"/>
    </xf>
    <xf numFmtId="0" fontId="10" fillId="24" borderId="3" xfId="15" applyFont="1" applyFill="1" applyBorder="1"/>
    <xf numFmtId="0" fontId="10" fillId="26" borderId="3" xfId="15" applyFont="1" applyFill="1" applyBorder="1"/>
    <xf numFmtId="0" fontId="0" fillId="10" borderId="7" xfId="0" applyFill="1" applyBorder="1"/>
    <xf numFmtId="1" fontId="20" fillId="10" borderId="1" xfId="3" applyNumberFormat="1" applyFill="1" applyAlignment="1">
      <alignment horizontal="center"/>
    </xf>
    <xf numFmtId="0" fontId="0" fillId="10" borderId="8" xfId="0" applyFill="1" applyBorder="1"/>
    <xf numFmtId="0" fontId="19" fillId="10" borderId="2" xfId="2" applyFill="1" applyAlignment="1" applyProtection="1">
      <alignment horizontal="center"/>
      <protection locked="0"/>
    </xf>
    <xf numFmtId="1" fontId="19" fillId="10" borderId="2" xfId="2" applyNumberFormat="1" applyFill="1" applyAlignment="1" applyProtection="1">
      <alignment horizontal="center"/>
      <protection locked="0"/>
    </xf>
    <xf numFmtId="1" fontId="40" fillId="10" borderId="35" xfId="5" applyNumberFormat="1" applyFont="1" applyFill="1" applyAlignment="1" applyProtection="1">
      <alignment horizontal="center" vertical="center"/>
    </xf>
    <xf numFmtId="0" fontId="30" fillId="0" borderId="9" xfId="0" applyFont="1" applyBorder="1"/>
    <xf numFmtId="0" fontId="9" fillId="20" borderId="3" xfId="15" applyFont="1" applyFill="1" applyBorder="1" applyAlignment="1">
      <alignment wrapText="1"/>
    </xf>
    <xf numFmtId="0" fontId="9" fillId="24" borderId="3" xfId="15" applyFont="1" applyFill="1" applyBorder="1"/>
    <xf numFmtId="0" fontId="9" fillId="26" borderId="3" xfId="15" applyFont="1" applyFill="1" applyBorder="1"/>
    <xf numFmtId="0" fontId="8" fillId="20" borderId="3" xfId="16" applyFont="1" applyFill="1" applyBorder="1" applyAlignment="1" applyProtection="1">
      <alignment wrapText="1"/>
      <protection locked="0"/>
    </xf>
    <xf numFmtId="0" fontId="8" fillId="24" borderId="3" xfId="16" applyFont="1" applyFill="1" applyBorder="1" applyProtection="1">
      <protection locked="0"/>
    </xf>
    <xf numFmtId="0" fontId="8" fillId="26" borderId="3" xfId="16" applyFont="1" applyFill="1" applyBorder="1" applyProtection="1">
      <protection locked="0"/>
    </xf>
    <xf numFmtId="170" fontId="0" fillId="0" borderId="79" xfId="0" applyNumberFormat="1" applyBorder="1" applyAlignment="1">
      <alignment horizontal="left"/>
    </xf>
    <xf numFmtId="0" fontId="0" fillId="10" borderId="5" xfId="0" applyFill="1" applyBorder="1"/>
    <xf numFmtId="0" fontId="0" fillId="10" borderId="6" xfId="0" applyFill="1" applyBorder="1"/>
    <xf numFmtId="0" fontId="0" fillId="24" borderId="17" xfId="0" applyFill="1" applyBorder="1" applyAlignment="1">
      <alignment horizontal="center" wrapText="1"/>
    </xf>
    <xf numFmtId="0" fontId="0" fillId="10" borderId="3" xfId="0" applyFill="1" applyBorder="1" applyAlignment="1">
      <alignment horizontal="center"/>
    </xf>
    <xf numFmtId="0" fontId="0" fillId="24" borderId="3" xfId="0" applyFill="1" applyBorder="1" applyAlignment="1">
      <alignment horizontal="center" wrapText="1"/>
    </xf>
    <xf numFmtId="0" fontId="59" fillId="24" borderId="3" xfId="0" applyFont="1" applyFill="1" applyBorder="1" applyAlignment="1">
      <alignment horizontal="center" wrapText="1"/>
    </xf>
    <xf numFmtId="0" fontId="0" fillId="24" borderId="17" xfId="0" applyFill="1" applyBorder="1" applyAlignment="1">
      <alignment horizontal="center"/>
    </xf>
    <xf numFmtId="0" fontId="0" fillId="24" borderId="3" xfId="0" applyFill="1" applyBorder="1" applyAlignment="1">
      <alignment horizontal="center"/>
    </xf>
    <xf numFmtId="2" fontId="59" fillId="24" borderId="3" xfId="0" applyNumberFormat="1" applyFont="1" applyFill="1" applyBorder="1" applyAlignment="1">
      <alignment horizontal="center"/>
    </xf>
    <xf numFmtId="165" fontId="59" fillId="24" borderId="3" xfId="0" applyNumberFormat="1" applyFont="1" applyFill="1" applyBorder="1" applyAlignment="1">
      <alignment horizontal="center"/>
    </xf>
    <xf numFmtId="165" fontId="0" fillId="29" borderId="3" xfId="0" applyNumberFormat="1" applyFill="1" applyBorder="1" applyAlignment="1">
      <alignment horizontal="center"/>
    </xf>
    <xf numFmtId="0" fontId="0" fillId="10" borderId="10" xfId="0" applyFill="1" applyBorder="1"/>
    <xf numFmtId="0" fontId="0" fillId="10" borderId="11" xfId="0" applyFill="1" applyBorder="1"/>
    <xf numFmtId="0" fontId="0" fillId="24" borderId="17" xfId="0" quotePrefix="1" applyFill="1" applyBorder="1" applyAlignment="1">
      <alignment horizontal="center"/>
    </xf>
    <xf numFmtId="16" fontId="0" fillId="24" borderId="17" xfId="0" quotePrefix="1" applyNumberFormat="1" applyFill="1" applyBorder="1" applyAlignment="1">
      <alignment horizontal="center"/>
    </xf>
    <xf numFmtId="0" fontId="64" fillId="24" borderId="3" xfId="0" applyFont="1" applyFill="1" applyBorder="1" applyAlignment="1">
      <alignment horizontal="center"/>
    </xf>
    <xf numFmtId="0" fontId="64" fillId="24" borderId="3" xfId="0" applyFont="1" applyFill="1" applyBorder="1" applyAlignment="1">
      <alignment horizontal="center" wrapText="1"/>
    </xf>
    <xf numFmtId="0" fontId="0" fillId="24" borderId="3" xfId="0" applyFill="1" applyBorder="1"/>
    <xf numFmtId="2" fontId="0" fillId="24" borderId="3" xfId="0" applyNumberFormat="1" applyFill="1" applyBorder="1" applyAlignment="1">
      <alignment horizontal="center"/>
    </xf>
    <xf numFmtId="0" fontId="59" fillId="24" borderId="3" xfId="0" applyFont="1" applyFill="1" applyBorder="1" applyAlignment="1">
      <alignment horizontal="center"/>
    </xf>
    <xf numFmtId="0" fontId="0" fillId="24" borderId="3" xfId="0" quotePrefix="1" applyFill="1" applyBorder="1" applyAlignment="1">
      <alignment horizontal="center"/>
    </xf>
    <xf numFmtId="16" fontId="0" fillId="24" borderId="3" xfId="0" quotePrefix="1" applyNumberFormat="1" applyFill="1" applyBorder="1" applyAlignment="1">
      <alignment horizontal="center"/>
    </xf>
    <xf numFmtId="0" fontId="29" fillId="0" borderId="73" xfId="0" applyFont="1" applyBorder="1"/>
    <xf numFmtId="0" fontId="0" fillId="10" borderId="100" xfId="0" applyFill="1" applyBorder="1"/>
    <xf numFmtId="0" fontId="0" fillId="28" borderId="0" xfId="0" applyFill="1"/>
    <xf numFmtId="0" fontId="64" fillId="28" borderId="0" xfId="0" applyFont="1" applyFill="1"/>
    <xf numFmtId="0" fontId="0" fillId="28" borderId="77" xfId="0" applyFill="1" applyBorder="1"/>
    <xf numFmtId="0" fontId="0" fillId="10" borderId="76" xfId="0" applyFill="1" applyBorder="1"/>
    <xf numFmtId="0" fontId="79" fillId="28" borderId="0" xfId="0" applyFont="1" applyFill="1"/>
    <xf numFmtId="0" fontId="0" fillId="24" borderId="0" xfId="0" applyFill="1"/>
    <xf numFmtId="0" fontId="0" fillId="24" borderId="77" xfId="0" applyFill="1" applyBorder="1"/>
    <xf numFmtId="0" fontId="80" fillId="10" borderId="0" xfId="0" applyFont="1" applyFill="1"/>
    <xf numFmtId="0" fontId="80" fillId="24" borderId="0" xfId="0" applyFont="1" applyFill="1"/>
    <xf numFmtId="0" fontId="64" fillId="24" borderId="0" xfId="0" applyFont="1" applyFill="1" applyAlignment="1">
      <alignment horizontal="center" wrapText="1"/>
    </xf>
    <xf numFmtId="0" fontId="0" fillId="24" borderId="0" xfId="0" applyFill="1" applyAlignment="1">
      <alignment horizontal="center" wrapText="1"/>
    </xf>
    <xf numFmtId="0" fontId="64" fillId="0" borderId="0" xfId="0" applyFont="1" applyAlignment="1">
      <alignment horizontal="center"/>
    </xf>
    <xf numFmtId="0" fontId="64" fillId="24" borderId="0" xfId="0" applyFont="1" applyFill="1" applyAlignment="1">
      <alignment horizontal="center"/>
    </xf>
    <xf numFmtId="0" fontId="0" fillId="24" borderId="0" xfId="0" applyFill="1" applyAlignment="1">
      <alignment horizontal="center"/>
    </xf>
    <xf numFmtId="0" fontId="59" fillId="0" borderId="0" xfId="0" applyFont="1" applyAlignment="1">
      <alignment horizontal="center" wrapText="1"/>
    </xf>
    <xf numFmtId="0" fontId="59" fillId="24" borderId="0" xfId="0" applyFont="1" applyFill="1" applyAlignment="1">
      <alignment horizontal="center" wrapText="1"/>
    </xf>
    <xf numFmtId="2" fontId="59" fillId="0" borderId="0" xfId="0" applyNumberFormat="1" applyFont="1" applyAlignment="1">
      <alignment horizontal="center"/>
    </xf>
    <xf numFmtId="2" fontId="59" fillId="24" borderId="0" xfId="0" applyNumberFormat="1" applyFont="1" applyFill="1" applyAlignment="1">
      <alignment horizontal="center"/>
    </xf>
    <xf numFmtId="0" fontId="0" fillId="10" borderId="90" xfId="0" applyFill="1" applyBorder="1"/>
    <xf numFmtId="0" fontId="81" fillId="24" borderId="0" xfId="0" applyFont="1" applyFill="1"/>
    <xf numFmtId="0" fontId="64" fillId="24" borderId="0" xfId="0" applyFont="1" applyFill="1"/>
    <xf numFmtId="0" fontId="59" fillId="24" borderId="0" xfId="0" applyFont="1" applyFill="1"/>
    <xf numFmtId="0" fontId="64" fillId="0" borderId="0" xfId="0" applyFont="1" applyAlignment="1">
      <alignment horizontal="center" wrapText="1"/>
    </xf>
    <xf numFmtId="2" fontId="0" fillId="24" borderId="0" xfId="0" applyNumberFormat="1" applyFill="1" applyAlignment="1">
      <alignment horizontal="center"/>
    </xf>
    <xf numFmtId="0" fontId="0" fillId="24" borderId="104" xfId="0" applyFill="1" applyBorder="1"/>
    <xf numFmtId="2" fontId="0" fillId="24" borderId="104" xfId="0" applyNumberFormat="1" applyFill="1" applyBorder="1" applyAlignment="1">
      <alignment horizontal="center"/>
    </xf>
    <xf numFmtId="2" fontId="0" fillId="0" borderId="79" xfId="0" applyNumberFormat="1" applyBorder="1" applyAlignment="1">
      <alignment horizontal="center"/>
    </xf>
    <xf numFmtId="0" fontId="59" fillId="24" borderId="104" xfId="0" applyFont="1" applyFill="1" applyBorder="1" applyAlignment="1">
      <alignment horizontal="center"/>
    </xf>
    <xf numFmtId="2" fontId="0" fillId="29" borderId="104" xfId="0" applyNumberFormat="1" applyFill="1" applyBorder="1" applyAlignment="1">
      <alignment horizontal="center"/>
    </xf>
    <xf numFmtId="2" fontId="63" fillId="24" borderId="104" xfId="0" applyNumberFormat="1" applyFont="1" applyFill="1" applyBorder="1" applyAlignment="1">
      <alignment horizontal="center"/>
    </xf>
    <xf numFmtId="2" fontId="0" fillId="24" borderId="79" xfId="0" applyNumberFormat="1" applyFill="1" applyBorder="1" applyAlignment="1">
      <alignment horizontal="center"/>
    </xf>
    <xf numFmtId="0" fontId="0" fillId="24" borderId="79" xfId="0" applyFill="1" applyBorder="1"/>
    <xf numFmtId="0" fontId="0" fillId="24" borderId="80" xfId="0" applyFill="1" applyBorder="1"/>
    <xf numFmtId="165" fontId="0" fillId="24" borderId="0" xfId="0" applyNumberFormat="1" applyFill="1" applyAlignment="1">
      <alignment horizontal="center"/>
    </xf>
    <xf numFmtId="0" fontId="29" fillId="0" borderId="3" xfId="0" applyFont="1" applyBorder="1" applyAlignment="1">
      <alignment horizontal="center"/>
    </xf>
    <xf numFmtId="165" fontId="29" fillId="0" borderId="3" xfId="0" applyNumberFormat="1" applyFont="1" applyBorder="1" applyAlignment="1">
      <alignment horizontal="center"/>
    </xf>
    <xf numFmtId="9" fontId="0" fillId="0" borderId="3" xfId="8" applyFont="1" applyBorder="1" applyAlignment="1">
      <alignment horizontal="center"/>
    </xf>
    <xf numFmtId="170" fontId="0" fillId="0" borderId="3" xfId="8" applyNumberFormat="1" applyFont="1" applyBorder="1" applyAlignment="1">
      <alignment horizontal="center"/>
    </xf>
    <xf numFmtId="0" fontId="83" fillId="16" borderId="54" xfId="10" applyFont="1"/>
    <xf numFmtId="0" fontId="7" fillId="20" borderId="3" xfId="15" applyFont="1" applyFill="1" applyBorder="1" applyAlignment="1">
      <alignment wrapText="1"/>
    </xf>
    <xf numFmtId="170" fontId="45" fillId="17" borderId="136" xfId="2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38" fillId="0" borderId="0" xfId="0" applyFont="1" applyAlignment="1">
      <alignment horizontal="center"/>
    </xf>
    <xf numFmtId="1" fontId="0" fillId="0" borderId="10" xfId="0" applyNumberFormat="1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168" fontId="0" fillId="0" borderId="10" xfId="0" applyNumberFormat="1" applyBorder="1" applyAlignment="1">
      <alignment horizontal="center"/>
    </xf>
    <xf numFmtId="0" fontId="31" fillId="0" borderId="0" xfId="0" applyFont="1" applyAlignment="1">
      <alignment horizontal="center"/>
    </xf>
    <xf numFmtId="165" fontId="22" fillId="3" borderId="35" xfId="5" applyNumberFormat="1" applyFont="1" applyAlignment="1" applyProtection="1">
      <alignment horizontal="center"/>
      <protection locked="0"/>
    </xf>
    <xf numFmtId="165" fontId="22" fillId="3" borderId="69" xfId="5" applyNumberFormat="1" applyFont="1" applyBorder="1" applyAlignment="1" applyProtection="1">
      <alignment horizontal="center"/>
      <protection locked="0"/>
    </xf>
    <xf numFmtId="9" fontId="0" fillId="0" borderId="34" xfId="8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0" fontId="6" fillId="20" borderId="3" xfId="15" applyFont="1" applyFill="1" applyBorder="1" applyAlignment="1">
      <alignment wrapText="1"/>
    </xf>
    <xf numFmtId="0" fontId="6" fillId="24" borderId="3" xfId="15" applyFont="1" applyFill="1" applyBorder="1"/>
    <xf numFmtId="0" fontId="6" fillId="26" borderId="3" xfId="15" applyFont="1" applyFill="1" applyBorder="1"/>
    <xf numFmtId="0" fontId="6" fillId="26" borderId="3" xfId="15" applyFont="1" applyFill="1" applyBorder="1" applyAlignment="1">
      <alignment wrapText="1"/>
    </xf>
    <xf numFmtId="165" fontId="28" fillId="6" borderId="0" xfId="0" applyNumberFormat="1" applyFont="1" applyFill="1" applyAlignment="1">
      <alignment horizontal="center"/>
    </xf>
    <xf numFmtId="0" fontId="5" fillId="20" borderId="14" xfId="15" applyFont="1" applyFill="1" applyBorder="1" applyAlignment="1">
      <alignment wrapText="1"/>
    </xf>
    <xf numFmtId="0" fontId="5" fillId="24" borderId="14" xfId="15" applyFont="1" applyFill="1" applyBorder="1"/>
    <xf numFmtId="0" fontId="5" fillId="26" borderId="14" xfId="15" applyFont="1" applyFill="1" applyBorder="1"/>
    <xf numFmtId="0" fontId="5" fillId="20" borderId="3" xfId="15" applyFont="1" applyFill="1" applyBorder="1" applyAlignment="1">
      <alignment wrapText="1"/>
    </xf>
    <xf numFmtId="0" fontId="5" fillId="24" borderId="3" xfId="15" applyFont="1" applyFill="1" applyBorder="1"/>
    <xf numFmtId="0" fontId="5" fillId="26" borderId="3" xfId="15" applyFont="1" applyFill="1" applyBorder="1"/>
    <xf numFmtId="0" fontId="4" fillId="0" borderId="0" xfId="15" applyFont="1"/>
    <xf numFmtId="0" fontId="4" fillId="24" borderId="3" xfId="16" applyFont="1" applyFill="1" applyBorder="1" applyProtection="1">
      <protection locked="0"/>
    </xf>
    <xf numFmtId="0" fontId="4" fillId="26" borderId="3" xfId="16" applyFont="1" applyFill="1" applyBorder="1" applyProtection="1">
      <protection locked="0"/>
    </xf>
    <xf numFmtId="0" fontId="4" fillId="20" borderId="3" xfId="16" applyFont="1" applyFill="1" applyBorder="1" applyAlignment="1" applyProtection="1">
      <alignment wrapText="1"/>
      <protection locked="0"/>
    </xf>
    <xf numFmtId="0" fontId="65" fillId="6" borderId="104" xfId="15" applyFont="1" applyFill="1" applyBorder="1"/>
    <xf numFmtId="0" fontId="5" fillId="6" borderId="3" xfId="15" applyFont="1" applyFill="1" applyBorder="1"/>
    <xf numFmtId="0" fontId="65" fillId="4" borderId="104" xfId="15" applyFont="1" applyFill="1" applyBorder="1"/>
    <xf numFmtId="0" fontId="5" fillId="4" borderId="3" xfId="15" applyFont="1" applyFill="1" applyBorder="1"/>
    <xf numFmtId="0" fontId="65" fillId="30" borderId="104" xfId="15" applyFont="1" applyFill="1" applyBorder="1"/>
    <xf numFmtId="0" fontId="5" fillId="30" borderId="3" xfId="15" applyFont="1" applyFill="1" applyBorder="1"/>
    <xf numFmtId="0" fontId="65" fillId="31" borderId="104" xfId="15" applyFont="1" applyFill="1" applyBorder="1"/>
    <xf numFmtId="0" fontId="5" fillId="31" borderId="3" xfId="15" applyFont="1" applyFill="1" applyBorder="1"/>
    <xf numFmtId="0" fontId="14" fillId="6" borderId="14" xfId="16" applyFill="1" applyBorder="1" applyProtection="1">
      <protection locked="0"/>
    </xf>
    <xf numFmtId="0" fontId="14" fillId="6" borderId="3" xfId="16" applyFill="1" applyBorder="1" applyProtection="1">
      <protection locked="0"/>
    </xf>
    <xf numFmtId="0" fontId="4" fillId="6" borderId="3" xfId="16" applyFont="1" applyFill="1" applyBorder="1" applyProtection="1">
      <protection locked="0"/>
    </xf>
    <xf numFmtId="0" fontId="14" fillId="4" borderId="14" xfId="16" applyFill="1" applyBorder="1" applyProtection="1">
      <protection locked="0"/>
    </xf>
    <xf numFmtId="0" fontId="14" fillId="4" borderId="3" xfId="16" applyFill="1" applyBorder="1" applyProtection="1">
      <protection locked="0"/>
    </xf>
    <xf numFmtId="0" fontId="4" fillId="4" borderId="3" xfId="16" applyFont="1" applyFill="1" applyBorder="1" applyProtection="1">
      <protection locked="0"/>
    </xf>
    <xf numFmtId="0" fontId="14" fillId="30" borderId="14" xfId="16" applyFill="1" applyBorder="1" applyProtection="1">
      <protection locked="0"/>
    </xf>
    <xf numFmtId="0" fontId="14" fillId="30" borderId="3" xfId="16" applyFill="1" applyBorder="1" applyProtection="1">
      <protection locked="0"/>
    </xf>
    <xf numFmtId="0" fontId="4" fillId="30" borderId="3" xfId="16" applyFont="1" applyFill="1" applyBorder="1" applyProtection="1">
      <protection locked="0"/>
    </xf>
    <xf numFmtId="0" fontId="14" fillId="31" borderId="14" xfId="16" applyFill="1" applyBorder="1" applyProtection="1">
      <protection locked="0"/>
    </xf>
    <xf numFmtId="0" fontId="14" fillId="31" borderId="3" xfId="16" applyFill="1" applyBorder="1" applyProtection="1">
      <protection locked="0"/>
    </xf>
    <xf numFmtId="0" fontId="4" fillId="31" borderId="3" xfId="16" applyFont="1" applyFill="1" applyBorder="1" applyProtection="1">
      <protection locked="0"/>
    </xf>
    <xf numFmtId="0" fontId="3" fillId="0" borderId="14" xfId="20" applyBorder="1" applyAlignment="1">
      <alignment wrapText="1"/>
    </xf>
    <xf numFmtId="0" fontId="3" fillId="0" borderId="3" xfId="20" applyBorder="1" applyAlignment="1">
      <alignment wrapText="1"/>
    </xf>
    <xf numFmtId="0" fontId="3" fillId="0" borderId="3" xfId="20" applyBorder="1"/>
    <xf numFmtId="0" fontId="3" fillId="0" borderId="3" xfId="20" quotePrefix="1" applyBorder="1"/>
    <xf numFmtId="0" fontId="3" fillId="0" borderId="3" xfId="20" quotePrefix="1" applyBorder="1" applyAlignment="1">
      <alignment wrapText="1"/>
    </xf>
    <xf numFmtId="0" fontId="3" fillId="4" borderId="3" xfId="20" applyFill="1" applyBorder="1" applyAlignment="1">
      <alignment wrapText="1"/>
    </xf>
    <xf numFmtId="0" fontId="3" fillId="4" borderId="14" xfId="20" applyFill="1" applyBorder="1" applyAlignment="1">
      <alignment wrapText="1"/>
    </xf>
    <xf numFmtId="0" fontId="3" fillId="4" borderId="3" xfId="20" applyFill="1" applyBorder="1"/>
    <xf numFmtId="0" fontId="3" fillId="4" borderId="3" xfId="20" quotePrefix="1" applyFill="1" applyBorder="1"/>
    <xf numFmtId="0" fontId="3" fillId="4" borderId="3" xfId="20" quotePrefix="1" applyFill="1" applyBorder="1" applyAlignment="1">
      <alignment wrapText="1"/>
    </xf>
    <xf numFmtId="0" fontId="3" fillId="30" borderId="3" xfId="20" applyFill="1" applyBorder="1" applyAlignment="1">
      <alignment wrapText="1"/>
    </xf>
    <xf numFmtId="0" fontId="3" fillId="30" borderId="14" xfId="20" applyFill="1" applyBorder="1" applyAlignment="1">
      <alignment wrapText="1"/>
    </xf>
    <xf numFmtId="0" fontId="3" fillId="30" borderId="3" xfId="20" applyFill="1" applyBorder="1"/>
    <xf numFmtId="0" fontId="3" fillId="30" borderId="3" xfId="20" quotePrefix="1" applyFill="1" applyBorder="1"/>
    <xf numFmtId="0" fontId="3" fillId="30" borderId="3" xfId="20" quotePrefix="1" applyFill="1" applyBorder="1" applyAlignment="1">
      <alignment wrapText="1"/>
    </xf>
    <xf numFmtId="0" fontId="3" fillId="31" borderId="3" xfId="20" applyFill="1" applyBorder="1" applyAlignment="1">
      <alignment wrapText="1"/>
    </xf>
    <xf numFmtId="0" fontId="3" fillId="31" borderId="14" xfId="20" applyFill="1" applyBorder="1" applyAlignment="1">
      <alignment wrapText="1"/>
    </xf>
    <xf numFmtId="0" fontId="3" fillId="31" borderId="3" xfId="20" applyFill="1" applyBorder="1"/>
    <xf numFmtId="0" fontId="3" fillId="31" borderId="3" xfId="20" quotePrefix="1" applyFill="1" applyBorder="1"/>
    <xf numFmtId="0" fontId="3" fillId="31" borderId="3" xfId="20" quotePrefix="1" applyFill="1" applyBorder="1" applyAlignment="1">
      <alignment wrapText="1"/>
    </xf>
    <xf numFmtId="0" fontId="0" fillId="0" borderId="7" xfId="0" applyBorder="1" applyAlignment="1">
      <alignment vertical="center"/>
    </xf>
    <xf numFmtId="0" fontId="22" fillId="0" borderId="26" xfId="0" applyFont="1" applyBorder="1" applyAlignment="1">
      <alignment vertical="center"/>
    </xf>
    <xf numFmtId="1" fontId="0" fillId="0" borderId="28" xfId="0" applyNumberFormat="1" applyBorder="1" applyAlignment="1">
      <alignment horizontal="center" vertical="center"/>
    </xf>
    <xf numFmtId="1" fontId="0" fillId="0" borderId="29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1" fontId="22" fillId="0" borderId="86" xfId="0" applyNumberFormat="1" applyFont="1" applyBorder="1" applyAlignment="1">
      <alignment horizontal="center" vertical="center"/>
    </xf>
    <xf numFmtId="0" fontId="22" fillId="0" borderId="27" xfId="0" applyFont="1" applyBorder="1" applyAlignment="1">
      <alignment vertical="center"/>
    </xf>
    <xf numFmtId="1" fontId="0" fillId="0" borderId="31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1" fontId="22" fillId="0" borderId="87" xfId="0" applyNumberFormat="1" applyFont="1" applyBorder="1" applyAlignment="1">
      <alignment horizontal="center" vertical="center"/>
    </xf>
    <xf numFmtId="0" fontId="22" fillId="0" borderId="36" xfId="0" applyFont="1" applyBorder="1" applyAlignment="1">
      <alignment vertical="center"/>
    </xf>
    <xf numFmtId="1" fontId="0" fillId="0" borderId="37" xfId="0" applyNumberFormat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22" fillId="0" borderId="88" xfId="0" applyNumberFormat="1" applyFont="1" applyBorder="1" applyAlignment="1">
      <alignment horizontal="center" vertical="center"/>
    </xf>
    <xf numFmtId="0" fontId="22" fillId="0" borderId="3" xfId="0" applyFont="1" applyBorder="1" applyAlignment="1">
      <alignment vertical="center"/>
    </xf>
    <xf numFmtId="1" fontId="0" fillId="0" borderId="23" xfId="0" applyNumberFormat="1" applyBorder="1" applyAlignment="1">
      <alignment horizontal="center" vertical="center"/>
    </xf>
    <xf numFmtId="1" fontId="0" fillId="0" borderId="24" xfId="0" applyNumberFormat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22" fillId="0" borderId="17" xfId="0" applyNumberFormat="1" applyFont="1" applyBorder="1" applyAlignment="1">
      <alignment horizontal="center" vertical="center"/>
    </xf>
    <xf numFmtId="0" fontId="22" fillId="0" borderId="48" xfId="0" applyFont="1" applyBorder="1" applyAlignment="1">
      <alignment vertical="center"/>
    </xf>
    <xf numFmtId="1" fontId="0" fillId="0" borderId="51" xfId="0" applyNumberFormat="1" applyBorder="1" applyAlignment="1">
      <alignment horizontal="center" vertical="center"/>
    </xf>
    <xf numFmtId="1" fontId="0" fillId="0" borderId="52" xfId="0" applyNumberFormat="1" applyBorder="1" applyAlignment="1">
      <alignment horizontal="center" vertical="center"/>
    </xf>
    <xf numFmtId="1" fontId="0" fillId="0" borderId="53" xfId="0" applyNumberFormat="1" applyBorder="1" applyAlignment="1">
      <alignment horizontal="center" vertical="center"/>
    </xf>
    <xf numFmtId="1" fontId="0" fillId="0" borderId="48" xfId="0" applyNumberFormat="1" applyBorder="1" applyAlignment="1">
      <alignment horizontal="center" vertical="center"/>
    </xf>
    <xf numFmtId="1" fontId="22" fillId="0" borderId="48" xfId="0" applyNumberFormat="1" applyFont="1" applyBorder="1" applyAlignment="1">
      <alignment horizontal="center" vertical="center"/>
    </xf>
    <xf numFmtId="1" fontId="0" fillId="0" borderId="50" xfId="0" applyNumberFormat="1" applyBorder="1" applyAlignment="1">
      <alignment horizontal="center" vertical="center"/>
    </xf>
    <xf numFmtId="1" fontId="0" fillId="0" borderId="50" xfId="0" applyNumberFormat="1" applyBorder="1" applyAlignment="1">
      <alignment horizontal="right" vertical="center"/>
    </xf>
    <xf numFmtId="1" fontId="0" fillId="0" borderId="41" xfId="0" applyNumberFormat="1" applyBorder="1" applyAlignment="1">
      <alignment horizontal="center" vertical="center"/>
    </xf>
    <xf numFmtId="1" fontId="0" fillId="0" borderId="41" xfId="0" applyNumberFormat="1" applyBorder="1" applyAlignment="1">
      <alignment horizontal="right" vertical="center"/>
    </xf>
    <xf numFmtId="0" fontId="72" fillId="0" borderId="0" xfId="0" applyFont="1" applyAlignment="1">
      <alignment horizontal="center"/>
    </xf>
    <xf numFmtId="0" fontId="28" fillId="0" borderId="81" xfId="0" applyFont="1" applyBorder="1"/>
    <xf numFmtId="0" fontId="72" fillId="0" borderId="5" xfId="0" applyFont="1" applyBorder="1" applyAlignment="1">
      <alignment horizontal="center"/>
    </xf>
    <xf numFmtId="9" fontId="40" fillId="3" borderId="3" xfId="8" applyFont="1" applyFill="1" applyBorder="1" applyAlignment="1" applyProtection="1">
      <alignment horizontal="center" vertical="center"/>
      <protection locked="0"/>
    </xf>
    <xf numFmtId="0" fontId="30" fillId="0" borderId="40" xfId="0" applyFont="1" applyBorder="1" applyAlignment="1">
      <alignment vertical="center"/>
    </xf>
    <xf numFmtId="0" fontId="30" fillId="0" borderId="49" xfId="0" applyFont="1" applyBorder="1" applyAlignment="1">
      <alignment vertical="center"/>
    </xf>
    <xf numFmtId="0" fontId="85" fillId="0" borderId="0" xfId="0" applyFont="1" applyAlignment="1">
      <alignment vertical="top"/>
    </xf>
    <xf numFmtId="0" fontId="2" fillId="20" borderId="3" xfId="15" applyFont="1" applyFill="1" applyBorder="1" applyAlignment="1">
      <alignment wrapText="1"/>
    </xf>
    <xf numFmtId="0" fontId="2" fillId="24" borderId="3" xfId="15" applyFont="1" applyFill="1" applyBorder="1"/>
    <xf numFmtId="0" fontId="2" fillId="26" borderId="3" xfId="15" applyFont="1" applyFill="1" applyBorder="1"/>
    <xf numFmtId="1" fontId="41" fillId="6" borderId="34" xfId="0" applyNumberFormat="1" applyFont="1" applyFill="1" applyBorder="1" applyAlignment="1">
      <alignment horizontal="center"/>
    </xf>
    <xf numFmtId="0" fontId="41" fillId="0" borderId="7" xfId="0" applyFont="1" applyBorder="1"/>
    <xf numFmtId="0" fontId="72" fillId="0" borderId="0" xfId="0" applyFont="1" applyAlignment="1">
      <alignment horizontal="center" vertical="center"/>
    </xf>
    <xf numFmtId="0" fontId="18" fillId="4" borderId="1" xfId="1" applyAlignment="1">
      <alignment horizontal="center"/>
    </xf>
    <xf numFmtId="0" fontId="18" fillId="4" borderId="94" xfId="1" applyBorder="1" applyAlignment="1">
      <alignment horizontal="center"/>
    </xf>
    <xf numFmtId="10" fontId="23" fillId="10" borderId="72" xfId="0" applyNumberFormat="1" applyFont="1" applyFill="1" applyBorder="1"/>
    <xf numFmtId="0" fontId="22" fillId="0" borderId="3" xfId="0" applyFont="1" applyBorder="1" applyAlignment="1">
      <alignment horizontal="left"/>
    </xf>
    <xf numFmtId="0" fontId="30" fillId="0" borderId="0" xfId="0" applyFont="1" applyAlignment="1">
      <alignment horizontal="left" vertical="top" wrapText="1"/>
    </xf>
    <xf numFmtId="0" fontId="0" fillId="8" borderId="3" xfId="0" quotePrefix="1" applyFill="1" applyBorder="1" applyAlignment="1">
      <alignment horizontal="center" vertical="center"/>
    </xf>
    <xf numFmtId="0" fontId="24" fillId="0" borderId="125" xfId="0" applyFont="1" applyBorder="1" applyAlignment="1">
      <alignment horizontal="center"/>
    </xf>
    <xf numFmtId="0" fontId="24" fillId="0" borderId="126" xfId="0" applyFont="1" applyBorder="1" applyAlignment="1">
      <alignment horizontal="center"/>
    </xf>
    <xf numFmtId="1" fontId="0" fillId="0" borderId="131" xfId="0" applyNumberFormat="1" applyBorder="1" applyAlignment="1">
      <alignment horizontal="center" vertical="center"/>
    </xf>
    <xf numFmtId="1" fontId="0" fillId="0" borderId="132" xfId="0" applyNumberFormat="1" applyBorder="1" applyAlignment="1">
      <alignment horizontal="center" vertical="center"/>
    </xf>
    <xf numFmtId="0" fontId="0" fillId="9" borderId="3" xfId="0" quotePrefix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48" fillId="0" borderId="0" xfId="0" applyFont="1" applyAlignment="1">
      <alignment horizontal="left" vertical="top" wrapText="1"/>
    </xf>
    <xf numFmtId="0" fontId="0" fillId="3" borderId="133" xfId="5" applyFont="1" applyBorder="1" applyAlignment="1" applyProtection="1">
      <alignment horizontal="left"/>
      <protection locked="0"/>
    </xf>
    <xf numFmtId="0" fontId="0" fillId="3" borderId="135" xfId="5" applyFont="1" applyBorder="1" applyAlignment="1" applyProtection="1">
      <alignment horizontal="left"/>
      <protection locked="0"/>
    </xf>
    <xf numFmtId="0" fontId="0" fillId="3" borderId="134" xfId="5" applyFont="1" applyBorder="1" applyAlignment="1" applyProtection="1">
      <alignment horizontal="left"/>
      <protection locked="0"/>
    </xf>
    <xf numFmtId="0" fontId="28" fillId="0" borderId="4" xfId="0" applyFont="1" applyBorder="1" applyAlignment="1">
      <alignment horizontal="left" wrapText="1"/>
    </xf>
    <xf numFmtId="0" fontId="28" fillId="0" borderId="5" xfId="0" applyFont="1" applyBorder="1" applyAlignment="1">
      <alignment horizontal="left" wrapText="1"/>
    </xf>
    <xf numFmtId="0" fontId="28" fillId="0" borderId="81" xfId="0" applyFont="1" applyBorder="1" applyAlignment="1">
      <alignment horizontal="left" wrapText="1"/>
    </xf>
    <xf numFmtId="0" fontId="28" fillId="0" borderId="34" xfId="0" applyFont="1" applyBorder="1" applyAlignment="1">
      <alignment horizontal="left" wrapText="1"/>
    </xf>
    <xf numFmtId="0" fontId="22" fillId="6" borderId="3" xfId="0" applyFont="1" applyFill="1" applyBorder="1" applyAlignment="1">
      <alignment horizontal="center"/>
    </xf>
    <xf numFmtId="0" fontId="23" fillId="0" borderId="0" xfId="6" applyAlignment="1">
      <alignment horizontal="left"/>
    </xf>
    <xf numFmtId="0" fontId="28" fillId="0" borderId="7" xfId="0" applyFont="1" applyBorder="1" applyAlignment="1">
      <alignment horizontal="left" wrapText="1"/>
    </xf>
    <xf numFmtId="0" fontId="22" fillId="6" borderId="4" xfId="0" applyFont="1" applyFill="1" applyBorder="1" applyAlignment="1">
      <alignment horizontal="left" vertical="center" wrapText="1"/>
    </xf>
    <xf numFmtId="0" fontId="22" fillId="6" borderId="5" xfId="0" applyFont="1" applyFill="1" applyBorder="1" applyAlignment="1">
      <alignment horizontal="left" vertical="center" wrapText="1"/>
    </xf>
    <xf numFmtId="0" fontId="84" fillId="0" borderId="0" xfId="0" applyFont="1" applyAlignment="1">
      <alignment horizontal="left" vertical="top" wrapText="1"/>
    </xf>
    <xf numFmtId="0" fontId="30" fillId="6" borderId="7" xfId="0" applyFont="1" applyFill="1" applyBorder="1" applyAlignment="1">
      <alignment horizontal="left" vertical="center" wrapText="1"/>
    </xf>
    <xf numFmtId="0" fontId="30" fillId="6" borderId="0" xfId="0" applyFont="1" applyFill="1" applyAlignment="1">
      <alignment horizontal="left" vertical="center" wrapText="1"/>
    </xf>
    <xf numFmtId="0" fontId="30" fillId="6" borderId="0" xfId="0" applyFont="1" applyFill="1" applyAlignment="1">
      <alignment horizontal="left" wrapText="1"/>
    </xf>
    <xf numFmtId="0" fontId="0" fillId="6" borderId="9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68" fillId="0" borderId="0" xfId="0" applyFont="1" applyAlignment="1">
      <alignment horizontal="left" vertical="center" wrapText="1"/>
    </xf>
    <xf numFmtId="0" fontId="0" fillId="10" borderId="3" xfId="0" quotePrefix="1" applyFill="1" applyBorder="1" applyAlignment="1">
      <alignment horizontal="center" vertical="center"/>
    </xf>
    <xf numFmtId="0" fontId="0" fillId="11" borderId="3" xfId="0" quotePrefix="1" applyFill="1" applyBorder="1" applyAlignment="1">
      <alignment horizontal="center" vertical="center"/>
    </xf>
    <xf numFmtId="0" fontId="0" fillId="12" borderId="3" xfId="0" quotePrefix="1" applyFill="1" applyBorder="1" applyAlignment="1">
      <alignment horizontal="center" vertical="center"/>
    </xf>
    <xf numFmtId="0" fontId="0" fillId="13" borderId="3" xfId="0" quotePrefix="1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22" fillId="6" borderId="9" xfId="0" applyFont="1" applyFill="1" applyBorder="1" applyAlignment="1">
      <alignment horizontal="center" vertical="center"/>
    </xf>
    <xf numFmtId="0" fontId="22" fillId="6" borderId="11" xfId="0" applyFont="1" applyFill="1" applyBorder="1" applyAlignment="1">
      <alignment horizontal="center" vertical="center"/>
    </xf>
    <xf numFmtId="165" fontId="0" fillId="6" borderId="4" xfId="0" applyNumberFormat="1" applyFill="1" applyBorder="1" applyAlignment="1">
      <alignment horizontal="center" vertical="center"/>
    </xf>
    <xf numFmtId="165" fontId="0" fillId="6" borderId="6" xfId="0" applyNumberFormat="1" applyFill="1" applyBorder="1" applyAlignment="1">
      <alignment horizontal="center" vertical="center"/>
    </xf>
    <xf numFmtId="165" fontId="0" fillId="6" borderId="9" xfId="0" applyNumberFormat="1" applyFill="1" applyBorder="1" applyAlignment="1">
      <alignment horizontal="center" vertical="center"/>
    </xf>
    <xf numFmtId="165" fontId="0" fillId="6" borderId="11" xfId="0" applyNumberForma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22" fillId="6" borderId="4" xfId="0" applyFont="1" applyFill="1" applyBorder="1" applyAlignment="1">
      <alignment horizontal="center" vertical="center" wrapText="1"/>
    </xf>
    <xf numFmtId="0" fontId="22" fillId="6" borderId="6" xfId="0" applyFont="1" applyFill="1" applyBorder="1" applyAlignment="1">
      <alignment horizontal="center" vertical="center" wrapText="1"/>
    </xf>
    <xf numFmtId="0" fontId="24" fillId="0" borderId="17" xfId="0" applyFont="1" applyBorder="1" applyAlignment="1">
      <alignment horizontal="center" wrapText="1"/>
    </xf>
    <xf numFmtId="0" fontId="24" fillId="0" borderId="17" xfId="0" applyFont="1" applyBorder="1" applyAlignment="1">
      <alignment horizontal="center"/>
    </xf>
    <xf numFmtId="0" fontId="24" fillId="0" borderId="3" xfId="0" applyFont="1" applyBorder="1" applyAlignment="1">
      <alignment horizontal="center" wrapText="1"/>
    </xf>
    <xf numFmtId="0" fontId="24" fillId="0" borderId="3" xfId="0" applyFont="1" applyBorder="1" applyAlignment="1">
      <alignment horizontal="center"/>
    </xf>
    <xf numFmtId="1" fontId="0" fillId="0" borderId="127" xfId="0" applyNumberFormat="1" applyBorder="1" applyAlignment="1">
      <alignment horizontal="center" vertical="center"/>
    </xf>
    <xf numFmtId="1" fontId="0" fillId="0" borderId="128" xfId="0" applyNumberFormat="1" applyBorder="1" applyAlignment="1">
      <alignment horizontal="center" vertical="center"/>
    </xf>
    <xf numFmtId="1" fontId="0" fillId="0" borderId="129" xfId="0" applyNumberFormat="1" applyBorder="1" applyAlignment="1">
      <alignment horizontal="center" vertical="center"/>
    </xf>
    <xf numFmtId="1" fontId="0" fillId="0" borderId="130" xfId="0" applyNumberFormat="1" applyBorder="1" applyAlignment="1">
      <alignment horizontal="center" vertical="center"/>
    </xf>
    <xf numFmtId="1" fontId="0" fillId="0" borderId="125" xfId="0" applyNumberFormat="1" applyBorder="1" applyAlignment="1">
      <alignment horizontal="center" vertical="center"/>
    </xf>
    <xf numFmtId="1" fontId="0" fillId="0" borderId="126" xfId="0" applyNumberFormat="1" applyBorder="1" applyAlignment="1">
      <alignment horizontal="center" vertical="center"/>
    </xf>
    <xf numFmtId="0" fontId="55" fillId="0" borderId="15" xfId="0" applyFont="1" applyBorder="1" applyAlignment="1">
      <alignment horizontal="center"/>
    </xf>
    <xf numFmtId="0" fontId="55" fillId="0" borderId="16" xfId="0" applyFont="1" applyBorder="1" applyAlignment="1">
      <alignment horizontal="center"/>
    </xf>
    <xf numFmtId="0" fontId="22" fillId="0" borderId="73" xfId="0" applyFont="1" applyBorder="1" applyAlignment="1">
      <alignment horizontal="center"/>
    </xf>
    <xf numFmtId="0" fontId="22" fillId="0" borderId="74" xfId="0" applyFont="1" applyBorder="1" applyAlignment="1">
      <alignment horizontal="center"/>
    </xf>
    <xf numFmtId="0" fontId="22" fillId="0" borderId="113" xfId="0" applyFont="1" applyBorder="1" applyAlignment="1">
      <alignment horizontal="center"/>
    </xf>
    <xf numFmtId="0" fontId="24" fillId="0" borderId="89" xfId="0" applyFont="1" applyBorder="1" applyAlignment="1">
      <alignment horizontal="center" wrapText="1"/>
    </xf>
    <xf numFmtId="0" fontId="24" fillId="0" borderId="74" xfId="0" applyFont="1" applyBorder="1" applyAlignment="1">
      <alignment horizontal="center" wrapText="1"/>
    </xf>
    <xf numFmtId="0" fontId="24" fillId="0" borderId="113" xfId="0" applyFont="1" applyBorder="1" applyAlignment="1">
      <alignment horizontal="center" wrapText="1"/>
    </xf>
    <xf numFmtId="0" fontId="22" fillId="0" borderId="89" xfId="0" applyFont="1" applyBorder="1" applyAlignment="1">
      <alignment horizontal="center"/>
    </xf>
    <xf numFmtId="0" fontId="22" fillId="0" borderId="75" xfId="0" applyFont="1" applyBorder="1" applyAlignment="1">
      <alignment horizontal="center"/>
    </xf>
    <xf numFmtId="0" fontId="64" fillId="24" borderId="16" xfId="0" applyFont="1" applyFill="1" applyBorder="1" applyAlignment="1">
      <alignment horizontal="center"/>
    </xf>
    <xf numFmtId="0" fontId="64" fillId="24" borderId="1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4" fillId="0" borderId="3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wrapText="1"/>
    </xf>
    <xf numFmtId="0" fontId="24" fillId="0" borderId="96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97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24" fillId="0" borderId="98" xfId="0" applyFont="1" applyBorder="1" applyAlignment="1">
      <alignment horizontal="center" wrapText="1"/>
    </xf>
    <xf numFmtId="0" fontId="24" fillId="0" borderId="95" xfId="0" applyFont="1" applyBorder="1" applyAlignment="1">
      <alignment horizontal="center" vertical="center"/>
    </xf>
    <xf numFmtId="0" fontId="24" fillId="0" borderId="96" xfId="0" applyFont="1" applyBorder="1" applyAlignment="1">
      <alignment horizontal="center" vertical="center"/>
    </xf>
    <xf numFmtId="0" fontId="22" fillId="0" borderId="96" xfId="0" applyFont="1" applyBorder="1" applyAlignment="1">
      <alignment horizontal="center" vertical="center"/>
    </xf>
    <xf numFmtId="0" fontId="30" fillId="0" borderId="4" xfId="0" applyFont="1" applyBorder="1" applyAlignment="1">
      <alignment horizontal="left" vertical="top" wrapText="1"/>
    </xf>
    <xf numFmtId="0" fontId="30" fillId="0" borderId="5" xfId="0" applyFont="1" applyBorder="1" applyAlignment="1">
      <alignment horizontal="left" vertical="top" wrapText="1"/>
    </xf>
    <xf numFmtId="0" fontId="30" fillId="0" borderId="6" xfId="0" applyFont="1" applyBorder="1" applyAlignment="1">
      <alignment horizontal="left" vertical="top" wrapText="1"/>
    </xf>
    <xf numFmtId="0" fontId="30" fillId="0" borderId="7" xfId="0" applyFont="1" applyBorder="1" applyAlignment="1">
      <alignment horizontal="left" vertical="top" wrapText="1"/>
    </xf>
    <xf numFmtId="0" fontId="30" fillId="0" borderId="8" xfId="0" applyFont="1" applyBorder="1" applyAlignment="1">
      <alignment horizontal="left" vertical="top" wrapText="1"/>
    </xf>
    <xf numFmtId="0" fontId="30" fillId="0" borderId="9" xfId="0" applyFont="1" applyBorder="1" applyAlignment="1">
      <alignment horizontal="left" vertical="top" wrapText="1"/>
    </xf>
    <xf numFmtId="0" fontId="30" fillId="0" borderId="10" xfId="0" applyFont="1" applyBorder="1" applyAlignment="1">
      <alignment horizontal="left" vertical="top" wrapText="1"/>
    </xf>
    <xf numFmtId="0" fontId="30" fillId="0" borderId="11" xfId="0" applyFont="1" applyBorder="1" applyAlignment="1">
      <alignment horizontal="left" vertical="top" wrapText="1"/>
    </xf>
  </cellXfs>
  <cellStyles count="21">
    <cellStyle name="Calculation" xfId="3" builtinId="22"/>
    <cellStyle name="Explanatory Text" xfId="4" builtinId="53"/>
    <cellStyle name="Good" xfId="9" builtinId="26"/>
    <cellStyle name="Huomautus 2" xfId="12" xr:uid="{6F9FC22B-A59A-4B64-9842-9C9FAC3DA567}"/>
    <cellStyle name="Hyperlink" xfId="7" builtinId="8"/>
    <cellStyle name="Input" xfId="1" builtinId="20" customBuiltin="1"/>
    <cellStyle name="Neutral" xfId="14" builtinId="28"/>
    <cellStyle name="Normaali 2" xfId="6" xr:uid="{D5014E46-54C9-43AC-A7DA-1996129660E7}"/>
    <cellStyle name="Normaali 2 2" xfId="18" xr:uid="{92B3063F-12F4-4670-838C-3886164D7F37}"/>
    <cellStyle name="Normaali 3" xfId="15" xr:uid="{78854980-9A6B-439C-B457-0C716A2BBA0A}"/>
    <cellStyle name="Normaali 3 2" xfId="16" xr:uid="{50D22356-8904-4C0E-A9FF-D3B58400AADF}"/>
    <cellStyle name="Normaali 3 3" xfId="20" xr:uid="{1BF26007-3286-4C24-911D-1D1365795493}"/>
    <cellStyle name="Normaali 4" xfId="17" xr:uid="{4B3EFA86-DAA3-44E9-B543-D2992C171014}"/>
    <cellStyle name="Normaali 5" xfId="19" xr:uid="{0D56D293-9128-420C-901E-3C5F618343E5}"/>
    <cellStyle name="Normal" xfId="0" builtinId="0" customBuiltin="1"/>
    <cellStyle name="Note" xfId="5" builtinId="10" customBuiltin="1"/>
    <cellStyle name="Output" xfId="2" builtinId="21" customBuiltin="1"/>
    <cellStyle name="Per cent" xfId="8" builtinId="5"/>
    <cellStyle name="Syöttö 2" xfId="10" xr:uid="{9652CD16-B47B-4FD7-B9C8-AB4905FEADD6}"/>
    <cellStyle name="Syöttö 3" xfId="13" xr:uid="{BABBFB00-21DE-4FFB-A666-9383132DFB7A}"/>
    <cellStyle name="Tulostus 2" xfId="11" xr:uid="{2FC676F6-4A7D-4790-BD27-8234C5B23B7F}"/>
  </cellStyles>
  <dxfs count="18">
    <dxf>
      <font>
        <b val="0"/>
        <i/>
        <color theme="1" tint="0.499984740745262"/>
      </font>
    </dxf>
    <dxf>
      <font>
        <color theme="0"/>
      </font>
      <fill>
        <patternFill patternType="none">
          <bgColor auto="1"/>
        </patternFill>
      </fill>
      <border>
        <left/>
        <right/>
        <top/>
        <bottom style="thin">
          <color auto="1"/>
        </bottom>
      </border>
    </dxf>
    <dxf>
      <font>
        <color theme="0"/>
      </font>
      <border>
        <bottom/>
        <vertical/>
        <horizontal/>
      </border>
    </dxf>
    <dxf>
      <font>
        <color theme="0"/>
      </font>
    </dxf>
    <dxf>
      <font>
        <b/>
        <i val="0"/>
        <color rgb="FFC00000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4D00"/>
        </patternFill>
      </fill>
    </dxf>
    <dxf>
      <fill>
        <patternFill>
          <bgColor rgb="FFFFB300"/>
        </patternFill>
      </fill>
    </dxf>
    <dxf>
      <fill>
        <patternFill>
          <bgColor rgb="FFFFFF00"/>
        </patternFill>
      </fill>
    </dxf>
    <dxf>
      <fill>
        <patternFill>
          <bgColor rgb="FFB3FF00"/>
        </patternFill>
      </fill>
    </dxf>
    <dxf>
      <fill>
        <patternFill>
          <bgColor rgb="FF4DFF00"/>
        </patternFill>
      </fill>
    </dxf>
    <dxf>
      <font>
        <b val="0"/>
        <i val="0"/>
        <color auto="1"/>
      </font>
      <fill>
        <patternFill>
          <bgColor rgb="FF00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bottom/>
      </border>
    </dxf>
    <dxf>
      <font>
        <color rgb="FFFF0000"/>
      </font>
    </dxf>
    <dxf>
      <font>
        <color rgb="FFC00000"/>
      </font>
    </dxf>
  </dxfs>
  <tableStyles count="1" defaultTableStyle="TableStyleMedium2" defaultPivotStyle="PivotStyleLight16">
    <tableStyle name="Invisible" pivot="0" table="0" count="0" xr9:uid="{BF2C822F-16DD-482D-BA23-177B8A38EA58}"/>
  </tableStyles>
  <colors>
    <mruColors>
      <color rgb="FFFF0000"/>
      <color rgb="FFF2F2F2"/>
      <color rgb="FFFFFFFF"/>
      <color rgb="FFFDFDFD"/>
      <color rgb="FFF9F9F9"/>
      <color rgb="FFE4ECF4"/>
      <color rgb="FFFF4D00"/>
      <color rgb="FFFFB300"/>
      <color rgb="FFFFFF00"/>
      <color rgb="FFB3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7"/>
          <c:order val="0"/>
          <c:tx>
            <c:strRef>
              <c:f>Tulokset!$C$10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22225"/>
            </c:spPr>
            <c:trendlineType val="poly"/>
            <c:order val="2"/>
            <c:dispRSqr val="0"/>
            <c:dispEq val="0"/>
          </c:trendline>
          <c:xVal>
            <c:numRef>
              <c:f>Tulokset!$AJ$12:$AJ$18</c:f>
              <c:numCache>
                <c:formatCode>0</c:formatCode>
                <c:ptCount val="7"/>
                <c:pt idx="0">
                  <c:v>394.99978706590116</c:v>
                </c:pt>
                <c:pt idx="1">
                  <c:v>345.77885090189358</c:v>
                </c:pt>
                <c:pt idx="2">
                  <c:v>305.9312896965755</c:v>
                </c:pt>
                <c:pt idx="3">
                  <c:v>268.58124964164961</c:v>
                </c:pt>
                <c:pt idx="4">
                  <c:v>219.93739247717846</c:v>
                </c:pt>
                <c:pt idx="5">
                  <c:v>163.20727778859165</c:v>
                </c:pt>
                <c:pt idx="6">
                  <c:v>144.81969406651527</c:v>
                </c:pt>
              </c:numCache>
            </c:numRef>
          </c:xVal>
          <c:yVal>
            <c:numRef>
              <c:f>Tulokset!$AI$12:$AI$18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CDA8-4686-AC45-4853354ECBDE}"/>
            </c:ext>
          </c:extLst>
        </c:ser>
        <c:ser>
          <c:idx val="8"/>
          <c:order val="1"/>
          <c:tx>
            <c:strRef>
              <c:f>Tulokset!$E$10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Tulokset!$AL$12:$AL$18</c:f>
              <c:numCache>
                <c:formatCode>0</c:formatCode>
                <c:ptCount val="7"/>
                <c:pt idx="0">
                  <c:v>347.42863009139211</c:v>
                </c:pt>
                <c:pt idx="1">
                  <c:v>299.99647040588872</c:v>
                </c:pt>
                <c:pt idx="2">
                  <c:v>267.01590307006563</c:v>
                </c:pt>
                <c:pt idx="3">
                  <c:v>230.48186494130303</c:v>
                </c:pt>
                <c:pt idx="4">
                  <c:v>188.91628166968172</c:v>
                </c:pt>
                <c:pt idx="5">
                  <c:v>139.39684893217751</c:v>
                </c:pt>
                <c:pt idx="6">
                  <c:v>122.11583213972344</c:v>
                </c:pt>
              </c:numCache>
            </c:numRef>
          </c:xVal>
          <c:yVal>
            <c:numRef>
              <c:f>Tulokset!$AK$12:$AK$18</c:f>
              <c:numCache>
                <c:formatCode>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CDA8-4686-AC45-4853354ECBDE}"/>
            </c:ext>
          </c:extLst>
        </c:ser>
        <c:ser>
          <c:idx val="9"/>
          <c:order val="2"/>
          <c:tx>
            <c:strRef>
              <c:f>Tulokset!$G$10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Tulokset!$AN$12:$AN$17</c:f>
              <c:numCache>
                <c:formatCode>0</c:formatCode>
                <c:ptCount val="6"/>
                <c:pt idx="0">
                  <c:v>212.75137427633652</c:v>
                </c:pt>
                <c:pt idx="1">
                  <c:v>183.74852856962409</c:v>
                </c:pt>
                <c:pt idx="2">
                  <c:v>161.46794292514093</c:v>
                </c:pt>
                <c:pt idx="3">
                  <c:v>137.56160906029334</c:v>
                </c:pt>
                <c:pt idx="4">
                  <c:v>111.61131265417077</c:v>
                </c:pt>
                <c:pt idx="5">
                  <c:v>75.29568053506101</c:v>
                </c:pt>
              </c:numCache>
            </c:numRef>
          </c:xVal>
          <c:yVal>
            <c:numRef>
              <c:f>Tulokset!$AM$12:$AM$17</c:f>
              <c:numCache>
                <c:formatCode>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CDA8-4686-AC45-4853354ECBDE}"/>
            </c:ext>
          </c:extLst>
        </c:ser>
        <c:ser>
          <c:idx val="10"/>
          <c:order val="3"/>
          <c:tx>
            <c:strRef>
              <c:f>Tulokset!$I$10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/>
            </c:spPr>
            <c:trendlineType val="poly"/>
            <c:order val="2"/>
            <c:dispRSqr val="0"/>
            <c:dispEq val="0"/>
          </c:trendline>
          <c:xVal>
            <c:numRef>
              <c:f>Tulokset!$AP$12:$AP$16</c:f>
              <c:numCache>
                <c:formatCode>0</c:formatCode>
                <c:ptCount val="5"/>
                <c:pt idx="0">
                  <c:v>89.481836024503025</c:v>
                </c:pt>
                <c:pt idx="1">
                  <c:v>72.523685892477275</c:v>
                </c:pt>
                <c:pt idx="2">
                  <c:v>54.906045201213587</c:v>
                </c:pt>
                <c:pt idx="3">
                  <c:v>45.824505867407389</c:v>
                </c:pt>
                <c:pt idx="4">
                  <c:v>36.545409216661788</c:v>
                </c:pt>
              </c:numCache>
            </c:numRef>
          </c:xVal>
          <c:yVal>
            <c:numRef>
              <c:f>Tulokset!$AO$12:$AO$16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CDA8-4686-AC45-4853354ECBDE}"/>
            </c:ext>
          </c:extLst>
        </c:ser>
        <c:ser>
          <c:idx val="11"/>
          <c:order val="4"/>
          <c:tx>
            <c:v>Mitoituspiste tulo</c:v>
          </c:tx>
          <c:spPr>
            <a:ln w="19050">
              <a:noFill/>
            </a:ln>
          </c:spPr>
          <c:marker>
            <c:symbol val="none"/>
          </c:marker>
          <c:xVal>
            <c:numRef>
              <c:f>Tulostus!$E$33</c:f>
              <c:numCache>
                <c:formatCode>0</c:formatCode>
                <c:ptCount val="1"/>
                <c:pt idx="0">
                  <c:v>40</c:v>
                </c:pt>
              </c:numCache>
            </c:numRef>
          </c:xVal>
          <c:yVal>
            <c:numRef>
              <c:f>Tulostus!$E$39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CDA8-4686-AC45-4853354ECBDE}"/>
            </c:ext>
          </c:extLst>
        </c:ser>
        <c:ser>
          <c:idx val="5"/>
          <c:order val="5"/>
          <c:tx>
            <c:v>Mitoituspiste poisto</c:v>
          </c:tx>
          <c:spPr>
            <a:ln w="19050">
              <a:noFill/>
            </a:ln>
          </c:spPr>
          <c:marker>
            <c:symbol val="none"/>
          </c:marker>
          <c:xVal>
            <c:numRef>
              <c:f>Tulostus!$G$33</c:f>
              <c:numCache>
                <c:formatCode>0</c:formatCode>
                <c:ptCount val="1"/>
                <c:pt idx="0">
                  <c:v>40</c:v>
                </c:pt>
              </c:numCache>
            </c:numRef>
          </c:xVal>
          <c:yVal>
            <c:numRef>
              <c:f>Tulostus!$G$39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D-CDA8-4686-AC45-4853354ECBDE}"/>
            </c:ext>
          </c:extLst>
        </c:ser>
        <c:ser>
          <c:idx val="0"/>
          <c:order val="6"/>
          <c:tx>
            <c:strRef>
              <c:f>Tulokset!$N$10</c:f>
              <c:strCache>
                <c:ptCount val="1"/>
                <c:pt idx="0">
                  <c:v>10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Tulokset!$AS$12:$AS$18</c:f>
              <c:numCache>
                <c:formatCode>0</c:formatCode>
                <c:ptCount val="7"/>
                <c:pt idx="0">
                  <c:v>419.52381685678353</c:v>
                </c:pt>
                <c:pt idx="1">
                  <c:v>381.75459086777886</c:v>
                </c:pt>
                <c:pt idx="2">
                  <c:v>350.02481026542023</c:v>
                </c:pt>
                <c:pt idx="3">
                  <c:v>318.87939901413677</c:v>
                </c:pt>
                <c:pt idx="4">
                  <c:v>274.91960210152467</c:v>
                </c:pt>
                <c:pt idx="5">
                  <c:v>212.33102060754882</c:v>
                </c:pt>
                <c:pt idx="6">
                  <c:v>159.39991603654673</c:v>
                </c:pt>
              </c:numCache>
            </c:numRef>
          </c:xVal>
          <c:yVal>
            <c:numRef>
              <c:f>Tulokset!$AR$12:$AR$18</c:f>
              <c:numCache>
                <c:formatCode>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1614-4496-ADB2-F65F6734FD35}"/>
            </c:ext>
          </c:extLst>
        </c:ser>
        <c:ser>
          <c:idx val="1"/>
          <c:order val="7"/>
          <c:tx>
            <c:strRef>
              <c:f>Tulokset!$P$10</c:f>
              <c:strCache>
                <c:ptCount val="1"/>
                <c:pt idx="0">
                  <c:v>7,5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Tulokset!$AU$12:$AU$18</c:f>
              <c:numCache>
                <c:formatCode>0</c:formatCode>
                <c:ptCount val="7"/>
                <c:pt idx="0">
                  <c:v>405.67312697140477</c:v>
                </c:pt>
                <c:pt idx="1">
                  <c:v>364.18504668543818</c:v>
                </c:pt>
                <c:pt idx="2">
                  <c:v>333.42560754269954</c:v>
                </c:pt>
                <c:pt idx="3">
                  <c:v>298.66464952678604</c:v>
                </c:pt>
                <c:pt idx="4">
                  <c:v>257.75794307038529</c:v>
                </c:pt>
                <c:pt idx="5">
                  <c:v>205.46301889280178</c:v>
                </c:pt>
                <c:pt idx="6">
                  <c:v>141.31565714474192</c:v>
                </c:pt>
              </c:numCache>
            </c:numRef>
          </c:xVal>
          <c:yVal>
            <c:numRef>
              <c:f>Tulokset!$AT$12:$AT$18</c:f>
              <c:numCache>
                <c:formatCode>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614-4496-ADB2-F65F6734FD35}"/>
            </c:ext>
          </c:extLst>
        </c:ser>
        <c:ser>
          <c:idx val="2"/>
          <c:order val="8"/>
          <c:tx>
            <c:strRef>
              <c:f>Tulokset!$R$10</c:f>
              <c:strCache>
                <c:ptCount val="1"/>
                <c:pt idx="0">
                  <c:v>5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Tulokset!$AW$12:$AW$17</c:f>
              <c:numCache>
                <c:formatCode>0</c:formatCode>
                <c:ptCount val="6"/>
                <c:pt idx="0">
                  <c:v>260.22453947844366</c:v>
                </c:pt>
                <c:pt idx="1">
                  <c:v>234.13864556394313</c:v>
                </c:pt>
                <c:pt idx="2">
                  <c:v>209.42372608462733</c:v>
                </c:pt>
                <c:pt idx="3">
                  <c:v>182.21862759396353</c:v>
                </c:pt>
                <c:pt idx="4">
                  <c:v>151.57310872704667</c:v>
                </c:pt>
                <c:pt idx="5">
                  <c:v>70.46976066336677</c:v>
                </c:pt>
              </c:numCache>
            </c:numRef>
          </c:xVal>
          <c:yVal>
            <c:numRef>
              <c:f>Tulokset!$AV$12:$AV$17</c:f>
              <c:numCache>
                <c:formatCode>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1614-4496-ADB2-F65F6734FD35}"/>
            </c:ext>
          </c:extLst>
        </c:ser>
        <c:ser>
          <c:idx val="3"/>
          <c:order val="9"/>
          <c:tx>
            <c:strRef>
              <c:f>Tulokset!$T$10</c:f>
              <c:strCache>
                <c:ptCount val="1"/>
                <c:pt idx="0">
                  <c:v>3 V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19050">
                <a:solidFill>
                  <a:srgbClr val="FF0000"/>
                </a:solidFill>
              </a:ln>
            </c:spPr>
            <c:trendlineType val="poly"/>
            <c:order val="2"/>
            <c:dispRSqr val="0"/>
            <c:dispEq val="0"/>
          </c:trendline>
          <c:xVal>
            <c:numRef>
              <c:f>Tulokset!$AY$12:$AY$16</c:f>
              <c:numCache>
                <c:formatCode>0</c:formatCode>
                <c:ptCount val="5"/>
                <c:pt idx="0">
                  <c:v>129.96145965454249</c:v>
                </c:pt>
                <c:pt idx="1">
                  <c:v>108.82418946716246</c:v>
                </c:pt>
                <c:pt idx="2">
                  <c:v>83.562157734557772</c:v>
                </c:pt>
                <c:pt idx="3">
                  <c:v>68.339150766280667</c:v>
                </c:pt>
                <c:pt idx="4">
                  <c:v>36.311774408580682</c:v>
                </c:pt>
              </c:numCache>
            </c:numRef>
          </c:xVal>
          <c:yVal>
            <c:numRef>
              <c:f>Tulokset!$AX$12:$AX$16</c:f>
              <c:numCache>
                <c:formatCode>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1614-4496-ADB2-F65F6734FD35}"/>
            </c:ext>
          </c:extLst>
        </c:ser>
        <c:ser>
          <c:idx val="4"/>
          <c:order val="10"/>
          <c:tx>
            <c:v>Otsikot tulo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6B11BD39-8724-124E-90A3-F7E2EDF5F43D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F61BA58-9252-2B44-AD3C-63A3E741036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D505545-BD8E-A74F-BB91-8945B9A20F4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404AD14-F1DF-E54B-9BB8-7D1C4AF284D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(Tulokset!$AJ$18,Tulokset!$AL$18,Tulokset!$AN$17,Tulokset!$AP$16)</c:f>
              <c:numCache>
                <c:formatCode>0</c:formatCode>
                <c:ptCount val="4"/>
                <c:pt idx="0">
                  <c:v>144.81969406651527</c:v>
                </c:pt>
                <c:pt idx="1">
                  <c:v>122.11583213972344</c:v>
                </c:pt>
                <c:pt idx="2">
                  <c:v>75.29568053506101</c:v>
                </c:pt>
                <c:pt idx="3">
                  <c:v>36.545409216661788</c:v>
                </c:pt>
              </c:numCache>
            </c:numRef>
          </c:xVal>
          <c:yVal>
            <c:numRef>
              <c:f>(Tulokset!$AI$18,Tulokset!$AK$18,Tulokset!$AM$17,Tulokset!$AO$16)</c:f>
              <c:numCache>
                <c:formatCode>0</c:formatCode>
                <c:ptCount val="4"/>
                <c:pt idx="0">
                  <c:v>410</c:v>
                </c:pt>
                <c:pt idx="1">
                  <c:v>315</c:v>
                </c:pt>
                <c:pt idx="2">
                  <c:v>125</c:v>
                </c:pt>
                <c:pt idx="3">
                  <c:v>40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(Tulokset!$C$10,Tulokset!$E$10,Tulokset!$G$10,Tulokset!$I$10)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1614-4496-ADB2-F65F6734FD35}"/>
            </c:ext>
          </c:extLst>
        </c:ser>
        <c:ser>
          <c:idx val="6"/>
          <c:order val="11"/>
          <c:tx>
            <c:v>Otsikot poisto</c:v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AE03039-1F2D-B44E-9C9B-0B6E60AD2CFE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614-4496-ADB2-F65F6734FD3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6AA0D4C-9B54-1B40-A86C-ED01FF50274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1614-4496-ADB2-F65F6734FD3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9F6615D-3DB3-7843-86E3-2A5EA2F4586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1614-4496-ADB2-F65F6734FD3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BEA0B1A-4E7D-6843-B51F-2F161BC3862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1614-4496-ADB2-F65F6734FD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0000"/>
                    </a:solidFill>
                  </a:defRPr>
                </a:pPr>
                <a:endParaRPr lang="fi-FI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</c:ext>
            </c:extLst>
          </c:dLbls>
          <c:xVal>
            <c:numRef>
              <c:f>(Tulokset!$AS$18,Tulokset!$AU$18,Tulokset!$AW$17,Tulokset!$AY$16)</c:f>
              <c:numCache>
                <c:formatCode>0</c:formatCode>
                <c:ptCount val="4"/>
                <c:pt idx="0">
                  <c:v>159.39991603654673</c:v>
                </c:pt>
                <c:pt idx="1">
                  <c:v>141.31565714474192</c:v>
                </c:pt>
                <c:pt idx="2">
                  <c:v>70.46976066336677</c:v>
                </c:pt>
                <c:pt idx="3">
                  <c:v>36.311774408580682</c:v>
                </c:pt>
              </c:numCache>
            </c:numRef>
          </c:xVal>
          <c:yVal>
            <c:numRef>
              <c:f>(Tulokset!$AR$18,Tulokset!$AT$18,Tulokset!$AV$17,Tulokset!$AX$16)</c:f>
              <c:numCache>
                <c:formatCode>0</c:formatCode>
                <c:ptCount val="4"/>
                <c:pt idx="0">
                  <c:v>422</c:v>
                </c:pt>
                <c:pt idx="1">
                  <c:v>340</c:v>
                </c:pt>
                <c:pt idx="2">
                  <c:v>140</c:v>
                </c:pt>
                <c:pt idx="3">
                  <c:v>43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(Tulokset!$N$10,Tulokset!$P$10,Tulokset!$R$10,Tulokset!$T$10)</c15:f>
                <c15:dlblRangeCache>
                  <c:ptCount val="4"/>
                  <c:pt idx="0">
                    <c:v>10 V</c:v>
                  </c:pt>
                  <c:pt idx="1">
                    <c:v>7,5 V</c:v>
                  </c:pt>
                  <c:pt idx="2">
                    <c:v>5 V</c:v>
                  </c:pt>
                  <c:pt idx="3">
                    <c:v>3 V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1614-4496-ADB2-F65F6734FD35}"/>
            </c:ext>
          </c:extLst>
        </c:ser>
        <c:ser>
          <c:idx val="13"/>
          <c:order val="12"/>
          <c:tx>
            <c:v>Tehostuspisteet tulo</c:v>
          </c:tx>
          <c:spPr>
            <a:ln w="19050">
              <a:noFill/>
            </a:ln>
          </c:spPr>
          <c:marker>
            <c:symbol val="none"/>
          </c:marker>
          <c:trendline>
            <c:spPr>
              <a:ln w="9525">
                <a:solidFill>
                  <a:schemeClr val="tx1">
                    <a:lumMod val="75000"/>
                    <a:lumOff val="25000"/>
                    <a:alpha val="2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Tulokset!$DB$10:$DB$11</c:f>
              <c:numCache>
                <c:formatCode>0</c:formatCode>
                <c:ptCount val="2"/>
                <c:pt idx="0">
                  <c:v>3.6</c:v>
                </c:pt>
                <c:pt idx="1">
                  <c:v>144</c:v>
                </c:pt>
              </c:numCache>
            </c:numRef>
          </c:xVal>
          <c:yVal>
            <c:numRef>
              <c:f>Tulokset!$DC$10:$DC$11</c:f>
              <c:numCache>
                <c:formatCode>0</c:formatCode>
                <c:ptCount val="2"/>
                <c:pt idx="0">
                  <c:v>3.125E-2</c:v>
                </c:pt>
                <c:pt idx="1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761-418C-B229-174E1CE47846}"/>
            </c:ext>
          </c:extLst>
        </c:ser>
        <c:ser>
          <c:idx val="14"/>
          <c:order val="13"/>
          <c:tx>
            <c:v>Tehostuspisteet poisto</c:v>
          </c:tx>
          <c:spPr>
            <a:ln w="19050">
              <a:noFill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2-B761-418C-B229-174E1CE47846}"/>
              </c:ext>
            </c:extLst>
          </c:dPt>
          <c:trendline>
            <c:spPr>
              <a:ln w="9525">
                <a:solidFill>
                  <a:srgbClr val="FF0000">
                    <a:alpha val="2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Tulokset!$DB$14:$DB$15</c:f>
              <c:numCache>
                <c:formatCode>0</c:formatCode>
                <c:ptCount val="2"/>
                <c:pt idx="0">
                  <c:v>7.2</c:v>
                </c:pt>
                <c:pt idx="1">
                  <c:v>144</c:v>
                </c:pt>
              </c:numCache>
            </c:numRef>
          </c:xVal>
          <c:yVal>
            <c:numRef>
              <c:f>Tulokset!$DC$14:$DC$15</c:f>
              <c:numCache>
                <c:formatCode>0</c:formatCode>
                <c:ptCount val="2"/>
                <c:pt idx="0">
                  <c:v>0.125</c:v>
                </c:pt>
                <c:pt idx="1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B761-418C-B229-174E1CE47846}"/>
            </c:ext>
          </c:extLst>
        </c:ser>
        <c:ser>
          <c:idx val="15"/>
          <c:order val="14"/>
          <c:tx>
            <c:v>Mitoitusviivat tulo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chemeClr val="tx1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A3-46DE-987E-24B1A34E8FCD}"/>
              </c:ext>
            </c:extLst>
          </c:dPt>
          <c:trendline>
            <c:spPr>
              <a:ln w="9525">
                <a:solidFill>
                  <a:schemeClr val="tx1">
                    <a:alpha val="65000"/>
                  </a:scheme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Tulokset!$DB$11:$DB$12</c:f>
              <c:numCache>
                <c:formatCode>0</c:formatCode>
                <c:ptCount val="2"/>
                <c:pt idx="0">
                  <c:v>144</c:v>
                </c:pt>
                <c:pt idx="1">
                  <c:v>172.8</c:v>
                </c:pt>
              </c:numCache>
            </c:numRef>
          </c:xVal>
          <c:yVal>
            <c:numRef>
              <c:f>Tulokset!$DC$11:$DC$12</c:f>
              <c:numCache>
                <c:formatCode>0</c:formatCode>
                <c:ptCount val="2"/>
                <c:pt idx="0">
                  <c:v>50</c:v>
                </c:pt>
                <c:pt idx="1">
                  <c:v>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B761-418C-B229-174E1CE47846}"/>
            </c:ext>
          </c:extLst>
        </c:ser>
        <c:ser>
          <c:idx val="16"/>
          <c:order val="15"/>
          <c:tx>
            <c:v>Tehostusviivat poisto</c:v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chemeClr val="accent2">
                  <a:lumMod val="40000"/>
                  <a:lumOff val="60000"/>
                </a:schemeClr>
              </a:solidFill>
              <a:ln w="12700">
                <a:solidFill>
                  <a:srgbClr val="FF0000"/>
                </a:solidFill>
              </a:ln>
            </c:spPr>
          </c:marker>
          <c:dPt>
            <c:idx val="0"/>
            <c:marker>
              <c:symbol val="x"/>
              <c:size val="7"/>
              <c:spPr>
                <a:noFill/>
                <a:ln w="19050">
                  <a:solidFill>
                    <a:srgbClr val="FF0000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A3-46DE-987E-24B1A34E8FCD}"/>
              </c:ext>
            </c:extLst>
          </c:dPt>
          <c:trendline>
            <c:spPr>
              <a:ln w="9525">
                <a:solidFill>
                  <a:srgbClr val="FF0000">
                    <a:alpha val="65000"/>
                  </a:srgbClr>
                </a:solidFill>
                <a:prstDash val="lgDash"/>
              </a:ln>
            </c:spPr>
            <c:trendlineType val="power"/>
            <c:dispRSqr val="0"/>
            <c:dispEq val="0"/>
          </c:trendline>
          <c:xVal>
            <c:numRef>
              <c:f>Tulokset!$DB$15:$DB$16</c:f>
              <c:numCache>
                <c:formatCode>0</c:formatCode>
                <c:ptCount val="2"/>
                <c:pt idx="0">
                  <c:v>144</c:v>
                </c:pt>
                <c:pt idx="1">
                  <c:v>172.8</c:v>
                </c:pt>
              </c:numCache>
            </c:numRef>
          </c:xVal>
          <c:yVal>
            <c:numRef>
              <c:f>Tulokset!$DC$15:$DC$16</c:f>
              <c:numCache>
                <c:formatCode>0</c:formatCode>
                <c:ptCount val="2"/>
                <c:pt idx="0">
                  <c:v>50</c:v>
                </c:pt>
                <c:pt idx="1">
                  <c:v>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B761-418C-B229-174E1CE47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Tulokset!$AK$6</c:f>
              <c:strCache>
                <c:ptCount val="1"/>
                <c:pt idx="0">
                  <c:v>Air volume flow [m³/h]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bg1">
                  <a:lumMod val="95000"/>
                </a:schemeClr>
              </a:solidFill>
            </a:ln>
          </c:spPr>
        </c:minorGridlines>
        <c:title>
          <c:tx>
            <c:strRef>
              <c:f>Kirjasto!$M$5</c:f>
              <c:strCache>
                <c:ptCount val="1"/>
                <c:pt idx="0">
                  <c:v>Pressure difference [Pa]</c:v>
                </c:pt>
              </c:strCache>
            </c:strRef>
          </c:tx>
          <c:overlay val="0"/>
          <c:txPr>
            <a:bodyPr/>
            <a:lstStyle/>
            <a:p>
              <a:pPr>
                <a:defRPr b="0">
                  <a:solidFill>
                    <a:schemeClr val="tx1">
                      <a:lumMod val="65000"/>
                      <a:lumOff val="35000"/>
                    </a:schemeClr>
                  </a:solidFill>
                </a:defRPr>
              </a:pPr>
              <a:endParaRPr lang="fi-FI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</c:plotArea>
    <c:plotVisOnly val="1"/>
    <c:dispBlanksAs val="gap"/>
    <c:showDLblsOverMax val="0"/>
    <c:extLst/>
  </c:chart>
  <c:spPr>
    <a:ln>
      <a:solidFill>
        <a:schemeClr val="tx1"/>
      </a:solidFill>
    </a:ln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0.30358954579704656"/>
                  <c:y val="-7.553776783456300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130'!$X$62:$X$68</c:f>
              <c:numCache>
                <c:formatCode>0.0</c:formatCode>
                <c:ptCount val="7"/>
                <c:pt idx="0">
                  <c:v>115.07326296692654</c:v>
                </c:pt>
                <c:pt idx="1">
                  <c:v>110.37714302386942</c:v>
                </c:pt>
                <c:pt idx="2">
                  <c:v>103.29973361775856</c:v>
                </c:pt>
                <c:pt idx="3">
                  <c:v>92.00971203437571</c:v>
                </c:pt>
                <c:pt idx="4">
                  <c:v>79.647869425429306</c:v>
                </c:pt>
                <c:pt idx="5">
                  <c:v>68.418898324482583</c:v>
                </c:pt>
                <c:pt idx="6">
                  <c:v>52.880453885014383</c:v>
                </c:pt>
              </c:numCache>
            </c:numRef>
          </c:xVal>
          <c:yVal>
            <c:numRef>
              <c:f>'Laskenta tulopuoli 130'!$Y$62:$Y$68</c:f>
              <c:numCache>
                <c:formatCode>0.0</c:formatCode>
                <c:ptCount val="7"/>
                <c:pt idx="0">
                  <c:v>167.55901865645629</c:v>
                </c:pt>
                <c:pt idx="1">
                  <c:v>166.83068715224474</c:v>
                </c:pt>
                <c:pt idx="2">
                  <c:v>163.1785428035638</c:v>
                </c:pt>
                <c:pt idx="3">
                  <c:v>149.02892706748165</c:v>
                </c:pt>
                <c:pt idx="4">
                  <c:v>137.70061008294681</c:v>
                </c:pt>
                <c:pt idx="5">
                  <c:v>126.95007636248987</c:v>
                </c:pt>
                <c:pt idx="6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109-4BED-83FB-52C358E5A2D6}"/>
            </c:ext>
          </c:extLst>
        </c:ser>
        <c:ser>
          <c:idx val="1"/>
          <c:order val="1"/>
          <c:tx>
            <c:strRef>
              <c:f>'Laskenta tulopuoli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130'!$X$70:$X$76</c:f>
              <c:numCache>
                <c:formatCode>0.0</c:formatCode>
                <c:ptCount val="7"/>
                <c:pt idx="0">
                  <c:v>42.211275851555982</c:v>
                </c:pt>
                <c:pt idx="1">
                  <c:v>58.642949192646377</c:v>
                </c:pt>
                <c:pt idx="2">
                  <c:v>71.897152256247168</c:v>
                </c:pt>
                <c:pt idx="3">
                  <c:v>89.052329006531664</c:v>
                </c:pt>
                <c:pt idx="4">
                  <c:v>97.587712481034103</c:v>
                </c:pt>
                <c:pt idx="5">
                  <c:v>104.27133188591066</c:v>
                </c:pt>
                <c:pt idx="6">
                  <c:v>111.74275916804318</c:v>
                </c:pt>
              </c:numCache>
            </c:numRef>
          </c:xVal>
          <c:yVal>
            <c:numRef>
              <c:f>'Laskenta tulopuoli 130'!$Y$70:$Y$76</c:f>
              <c:numCache>
                <c:formatCode>0.0</c:formatCode>
                <c:ptCount val="7"/>
                <c:pt idx="0">
                  <c:v>64.573221113007946</c:v>
                </c:pt>
                <c:pt idx="1">
                  <c:v>76.697210767145009</c:v>
                </c:pt>
                <c:pt idx="2">
                  <c:v>86.468910889524679</c:v>
                </c:pt>
                <c:pt idx="3">
                  <c:v>101.34825145413782</c:v>
                </c:pt>
                <c:pt idx="4">
                  <c:v>108.33146437607296</c:v>
                </c:pt>
                <c:pt idx="5">
                  <c:v>114.30265628247243</c:v>
                </c:pt>
                <c:pt idx="6">
                  <c:v>119.61292912838947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109-4BED-83FB-52C358E5A2D6}"/>
            </c:ext>
          </c:extLst>
        </c:ser>
        <c:ser>
          <c:idx val="2"/>
          <c:order val="2"/>
          <c:tx>
            <c:strRef>
              <c:f>'Laskenta tulopuoli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130'!$X$78:$X$82</c:f>
              <c:numCache>
                <c:formatCode>0.0</c:formatCode>
                <c:ptCount val="5"/>
                <c:pt idx="0">
                  <c:v>81.198846939796766</c:v>
                </c:pt>
                <c:pt idx="1">
                  <c:v>70.254539314096192</c:v>
                </c:pt>
                <c:pt idx="2">
                  <c:v>52.851142891263699</c:v>
                </c:pt>
                <c:pt idx="3">
                  <c:v>35.427885488417679</c:v>
                </c:pt>
                <c:pt idx="4">
                  <c:v>24.980850337281851</c:v>
                </c:pt>
              </c:numCache>
            </c:numRef>
          </c:xVal>
          <c:yVal>
            <c:numRef>
              <c:f>'Laskenta tulopuoli 130'!$Y$78:$Y$82</c:f>
              <c:numCache>
                <c:formatCode>0.0</c:formatCode>
                <c:ptCount val="5"/>
                <c:pt idx="0">
                  <c:v>53.948619317926948</c:v>
                </c:pt>
                <c:pt idx="1">
                  <c:v>48.762386933316016</c:v>
                </c:pt>
                <c:pt idx="2">
                  <c:v>40.17479588942841</c:v>
                </c:pt>
                <c:pt idx="3">
                  <c:v>32.654563666299268</c:v>
                </c:pt>
                <c:pt idx="4">
                  <c:v>28.243687599468238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109-4BED-83FB-52C358E5A2D6}"/>
            </c:ext>
          </c:extLst>
        </c:ser>
        <c:ser>
          <c:idx val="3"/>
          <c:order val="3"/>
          <c:tx>
            <c:strRef>
              <c:f>'Laskenta tulopuoli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130'!$X$86:$X$89</c:f>
              <c:numCache>
                <c:formatCode>0.0</c:formatCode>
                <c:ptCount val="4"/>
                <c:pt idx="0">
                  <c:v>11.711435293612686</c:v>
                </c:pt>
                <c:pt idx="1">
                  <c:v>27.818556286951857</c:v>
                </c:pt>
                <c:pt idx="2">
                  <c:v>36.046560556264176</c:v>
                </c:pt>
                <c:pt idx="3">
                  <c:v>46.471423023508507</c:v>
                </c:pt>
              </c:numCache>
            </c:numRef>
          </c:xVal>
          <c:yVal>
            <c:numRef>
              <c:f>'Laskenta tulopuoli 130'!$Y$86:$Y$89</c:f>
              <c:numCache>
                <c:formatCode>0.0</c:formatCode>
                <c:ptCount val="4"/>
                <c:pt idx="0">
                  <c:v>10.725288918422793</c:v>
                </c:pt>
                <c:pt idx="1">
                  <c:v>13.699672910599288</c:v>
                </c:pt>
                <c:pt idx="2">
                  <c:v>15.230560172038357</c:v>
                </c:pt>
                <c:pt idx="3">
                  <c:v>17.476266161553145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109-4BED-83FB-52C358E5A2D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0249005732555573"/>
                  <c:y val="0.294122636635546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130'!$AC$34:$AC$38</c:f>
              <c:numCache>
                <c:formatCode>0.0</c:formatCode>
                <c:ptCount val="5"/>
                <c:pt idx="0">
                  <c:v>99.72861757132172</c:v>
                </c:pt>
                <c:pt idx="1">
                  <c:v>82.531273004241669</c:v>
                </c:pt>
                <c:pt idx="2">
                  <c:v>59.77342771579147</c:v>
                </c:pt>
                <c:pt idx="3">
                  <c:v>36.214720979239374</c:v>
                </c:pt>
                <c:pt idx="4">
                  <c:v>93.85245755664927</c:v>
                </c:pt>
              </c:numCache>
            </c:numRef>
          </c:xVal>
          <c:yVal>
            <c:numRef>
              <c:f>'Laskenta tulopuoli 130'!$AE$34:$AE$38</c:f>
              <c:numCache>
                <c:formatCode>0.0</c:formatCode>
                <c:ptCount val="5"/>
                <c:pt idx="0">
                  <c:v>157.19220635808034</c:v>
                </c:pt>
                <c:pt idx="1">
                  <c:v>95.645708706157208</c:v>
                </c:pt>
                <c:pt idx="2">
                  <c:v>43.538504391341519</c:v>
                </c:pt>
                <c:pt idx="3">
                  <c:v>15.31434806592806</c:v>
                </c:pt>
                <c:pt idx="4">
                  <c:v>122.60099217840872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109-4BED-83FB-52C358E5A2D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130'!$W$13</c:f>
              <c:numCache>
                <c:formatCode>0.0</c:formatCode>
                <c:ptCount val="1"/>
                <c:pt idx="0">
                  <c:v>18.214901301215839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109-4BED-83FB-52C358E5A2D6}"/>
            </c:ext>
          </c:extLst>
        </c:ser>
        <c:ser>
          <c:idx val="6"/>
          <c:order val="6"/>
          <c:tx>
            <c:strRef>
              <c:f>'Laskenta tulopuoli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130'!$X$92:$X$97</c:f>
              <c:numCache>
                <c:formatCode>0.0</c:formatCode>
                <c:ptCount val="6"/>
                <c:pt idx="0">
                  <c:v>141.10404124096343</c:v>
                </c:pt>
                <c:pt idx="1">
                  <c:v>124.94903554906834</c:v>
                </c:pt>
                <c:pt idx="2">
                  <c:v>106.62217899469141</c:v>
                </c:pt>
                <c:pt idx="3">
                  <c:v>64.419920557585854</c:v>
                </c:pt>
                <c:pt idx="4">
                  <c:v>56.229712184516153</c:v>
                </c:pt>
                <c:pt idx="5">
                  <c:v>83.611180354954868</c:v>
                </c:pt>
              </c:numCache>
            </c:numRef>
          </c:xVal>
          <c:yVal>
            <c:numRef>
              <c:f>'Laskenta tulopuoli 130'!$Y$92:$Y$97</c:f>
              <c:numCache>
                <c:formatCode>0.0</c:formatCode>
                <c:ptCount val="6"/>
                <c:pt idx="0">
                  <c:v>167.93655444929746</c:v>
                </c:pt>
                <c:pt idx="1">
                  <c:v>151.20163489695867</c:v>
                </c:pt>
                <c:pt idx="2">
                  <c:v>133.50891905510676</c:v>
                </c:pt>
                <c:pt idx="3">
                  <c:v>99.092044063706723</c:v>
                </c:pt>
                <c:pt idx="4">
                  <c:v>93.114830247782109</c:v>
                </c:pt>
                <c:pt idx="5">
                  <c:v>114.54522119951174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109-4BED-83FB-52C358E5A2D6}"/>
            </c:ext>
          </c:extLst>
        </c:ser>
        <c:ser>
          <c:idx val="7"/>
          <c:order val="7"/>
          <c:tx>
            <c:v>10V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130'!$X$59:$X$68</c:f>
              <c:numCache>
                <c:formatCode>0.0</c:formatCode>
                <c:ptCount val="10"/>
                <c:pt idx="0">
                  <c:v>126.54627249330899</c:v>
                </c:pt>
                <c:pt idx="1">
                  <c:v>124.17422218989299</c:v>
                </c:pt>
                <c:pt idx="2">
                  <c:v>119.51684900019518</c:v>
                </c:pt>
                <c:pt idx="3">
                  <c:v>115.07326296692654</c:v>
                </c:pt>
                <c:pt idx="4">
                  <c:v>110.37714302386942</c:v>
                </c:pt>
                <c:pt idx="5">
                  <c:v>103.29973361775856</c:v>
                </c:pt>
                <c:pt idx="6">
                  <c:v>92.00971203437571</c:v>
                </c:pt>
                <c:pt idx="7">
                  <c:v>79.647869425429306</c:v>
                </c:pt>
                <c:pt idx="8">
                  <c:v>68.418898324482583</c:v>
                </c:pt>
                <c:pt idx="9">
                  <c:v>52.880453885014383</c:v>
                </c:pt>
              </c:numCache>
            </c:numRef>
          </c:xVal>
          <c:yVal>
            <c:numRef>
              <c:f>'Laskenta tulopuoli 130'!$Y$59:$Y$68</c:f>
              <c:numCache>
                <c:formatCode>0.0</c:formatCode>
                <c:ptCount val="10"/>
                <c:pt idx="0">
                  <c:v>166.57546823070092</c:v>
                </c:pt>
                <c:pt idx="1">
                  <c:v>167.97619510885116</c:v>
                </c:pt>
                <c:pt idx="2">
                  <c:v>166.98982665915423</c:v>
                </c:pt>
                <c:pt idx="3">
                  <c:v>167.55901865645629</c:v>
                </c:pt>
                <c:pt idx="4">
                  <c:v>166.83068715224474</c:v>
                </c:pt>
                <c:pt idx="5">
                  <c:v>163.1785428035638</c:v>
                </c:pt>
                <c:pt idx="6">
                  <c:v>149.02892706748165</c:v>
                </c:pt>
                <c:pt idx="7">
                  <c:v>137.70061008294681</c:v>
                </c:pt>
                <c:pt idx="8">
                  <c:v>126.95007636248987</c:v>
                </c:pt>
                <c:pt idx="9">
                  <c:v>109.75920069451099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109-4BED-83FB-52C358E5A2D6}"/>
            </c:ext>
          </c:extLst>
        </c:ser>
        <c:ser>
          <c:idx val="8"/>
          <c:order val="8"/>
          <c:tx>
            <c:v>8V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130'!$F$64:$F$67</c:f>
              <c:numCache>
                <c:formatCode>0.0</c:formatCode>
                <c:ptCount val="4"/>
                <c:pt idx="0">
                  <c:v>113.88364344629936</c:v>
                </c:pt>
                <c:pt idx="1">
                  <c:v>105.60183590543593</c:v>
                </c:pt>
                <c:pt idx="2">
                  <c:v>96.726317106350749</c:v>
                </c:pt>
                <c:pt idx="3">
                  <c:v>80.48587455606517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109-4BED-83FB-52C358E5A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130'!$AB$6:$AB$12</c:f>
              <c:numCache>
                <c:formatCode>0.0</c:formatCode>
                <c:ptCount val="7"/>
                <c:pt idx="0">
                  <c:v>131.65147221131414</c:v>
                </c:pt>
                <c:pt idx="1">
                  <c:v>122.52946208046407</c:v>
                </c:pt>
                <c:pt idx="2">
                  <c:v>115.04274265297924</c:v>
                </c:pt>
                <c:pt idx="3">
                  <c:v>107.91088932436708</c:v>
                </c:pt>
                <c:pt idx="4">
                  <c:v>98.380674781731599</c:v>
                </c:pt>
                <c:pt idx="5">
                  <c:v>86.68396882006833</c:v>
                </c:pt>
                <c:pt idx="6">
                  <c:v>69.837702333332686</c:v>
                </c:pt>
              </c:numCache>
            </c:numRef>
          </c:xVal>
          <c:yVal>
            <c:numRef>
              <c:f>'Laskenta tulopuoli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80-4584-B646-9A4FCAD07F0E}"/>
            </c:ext>
          </c:extLst>
        </c:ser>
        <c:ser>
          <c:idx val="1"/>
          <c:order val="1"/>
          <c:tx>
            <c:strRef>
              <c:f>'Laskenta tulopuoli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130'!$AD$6:$AD$12</c:f>
              <c:numCache>
                <c:formatCode>0.0</c:formatCode>
                <c:ptCount val="7"/>
                <c:pt idx="0">
                  <c:v>116.85450849239542</c:v>
                </c:pt>
                <c:pt idx="1">
                  <c:v>112.30721540202725</c:v>
                </c:pt>
                <c:pt idx="2">
                  <c:v>104.21936943528442</c:v>
                </c:pt>
                <c:pt idx="3">
                  <c:v>95.329191153990706</c:v>
                </c:pt>
                <c:pt idx="4">
                  <c:v>91.487310242307103</c:v>
                </c:pt>
                <c:pt idx="5">
                  <c:v>87.444183357892655</c:v>
                </c:pt>
                <c:pt idx="6">
                  <c:v>51.732198585414771</c:v>
                </c:pt>
              </c:numCache>
            </c:numRef>
          </c:xVal>
          <c:yVal>
            <c:numRef>
              <c:f>'Laskenta tulopuoli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80-4584-B646-9A4FCAD07F0E}"/>
            </c:ext>
          </c:extLst>
        </c:ser>
        <c:ser>
          <c:idx val="2"/>
          <c:order val="2"/>
          <c:tx>
            <c:strRef>
              <c:f>'Laskenta tulopuoli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130'!$AF$6:$AF$11</c:f>
              <c:numCache>
                <c:formatCode>0.0</c:formatCode>
                <c:ptCount val="6"/>
                <c:pt idx="0">
                  <c:v>86.014925141186822</c:v>
                </c:pt>
                <c:pt idx="1">
                  <c:v>78.95043720955195</c:v>
                </c:pt>
                <c:pt idx="2">
                  <c:v>73.965772403943234</c:v>
                </c:pt>
                <c:pt idx="3">
                  <c:v>68.721115310129704</c:v>
                </c:pt>
                <c:pt idx="4">
                  <c:v>63.170968273780559</c:v>
                </c:pt>
                <c:pt idx="5">
                  <c:v>36.255180897120141</c:v>
                </c:pt>
              </c:numCache>
            </c:numRef>
          </c:xVal>
          <c:yVal>
            <c:numRef>
              <c:f>'Laskenta tulopuoli 130'!$AE$6:$AE$11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80-4584-B646-9A4FCAD07F0E}"/>
            </c:ext>
          </c:extLst>
        </c:ser>
        <c:ser>
          <c:idx val="3"/>
          <c:order val="3"/>
          <c:tx>
            <c:strRef>
              <c:f>'Laskenta tulopuoli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130'!$AH$6:$AH$10</c:f>
              <c:numCache>
                <c:formatCode>0.0</c:formatCode>
                <c:ptCount val="5"/>
                <c:pt idx="0">
                  <c:v>49.481696828913591</c:v>
                </c:pt>
                <c:pt idx="1">
                  <c:v>45.39455871587581</c:v>
                </c:pt>
                <c:pt idx="2">
                  <c:v>43.286302856281061</c:v>
                </c:pt>
                <c:pt idx="3">
                  <c:v>41.131100017601455</c:v>
                </c:pt>
                <c:pt idx="4">
                  <c:v>21.698347502443017</c:v>
                </c:pt>
              </c:numCache>
            </c:numRef>
          </c:xVal>
          <c:yVal>
            <c:numRef>
              <c:f>'Laskenta tulopuoli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A80-4584-B646-9A4FCAD07F0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130'!$L$3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A80-4584-B646-9A4FCAD07F0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99.72861757132172</c:v>
                </c:pt>
                <c:pt idx="1">
                  <c:v>82.531273004241669</c:v>
                </c:pt>
                <c:pt idx="2">
                  <c:v>59.77342771579147</c:v>
                </c:pt>
                <c:pt idx="3">
                  <c:v>36.214720979239374</c:v>
                </c:pt>
              </c:numCache>
            </c:numRef>
          </c:xVal>
          <c:yVal>
            <c:numRef>
              <c:f>'Laskenta tulopuoli 130'!$AD$34:$AD$37</c:f>
              <c:numCache>
                <c:formatCode>0.0</c:formatCode>
                <c:ptCount val="4"/>
                <c:pt idx="0">
                  <c:v>310.80616133396677</c:v>
                </c:pt>
                <c:pt idx="1">
                  <c:v>212.85659449064588</c:v>
                </c:pt>
                <c:pt idx="2">
                  <c:v>111.65195815296713</c:v>
                </c:pt>
                <c:pt idx="3">
                  <c:v>40.984562987630014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A80-4584-B646-9A4FCAD07F0E}"/>
            </c:ext>
          </c:extLst>
        </c:ser>
        <c:ser>
          <c:idx val="6"/>
          <c:order val="6"/>
          <c:tx>
            <c:strRef>
              <c:f>'Laskenta tulopuoli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olid"/>
              </a:ln>
              <a:effectLst/>
            </c:spPr>
            <c:trendlineType val="poly"/>
            <c:order val="2"/>
            <c:forward val="13"/>
            <c:dispRSqr val="0"/>
            <c:dispEq val="0"/>
          </c:trendline>
          <c:xVal>
            <c:numRef>
              <c:f>'Laskenta tulopuoli 130'!$P$24:$P$26</c:f>
              <c:numCache>
                <c:formatCode>General</c:formatCode>
                <c:ptCount val="3"/>
                <c:pt idx="0">
                  <c:v>60</c:v>
                </c:pt>
                <c:pt idx="1">
                  <c:v>90</c:v>
                </c:pt>
                <c:pt idx="2">
                  <c:v>120</c:v>
                </c:pt>
              </c:numCache>
            </c:numRef>
          </c:xVal>
          <c:yVal>
            <c:numRef>
              <c:f>'Laskenta tulopuoli 130'!$Q$24:$Q$26</c:f>
              <c:numCache>
                <c:formatCode>General</c:formatCode>
                <c:ptCount val="3"/>
                <c:pt idx="0">
                  <c:v>412.9606628462916</c:v>
                </c:pt>
                <c:pt idx="1">
                  <c:v>294.88862109012308</c:v>
                </c:pt>
                <c:pt idx="2">
                  <c:v>115.15577786811809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464-45BD-82D1-B01A348F1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-1.1771771771771772E-3"/>
                  <c:y val="0.2141583836415214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130'!$D$59:$D$62</c:f>
              <c:numCache>
                <c:formatCode>0.0</c:formatCode>
                <c:ptCount val="4"/>
                <c:pt idx="0">
                  <c:v>142.33692589140077</c:v>
                </c:pt>
                <c:pt idx="1">
                  <c:v>135.55354520352333</c:v>
                </c:pt>
                <c:pt idx="2">
                  <c:v>120.87292567048598</c:v>
                </c:pt>
                <c:pt idx="3">
                  <c:v>99.354279744439367</c:v>
                </c:pt>
              </c:numCache>
            </c:numRef>
          </c:xVal>
          <c:yVal>
            <c:numRef>
              <c:f>'Laskenta poistopuoli 130'!$E$59:$E$62</c:f>
              <c:numCache>
                <c:formatCode>0.0</c:formatCode>
                <c:ptCount val="4"/>
                <c:pt idx="0">
                  <c:v>63.504792074772809</c:v>
                </c:pt>
                <c:pt idx="1">
                  <c:v>63.293976534273817</c:v>
                </c:pt>
                <c:pt idx="2">
                  <c:v>63.858494061413182</c:v>
                </c:pt>
                <c:pt idx="3">
                  <c:v>64.001811053093547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63-429A-ADC2-E63C304DCCDC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-1.9939939939939939E-2"/>
                  <c:y val="0.279999694583704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130'!$E$64:$E$67</c:f>
              <c:numCache>
                <c:formatCode>0.0</c:formatCode>
                <c:ptCount val="4"/>
                <c:pt idx="0">
                  <c:v>60.755407441724529</c:v>
                </c:pt>
                <c:pt idx="1">
                  <c:v>59.863910817556906</c:v>
                </c:pt>
                <c:pt idx="2">
                  <c:v>59.500309027733529</c:v>
                </c:pt>
                <c:pt idx="3">
                  <c:v>59.437175303534943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63-429A-ADC2-E63C304DCCDC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1578898583622993"/>
                  <c:y val="0.230266707166140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130'!$D$69:$D$72</c:f>
              <c:numCache>
                <c:formatCode>0.0</c:formatCode>
                <c:ptCount val="4"/>
                <c:pt idx="0">
                  <c:v>93.509550571045949</c:v>
                </c:pt>
                <c:pt idx="1">
                  <c:v>84.603189103799437</c:v>
                </c:pt>
                <c:pt idx="2">
                  <c:v>73.637239543770193</c:v>
                </c:pt>
                <c:pt idx="3">
                  <c:v>62.440986792248914</c:v>
                </c:pt>
              </c:numCache>
            </c:numRef>
          </c:xVal>
          <c:yVal>
            <c:numRef>
              <c:f>'Laskenta poistopuoli 130'!$E$69:$E$72</c:f>
              <c:numCache>
                <c:formatCode>0.0</c:formatCode>
                <c:ptCount val="4"/>
                <c:pt idx="0">
                  <c:v>54.415504897675802</c:v>
                </c:pt>
                <c:pt idx="1">
                  <c:v>53.466522438874719</c:v>
                </c:pt>
                <c:pt idx="2">
                  <c:v>52.965459876340411</c:v>
                </c:pt>
                <c:pt idx="3">
                  <c:v>53.03990267809472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63-429A-ADC2-E63C304DCCDC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41774410631103542"/>
                  <c:y val="0.189491722860481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130'!$E$74:$E$77</c:f>
              <c:numCache>
                <c:formatCode>0.0</c:formatCode>
                <c:ptCount val="4"/>
                <c:pt idx="0">
                  <c:v>45.027312949970536</c:v>
                </c:pt>
                <c:pt idx="1">
                  <c:v>45.390878440304824</c:v>
                </c:pt>
                <c:pt idx="2">
                  <c:v>44.940241651074359</c:v>
                </c:pt>
                <c:pt idx="3">
                  <c:v>44.609229142732467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63-429A-ADC2-E63C304DCCDC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63-429A-ADC2-E63C304DCCDC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A763-429A-ADC2-E63C304DCCDC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8415521032843866"/>
                  <c:y val="-8.2353118025979957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108.96667066070982</c:v>
                </c:pt>
                <c:pt idx="1">
                  <c:v>89.198473335160173</c:v>
                </c:pt>
                <c:pt idx="2">
                  <c:v>65.878224902394521</c:v>
                </c:pt>
                <c:pt idx="3">
                  <c:v>42.068081465226783</c:v>
                </c:pt>
              </c:numCache>
            </c:numRef>
          </c:xVal>
          <c:yVal>
            <c:numRef>
              <c:f>'Laskenta poistopuoli 130'!$AF$34:$AF$37</c:f>
              <c:numCache>
                <c:formatCode>0.0</c:formatCode>
                <c:ptCount val="4"/>
                <c:pt idx="0">
                  <c:v>63.910517283793659</c:v>
                </c:pt>
                <c:pt idx="1">
                  <c:v>59.409118878614848</c:v>
                </c:pt>
                <c:pt idx="2">
                  <c:v>52.944147568215044</c:v>
                </c:pt>
                <c:pt idx="3">
                  <c:v>44.813331574344346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763-429A-ADC2-E63C304DCCDC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130'!$W$5</c:f>
              <c:numCache>
                <c:formatCode>0.0</c:formatCode>
                <c:ptCount val="1"/>
                <c:pt idx="0">
                  <c:v>43.493008775503654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763-429A-ADC2-E63C304DC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130'!$N$59:$N$62</c:f>
              <c:numCache>
                <c:formatCode>0.0</c:formatCode>
                <c:ptCount val="4"/>
                <c:pt idx="0">
                  <c:v>142.31089483268275</c:v>
                </c:pt>
                <c:pt idx="1">
                  <c:v>135.75297833011399</c:v>
                </c:pt>
                <c:pt idx="2">
                  <c:v>121.88498248796257</c:v>
                </c:pt>
                <c:pt idx="3">
                  <c:v>98.845904208709058</c:v>
                </c:pt>
              </c:numCache>
            </c:numRef>
          </c:xVal>
          <c:yVal>
            <c:numRef>
              <c:f>'Laskenta poistopuoli 130'!$O$59:$O$62</c:f>
              <c:numCache>
                <c:formatCode>0.0</c:formatCode>
                <c:ptCount val="4"/>
                <c:pt idx="0">
                  <c:v>76.38069339977983</c:v>
                </c:pt>
                <c:pt idx="1">
                  <c:v>75.606125966760828</c:v>
                </c:pt>
                <c:pt idx="2">
                  <c:v>75.27508361363077</c:v>
                </c:pt>
                <c:pt idx="3">
                  <c:v>75.51677763329937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88C-42A9-BBE1-B42D224F214A}"/>
            </c:ext>
          </c:extLst>
        </c:ser>
        <c:ser>
          <c:idx val="1"/>
          <c:order val="1"/>
          <c:tx>
            <c:strRef>
              <c:f>'Laskenta poistopuoli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130'!$N$64:$N$67</c:f>
              <c:numCache>
                <c:formatCode>0.0</c:formatCode>
                <c:ptCount val="4"/>
                <c:pt idx="0">
                  <c:v>124.39645653823712</c:v>
                </c:pt>
                <c:pt idx="1">
                  <c:v>115.27995865272432</c:v>
                </c:pt>
                <c:pt idx="2">
                  <c:v>101.91624124775765</c:v>
                </c:pt>
                <c:pt idx="3">
                  <c:v>83.81228756595587</c:v>
                </c:pt>
              </c:numCache>
            </c:numRef>
          </c:xVal>
          <c:yVal>
            <c:numRef>
              <c:f>'Laskenta poistopuoli 130'!$O$64:$O$67</c:f>
              <c:numCache>
                <c:formatCode>0.0</c:formatCode>
                <c:ptCount val="4"/>
                <c:pt idx="0">
                  <c:v>73.274158998284477</c:v>
                </c:pt>
                <c:pt idx="1">
                  <c:v>72.04948224384114</c:v>
                </c:pt>
                <c:pt idx="2">
                  <c:v>71.079127309114256</c:v>
                </c:pt>
                <c:pt idx="3">
                  <c:v>71.200535622630397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88C-42A9-BBE1-B42D224F214A}"/>
            </c:ext>
          </c:extLst>
        </c:ser>
        <c:ser>
          <c:idx val="2"/>
          <c:order val="2"/>
          <c:tx>
            <c:strRef>
              <c:f>'Laskenta poistopuoli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130'!$O$69:$O$72</c:f>
              <c:numCache>
                <c:formatCode>0.0</c:formatCode>
                <c:ptCount val="4"/>
                <c:pt idx="0">
                  <c:v>66.574724987435175</c:v>
                </c:pt>
                <c:pt idx="1">
                  <c:v>65.900228657656129</c:v>
                </c:pt>
                <c:pt idx="2">
                  <c:v>64.745187392101812</c:v>
                </c:pt>
                <c:pt idx="3">
                  <c:v>64.778560386905198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88C-42A9-BBE1-B42D224F214A}"/>
            </c:ext>
          </c:extLst>
        </c:ser>
        <c:ser>
          <c:idx val="3"/>
          <c:order val="3"/>
          <c:tx>
            <c:strRef>
              <c:f>'Laskenta poistopuoli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130'!$N$74:$N$77</c:f>
              <c:numCache>
                <c:formatCode>0.0</c:formatCode>
                <c:ptCount val="4"/>
                <c:pt idx="0">
                  <c:v>58.419544531154315</c:v>
                </c:pt>
                <c:pt idx="1">
                  <c:v>52.196889475840962</c:v>
                </c:pt>
                <c:pt idx="2">
                  <c:v>45.892068901589042</c:v>
                </c:pt>
                <c:pt idx="3">
                  <c:v>38.225352061782701</c:v>
                </c:pt>
              </c:numCache>
            </c:numRef>
          </c:xVal>
          <c:yVal>
            <c:numRef>
              <c:f>'Laskenta poistopuoli 130'!$O$74:$O$77</c:f>
              <c:numCache>
                <c:formatCode>0.0</c:formatCode>
                <c:ptCount val="4"/>
                <c:pt idx="0">
                  <c:v>57.040901964604288</c:v>
                </c:pt>
                <c:pt idx="1">
                  <c:v>56.496554636920223</c:v>
                </c:pt>
                <c:pt idx="2">
                  <c:v>55.851746083342412</c:v>
                </c:pt>
                <c:pt idx="3">
                  <c:v>55.770251275797165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88C-42A9-BBE1-B42D224F214A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108.96667066070982</c:v>
                </c:pt>
                <c:pt idx="1">
                  <c:v>89.198473335160173</c:v>
                </c:pt>
                <c:pt idx="2">
                  <c:v>65.878224902394521</c:v>
                </c:pt>
                <c:pt idx="3">
                  <c:v>42.068081465226783</c:v>
                </c:pt>
              </c:numCache>
            </c:numRef>
          </c:xVal>
          <c:yVal>
            <c:numRef>
              <c:f>'Laskenta poistopuoli 130'!$AG$34:$AG$37</c:f>
              <c:numCache>
                <c:formatCode>0.0</c:formatCode>
                <c:ptCount val="4"/>
                <c:pt idx="0">
                  <c:v>75.172847851860595</c:v>
                </c:pt>
                <c:pt idx="1">
                  <c:v>70.985928643612112</c:v>
                </c:pt>
                <c:pt idx="2">
                  <c:v>64.743752079064762</c:v>
                </c:pt>
                <c:pt idx="3">
                  <c:v>55.798975442781938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88C-42A9-BBE1-B42D224F214A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130'!$W$6</c:f>
              <c:numCache>
                <c:formatCode>0.0</c:formatCode>
                <c:ptCount val="1"/>
                <c:pt idx="0">
                  <c:v>54.706929874614787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88C-42A9-BBE1-B42D224F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130'!$AM$35:$AM$38</c:f>
              <c:numCache>
                <c:formatCode>0.0</c:formatCode>
                <c:ptCount val="4"/>
                <c:pt idx="0">
                  <c:v>100.62175573047989</c:v>
                </c:pt>
                <c:pt idx="1">
                  <c:v>89.198473335160173</c:v>
                </c:pt>
                <c:pt idx="2">
                  <c:v>65.878224902394521</c:v>
                </c:pt>
                <c:pt idx="3">
                  <c:v>42.068081465226783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F6-4C33-A801-29372F903CD8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8.7654053814097757E-2"/>
                  <c:y val="0.1641881567778005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130'!$AM$34:$AM$35</c:f>
              <c:numCache>
                <c:formatCode>0.0</c:formatCode>
                <c:ptCount val="2"/>
                <c:pt idx="0">
                  <c:v>108.96667066070982</c:v>
                </c:pt>
                <c:pt idx="1">
                  <c:v>100.62175573047989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F6-4C33-A801-29372F903CD8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130'!$W$9</c:f>
              <c:numCache>
                <c:formatCode>0.0</c:formatCode>
                <c:ptCount val="1"/>
                <c:pt idx="0">
                  <c:v>3.8101231455787632</c:v>
                </c:pt>
              </c:numCache>
            </c:numRef>
          </c:xVal>
          <c:yVal>
            <c:numRef>
              <c:f>'Laskenta poistopuoli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F6-4C33-A801-29372F903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layout>
                <c:manualLayout>
                  <c:x val="-9.6325788086510059E-2"/>
                  <c:y val="-3.99871039742079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130'!$X$63:$X$68</c:f>
              <c:numCache>
                <c:formatCode>0.0</c:formatCode>
                <c:ptCount val="6"/>
                <c:pt idx="0">
                  <c:v>126.45313821471686</c:v>
                </c:pt>
                <c:pt idx="1">
                  <c:v>121.46818656102965</c:v>
                </c:pt>
                <c:pt idx="2">
                  <c:v>113.97454094383536</c:v>
                </c:pt>
                <c:pt idx="3">
                  <c:v>98.894194031361593</c:v>
                </c:pt>
                <c:pt idx="4">
                  <c:v>82.599850212683407</c:v>
                </c:pt>
                <c:pt idx="5">
                  <c:v>59.628845690569321</c:v>
                </c:pt>
              </c:numCache>
            </c:numRef>
          </c:xVal>
          <c:yVal>
            <c:numRef>
              <c:f>'Laskenta poistopuoli 130'!$Y$63:$Y$68</c:f>
              <c:numCache>
                <c:formatCode>0.0</c:formatCode>
                <c:ptCount val="6"/>
                <c:pt idx="0">
                  <c:v>170.40340335914607</c:v>
                </c:pt>
                <c:pt idx="1">
                  <c:v>169.75780539499809</c:v>
                </c:pt>
                <c:pt idx="2">
                  <c:v>167.39901054092508</c:v>
                </c:pt>
                <c:pt idx="3">
                  <c:v>151.94567006146681</c:v>
                </c:pt>
                <c:pt idx="4">
                  <c:v>138.15078073532626</c:v>
                </c:pt>
                <c:pt idx="5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DB-49B0-8662-73BCC978F1CD}"/>
            </c:ext>
          </c:extLst>
        </c:ser>
        <c:ser>
          <c:idx val="1"/>
          <c:order val="1"/>
          <c:tx>
            <c:strRef>
              <c:f>'Laskenta poistopuoli 130'!$W$70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130'!$X$70:$X$76</c:f>
              <c:numCache>
                <c:formatCode>0.0</c:formatCode>
                <c:ptCount val="7"/>
                <c:pt idx="0">
                  <c:v>48.113768648848222</c:v>
                </c:pt>
                <c:pt idx="1">
                  <c:v>69.725952249164479</c:v>
                </c:pt>
                <c:pt idx="2">
                  <c:v>94.145823061534287</c:v>
                </c:pt>
                <c:pt idx="3">
                  <c:v>104.21457877159305</c:v>
                </c:pt>
                <c:pt idx="4">
                  <c:v>112.57223888931715</c:v>
                </c:pt>
                <c:pt idx="5">
                  <c:v>121.08321064793208</c:v>
                </c:pt>
                <c:pt idx="6">
                  <c:v>128.25979843355867</c:v>
                </c:pt>
              </c:numCache>
            </c:numRef>
          </c:xVal>
          <c:yVal>
            <c:numRef>
              <c:f>'Laskenta poistopuoli 130'!$Y$70:$Y$76</c:f>
              <c:numCache>
                <c:formatCode>0.0</c:formatCode>
                <c:ptCount val="7"/>
                <c:pt idx="0">
                  <c:v>66.989400705630914</c:v>
                </c:pt>
                <c:pt idx="1">
                  <c:v>81.624373459526382</c:v>
                </c:pt>
                <c:pt idx="2">
                  <c:v>99.999477318025953</c:v>
                </c:pt>
                <c:pt idx="3">
                  <c:v>103.48805129721504</c:v>
                </c:pt>
                <c:pt idx="4">
                  <c:v>108.26752691162672</c:v>
                </c:pt>
                <c:pt idx="5">
                  <c:v>114.19640879671721</c:v>
                </c:pt>
                <c:pt idx="6">
                  <c:v>120.0773159902373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4DB-49B0-8662-73BCC978F1CD}"/>
            </c:ext>
          </c:extLst>
        </c:ser>
        <c:ser>
          <c:idx val="2"/>
          <c:order val="2"/>
          <c:tx>
            <c:strRef>
              <c:f>'Laskenta poistopuoli 130'!$W$78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130'!$X$78:$X$82</c:f>
              <c:numCache>
                <c:formatCode>0.0</c:formatCode>
                <c:ptCount val="5"/>
                <c:pt idx="0">
                  <c:v>95.288588606918864</c:v>
                </c:pt>
                <c:pt idx="1">
                  <c:v>84.236237037741418</c:v>
                </c:pt>
                <c:pt idx="2">
                  <c:v>67.284582916698795</c:v>
                </c:pt>
                <c:pt idx="3">
                  <c:v>38.781474840211665</c:v>
                </c:pt>
                <c:pt idx="4">
                  <c:v>28.199869006956831</c:v>
                </c:pt>
              </c:numCache>
            </c:numRef>
          </c:xVal>
          <c:yVal>
            <c:numRef>
              <c:f>'Laskenta poistopuoli 130'!$Y$78:$Y$82</c:f>
              <c:numCache>
                <c:formatCode>0.0</c:formatCode>
                <c:ptCount val="5"/>
                <c:pt idx="0">
                  <c:v>55.926419615573145</c:v>
                </c:pt>
                <c:pt idx="1">
                  <c:v>50.599349202971588</c:v>
                </c:pt>
                <c:pt idx="2">
                  <c:v>43.796688567953638</c:v>
                </c:pt>
                <c:pt idx="3">
                  <c:v>32.110345134320482</c:v>
                </c:pt>
                <c:pt idx="4">
                  <c:v>28.517985540807324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4DB-49B0-8662-73BCC978F1CD}"/>
            </c:ext>
          </c:extLst>
        </c:ser>
        <c:ser>
          <c:idx val="3"/>
          <c:order val="3"/>
          <c:tx>
            <c:strRef>
              <c:f>'Laskenta poistopuoli 130'!$W$86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130'!$X$86:$X$89</c:f>
              <c:numCache>
                <c:formatCode>0.0</c:formatCode>
                <c:ptCount val="4"/>
                <c:pt idx="0">
                  <c:v>18.229681878656653</c:v>
                </c:pt>
                <c:pt idx="1">
                  <c:v>38.356644506032225</c:v>
                </c:pt>
                <c:pt idx="2">
                  <c:v>50.652024686808119</c:v>
                </c:pt>
                <c:pt idx="3">
                  <c:v>58.713396920140099</c:v>
                </c:pt>
              </c:numCache>
            </c:numRef>
          </c:xVal>
          <c:yVal>
            <c:numRef>
              <c:f>'Laskenta poistopuoli 130'!$Y$86:$Y$89</c:f>
              <c:numCache>
                <c:formatCode>0.0</c:formatCode>
                <c:ptCount val="4"/>
                <c:pt idx="0">
                  <c:v>11.829330691825657</c:v>
                </c:pt>
                <c:pt idx="1">
                  <c:v>14.906650602251696</c:v>
                </c:pt>
                <c:pt idx="2">
                  <c:v>17.447344781188477</c:v>
                </c:pt>
                <c:pt idx="3">
                  <c:v>18.86532265222845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4DB-49B0-8662-73BCC978F1C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130'!$AC$34:$AC$38</c:f>
              <c:numCache>
                <c:formatCode>0.0</c:formatCode>
                <c:ptCount val="5"/>
                <c:pt idx="0">
                  <c:v>108.96667066070982</c:v>
                </c:pt>
                <c:pt idx="1">
                  <c:v>89.198473335160173</c:v>
                </c:pt>
                <c:pt idx="2">
                  <c:v>65.878224902394521</c:v>
                </c:pt>
                <c:pt idx="3">
                  <c:v>42.068081465226783</c:v>
                </c:pt>
                <c:pt idx="4">
                  <c:v>100.62175573047989</c:v>
                </c:pt>
              </c:numCache>
            </c:numRef>
          </c:xVal>
          <c:yVal>
            <c:numRef>
              <c:f>'Laskenta poistopuoli 130'!$AE$34:$AE$38</c:f>
              <c:numCache>
                <c:formatCode>0.0</c:formatCode>
                <c:ptCount val="5"/>
                <c:pt idx="0">
                  <c:v>160.63316417626339</c:v>
                </c:pt>
                <c:pt idx="1">
                  <c:v>94.804582504574995</c:v>
                </c:pt>
                <c:pt idx="2">
                  <c:v>42.973546941885175</c:v>
                </c:pt>
                <c:pt idx="3">
                  <c:v>15.668070879419691</c:v>
                </c:pt>
                <c:pt idx="4">
                  <c:v>139.34767563134409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4DB-49B0-8662-73BCC978F1CD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130'!$W$13</c:f>
              <c:numCache>
                <c:formatCode>0.0</c:formatCode>
                <c:ptCount val="1"/>
                <c:pt idx="0">
                  <c:v>14.21126308678042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4DB-49B0-8662-73BCC978F1CD}"/>
            </c:ext>
          </c:extLst>
        </c:ser>
        <c:ser>
          <c:idx val="6"/>
          <c:order val="6"/>
          <c:tx>
            <c:strRef>
              <c:f>'Laskenta poistopuoli 130'!$W$92</c:f>
              <c:strCache>
                <c:ptCount val="1"/>
                <c:pt idx="0">
                  <c:v>9V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130'!$X$92:$X$96</c:f>
              <c:numCache>
                <c:formatCode>0.0</c:formatCode>
                <c:ptCount val="5"/>
                <c:pt idx="0">
                  <c:v>120.12416008604148</c:v>
                </c:pt>
                <c:pt idx="1">
                  <c:v>104.28237943386655</c:v>
                </c:pt>
                <c:pt idx="2">
                  <c:v>70.69056308182347</c:v>
                </c:pt>
                <c:pt idx="3">
                  <c:v>49.564301038903714</c:v>
                </c:pt>
                <c:pt idx="4">
                  <c:v>88.638894657469507</c:v>
                </c:pt>
              </c:numCache>
            </c:numRef>
          </c:xVal>
          <c:yVal>
            <c:numRef>
              <c:f>'Laskenta poistopuoli 130'!$Y$92:$Y$96</c:f>
              <c:numCache>
                <c:formatCode>0.0</c:formatCode>
                <c:ptCount val="5"/>
                <c:pt idx="0">
                  <c:v>158.71858363035491</c:v>
                </c:pt>
                <c:pt idx="1">
                  <c:v>143.40845802475638</c:v>
                </c:pt>
                <c:pt idx="2">
                  <c:v>111.60794943452888</c:v>
                </c:pt>
                <c:pt idx="3">
                  <c:v>91.87637660025311</c:v>
                </c:pt>
                <c:pt idx="4">
                  <c:v>126.91451442541967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D4DB-49B0-8662-73BCC978F1CD}"/>
            </c:ext>
          </c:extLst>
        </c:ser>
        <c:ser>
          <c:idx val="7"/>
          <c:order val="7"/>
          <c:tx>
            <c:strRef>
              <c:f>'Laskenta poistopuoli 130'!$W$59</c:f>
              <c:strCache>
                <c:ptCount val="1"/>
                <c:pt idx="0">
                  <c:v>10V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130'!$X$59:$X$68</c:f>
              <c:numCache>
                <c:formatCode>0.0</c:formatCode>
                <c:ptCount val="10"/>
                <c:pt idx="0">
                  <c:v>145.93280562131633</c:v>
                </c:pt>
                <c:pt idx="1">
                  <c:v>141.05384772765888</c:v>
                </c:pt>
                <c:pt idx="2">
                  <c:v>137.14938858370206</c:v>
                </c:pt>
                <c:pt idx="3">
                  <c:v>131.55494143634706</c:v>
                </c:pt>
                <c:pt idx="4">
                  <c:v>126.45313821471686</c:v>
                </c:pt>
                <c:pt idx="5">
                  <c:v>121.46818656102965</c:v>
                </c:pt>
                <c:pt idx="6">
                  <c:v>113.97454094383536</c:v>
                </c:pt>
                <c:pt idx="7">
                  <c:v>98.894194031361593</c:v>
                </c:pt>
                <c:pt idx="8">
                  <c:v>82.599850212683407</c:v>
                </c:pt>
                <c:pt idx="9">
                  <c:v>59.628845690569321</c:v>
                </c:pt>
              </c:numCache>
            </c:numRef>
          </c:xVal>
          <c:yVal>
            <c:numRef>
              <c:f>'Laskenta poistopuoli 130'!$Y$59:$Y$68</c:f>
              <c:numCache>
                <c:formatCode>0.0</c:formatCode>
                <c:ptCount val="10"/>
                <c:pt idx="0">
                  <c:v>171.33659884692841</c:v>
                </c:pt>
                <c:pt idx="1">
                  <c:v>171.20476167067767</c:v>
                </c:pt>
                <c:pt idx="2">
                  <c:v>170.53321022331545</c:v>
                </c:pt>
                <c:pt idx="3">
                  <c:v>170.80421961235893</c:v>
                </c:pt>
                <c:pt idx="4">
                  <c:v>170.40340335914607</c:v>
                </c:pt>
                <c:pt idx="5">
                  <c:v>169.75780539499809</c:v>
                </c:pt>
                <c:pt idx="6">
                  <c:v>167.39901054092508</c:v>
                </c:pt>
                <c:pt idx="7">
                  <c:v>151.94567006146681</c:v>
                </c:pt>
                <c:pt idx="8">
                  <c:v>138.15078073532626</c:v>
                </c:pt>
                <c:pt idx="9">
                  <c:v>117.90995300763927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4DB-49B0-8662-73BCC978F1CD}"/>
            </c:ext>
          </c:extLst>
        </c:ser>
        <c:ser>
          <c:idx val="8"/>
          <c:order val="8"/>
          <c:tx>
            <c:v>6V ääni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130'!$N$69:$N$72</c:f>
              <c:numCache>
                <c:formatCode>0.0</c:formatCode>
                <c:ptCount val="4"/>
                <c:pt idx="0">
                  <c:v>93.746035380865251</c:v>
                </c:pt>
                <c:pt idx="1">
                  <c:v>83.885724032891446</c:v>
                </c:pt>
                <c:pt idx="2">
                  <c:v>73.528916154304341</c:v>
                </c:pt>
                <c:pt idx="3">
                  <c:v>61.604561271906874</c:v>
                </c:pt>
              </c:numCache>
            </c:numRef>
          </c:xVal>
          <c:yVal>
            <c:numRef>
              <c:f>'Laskenta poistopuoli 130'!$P$69:$P$72</c:f>
              <c:numCache>
                <c:formatCode>0.0</c:formatCode>
                <c:ptCount val="4"/>
                <c:pt idx="0">
                  <c:v>51.840740552727752</c:v>
                </c:pt>
                <c:pt idx="1">
                  <c:v>49.063899227254822</c:v>
                </c:pt>
                <c:pt idx="2">
                  <c:v>44.520187546631931</c:v>
                </c:pt>
                <c:pt idx="3">
                  <c:v>37.896921857869309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D4DB-49B0-8662-73BCC978F1CD}"/>
            </c:ext>
          </c:extLst>
        </c:ser>
        <c:ser>
          <c:idx val="9"/>
          <c:order val="9"/>
          <c:tx>
            <c:v>4 V äänimittaus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130'!$D$74:$D$77</c:f>
              <c:numCache>
                <c:formatCode>0.0</c:formatCode>
                <c:ptCount val="4"/>
                <c:pt idx="0">
                  <c:v>58.440074597319764</c:v>
                </c:pt>
                <c:pt idx="1">
                  <c:v>52.756041556422801</c:v>
                </c:pt>
                <c:pt idx="2">
                  <c:v>46.383102435328567</c:v>
                </c:pt>
                <c:pt idx="3">
                  <c:v>39.332106321431894</c:v>
                </c:pt>
              </c:numCache>
            </c:numRef>
          </c:xVal>
          <c:yVal>
            <c:numRef>
              <c:f>'Laskenta poistopuoli 130'!$F$74:$F$77</c:f>
              <c:numCache>
                <c:formatCode>0.0</c:formatCode>
                <c:ptCount val="4"/>
                <c:pt idx="0">
                  <c:v>18.288711059751751</c:v>
                </c:pt>
                <c:pt idx="1">
                  <c:v>17.173412186741277</c:v>
                </c:pt>
                <c:pt idx="2">
                  <c:v>15.976519793234619</c:v>
                </c:pt>
                <c:pt idx="3">
                  <c:v>14.286412768134158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D4DB-49B0-8662-73BCC978F1CD}"/>
            </c:ext>
          </c:extLst>
        </c:ser>
        <c:ser>
          <c:idx val="10"/>
          <c:order val="10"/>
          <c:tx>
            <c:v>8V äänimiitaus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xVal>
            <c:numRef>
              <c:f>'Laskenta poistopuoli 130'!$D$64:$D$67</c:f>
              <c:numCache>
                <c:formatCode>0.0</c:formatCode>
                <c:ptCount val="4"/>
                <c:pt idx="0">
                  <c:v>124.39615122000632</c:v>
                </c:pt>
                <c:pt idx="1">
                  <c:v>115.28578026929198</c:v>
                </c:pt>
                <c:pt idx="2">
                  <c:v>101.60052829387213</c:v>
                </c:pt>
                <c:pt idx="3">
                  <c:v>86.887542381488743</c:v>
                </c:pt>
              </c:numCache>
            </c:numRef>
          </c:xVal>
          <c:yVal>
            <c:numRef>
              <c:f>'Laskenta poistopuoli 130'!$F$64:$F$67</c:f>
              <c:numCache>
                <c:formatCode>0.0</c:formatCode>
                <c:ptCount val="4"/>
                <c:pt idx="0">
                  <c:v>113.60317789708478</c:v>
                </c:pt>
                <c:pt idx="1">
                  <c:v>105.55857205937565</c:v>
                </c:pt>
                <c:pt idx="2">
                  <c:v>97.976349714782643</c:v>
                </c:pt>
                <c:pt idx="3">
                  <c:v>86.958592380060594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D4DB-49B0-8662-73BCC978F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130'!$AA$4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4428258967629047E-2"/>
                  <c:y val="-0.7444989721346756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130'!$AB$6:$AB$12</c:f>
              <c:numCache>
                <c:formatCode>0.0</c:formatCode>
                <c:ptCount val="7"/>
                <c:pt idx="0">
                  <c:v>149.37198438834608</c:v>
                </c:pt>
                <c:pt idx="1">
                  <c:v>140.44019694340693</c:v>
                </c:pt>
                <c:pt idx="2">
                  <c:v>133.12312176781919</c:v>
                </c:pt>
                <c:pt idx="3">
                  <c:v>126.16844933408204</c:v>
                </c:pt>
                <c:pt idx="4">
                  <c:v>116.90930697190107</c:v>
                </c:pt>
                <c:pt idx="5">
                  <c:v>105.63452662019705</c:v>
                </c:pt>
                <c:pt idx="6">
                  <c:v>89.816310441248532</c:v>
                </c:pt>
              </c:numCache>
            </c:numRef>
          </c:xVal>
          <c:yVal>
            <c:numRef>
              <c:f>'Laskenta poistopuoli 130'!$AA$6:$AA$12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460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5C-4C7E-85F1-2250B892718D}"/>
            </c:ext>
          </c:extLst>
        </c:ser>
        <c:ser>
          <c:idx val="1"/>
          <c:order val="1"/>
          <c:tx>
            <c:strRef>
              <c:f>'Laskenta poistopuoli 130'!$AC$4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130'!$AD$6:$AD$12</c:f>
              <c:numCache>
                <c:formatCode>0.0</c:formatCode>
                <c:ptCount val="7"/>
                <c:pt idx="0">
                  <c:v>133.17332240375293</c:v>
                </c:pt>
                <c:pt idx="1">
                  <c:v>128.50888008908166</c:v>
                </c:pt>
                <c:pt idx="2">
                  <c:v>120.21047153971138</c:v>
                </c:pt>
                <c:pt idx="3">
                  <c:v>111.08472606866653</c:v>
                </c:pt>
                <c:pt idx="4">
                  <c:v>107.1393496264217</c:v>
                </c:pt>
                <c:pt idx="5">
                  <c:v>102.9859461818326</c:v>
                </c:pt>
                <c:pt idx="6">
                  <c:v>64.002142123508037</c:v>
                </c:pt>
              </c:numCache>
            </c:numRef>
          </c:xVal>
          <c:yVal>
            <c:numRef>
              <c:f>'Laskenta poistopuoli 130'!$AC$6:$AC$12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5C-4C7E-85F1-2250B892718D}"/>
            </c:ext>
          </c:extLst>
        </c:ser>
        <c:ser>
          <c:idx val="2"/>
          <c:order val="2"/>
          <c:tx>
            <c:strRef>
              <c:f>'Laskenta poistopuoli 130'!$AE$4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130'!$AF$6:$AF$11</c:f>
              <c:numCache>
                <c:formatCode>0.0</c:formatCode>
                <c:ptCount val="6"/>
                <c:pt idx="0">
                  <c:v>99.999058386718588</c:v>
                </c:pt>
                <c:pt idx="1">
                  <c:v>94.108238875868778</c:v>
                </c:pt>
                <c:pt idx="2">
                  <c:v>89.069837468278507</c:v>
                </c:pt>
                <c:pt idx="3">
                  <c:v>83.675510586883604</c:v>
                </c:pt>
                <c:pt idx="4">
                  <c:v>77.837118713065038</c:v>
                </c:pt>
                <c:pt idx="5">
                  <c:v>42.180912652297032</c:v>
                </c:pt>
              </c:numCache>
            </c:numRef>
          </c:xVal>
          <c:yVal>
            <c:numRef>
              <c:f>'Laskenta poistopuoli 130'!$AE$6:$AE$11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5C-4C7E-85F1-2250B892718D}"/>
            </c:ext>
          </c:extLst>
        </c:ser>
        <c:ser>
          <c:idx val="3"/>
          <c:order val="3"/>
          <c:tx>
            <c:strRef>
              <c:f>'Laskenta poistopuoli 130'!$AG$4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130'!$AH$6:$AH$10</c:f>
              <c:numCache>
                <c:formatCode>0.0</c:formatCode>
                <c:ptCount val="5"/>
                <c:pt idx="0">
                  <c:v>61.555446560450939</c:v>
                </c:pt>
                <c:pt idx="1">
                  <c:v>57.822327947272591</c:v>
                </c:pt>
                <c:pt idx="2">
                  <c:v>53.830589598087514</c:v>
                </c:pt>
                <c:pt idx="3">
                  <c:v>51.71915361429582</c:v>
                </c:pt>
                <c:pt idx="4">
                  <c:v>25.847865510561171</c:v>
                </c:pt>
              </c:numCache>
            </c:numRef>
          </c:xVal>
          <c:yVal>
            <c:numRef>
              <c:f>'Laskenta poistopuoli 130'!$AG$6:$AG$10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5C-4C7E-85F1-2250B892718D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130'!$L$3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B5C-4C7E-85F1-2250B892718D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130'!$AC$34:$AC$37</c:f>
              <c:numCache>
                <c:formatCode>0.0</c:formatCode>
                <c:ptCount val="4"/>
                <c:pt idx="0">
                  <c:v>108.96667066070982</c:v>
                </c:pt>
                <c:pt idx="1">
                  <c:v>89.198473335160173</c:v>
                </c:pt>
                <c:pt idx="2">
                  <c:v>65.878224902394521</c:v>
                </c:pt>
                <c:pt idx="3">
                  <c:v>42.068081465226783</c:v>
                </c:pt>
              </c:numCache>
            </c:numRef>
          </c:xVal>
          <c:yVal>
            <c:numRef>
              <c:f>'Laskenta poistopuoli 130'!$AD$34:$AD$37</c:f>
              <c:numCache>
                <c:formatCode>0.0</c:formatCode>
                <c:ptCount val="4"/>
                <c:pt idx="0">
                  <c:v>371.05422858998747</c:v>
                </c:pt>
                <c:pt idx="1">
                  <c:v>248.63648891635248</c:v>
                </c:pt>
                <c:pt idx="2">
                  <c:v>135.62314113407726</c:v>
                </c:pt>
                <c:pt idx="3">
                  <c:v>55.303858692654899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5C-4C7E-85F1-2250B892718D}"/>
            </c:ext>
          </c:extLst>
        </c:ser>
        <c:ser>
          <c:idx val="6"/>
          <c:order val="6"/>
          <c:tx>
            <c:strRef>
              <c:f>'Laskenta poistopuoli 130'!$C$26</c:f>
              <c:strCache>
                <c:ptCount val="1"/>
                <c:pt idx="0">
                  <c:v>9V lisämittaus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poly"/>
            <c:order val="2"/>
            <c:forward val="15"/>
            <c:dispRSqr val="0"/>
            <c:dispEq val="0"/>
          </c:trendline>
          <c:xVal>
            <c:numRef>
              <c:f>'Laskenta poistopuoli 130'!$P$23:$P$25</c:f>
              <c:numCache>
                <c:formatCode>General</c:formatCode>
                <c:ptCount val="3"/>
                <c:pt idx="0">
                  <c:v>80</c:v>
                </c:pt>
                <c:pt idx="1">
                  <c:v>90</c:v>
                </c:pt>
                <c:pt idx="2">
                  <c:v>135</c:v>
                </c:pt>
              </c:numCache>
            </c:numRef>
          </c:xVal>
          <c:yVal>
            <c:numRef>
              <c:f>'Laskenta poistopuoli 130'!$Q$23:$Q$25</c:f>
              <c:numCache>
                <c:formatCode>General</c:formatCode>
                <c:ptCount val="3"/>
                <c:pt idx="0">
                  <c:v>382.29368625398979</c:v>
                </c:pt>
                <c:pt idx="1">
                  <c:v>354.53081848682547</c:v>
                </c:pt>
                <c:pt idx="2">
                  <c:v>131.92949072175963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AB3-4DDA-A4AD-BB373BFE3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LwAtot vs Ohjausjännite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130'!$K$9:$K$14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8</c:v>
                </c:pt>
                <c:pt idx="4">
                  <c:v>6</c:v>
                </c:pt>
                <c:pt idx="5">
                  <c:v>4</c:v>
                </c:pt>
              </c:numCache>
            </c:numRef>
          </c:xVal>
          <c:yVal>
            <c:numRef>
              <c:f>'Laskenta vaipan läpi 130'!$L$9:$L$14</c:f>
              <c:numCache>
                <c:formatCode>0.0</c:formatCode>
                <c:ptCount val="6"/>
                <c:pt idx="0">
                  <c:v>50.727797451867104</c:v>
                </c:pt>
                <c:pt idx="1">
                  <c:v>50.906829010197214</c:v>
                </c:pt>
                <c:pt idx="2">
                  <c:v>51.633663631872835</c:v>
                </c:pt>
                <c:pt idx="3">
                  <c:v>46.855554140426776</c:v>
                </c:pt>
                <c:pt idx="4">
                  <c:v>40.081737985343281</c:v>
                </c:pt>
                <c:pt idx="5">
                  <c:v>31.57611766294508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B51-4A92-9C13-B38830C89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4160480"/>
        <c:axId val="634160808"/>
      </c:scatterChart>
      <c:valAx>
        <c:axId val="63416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808"/>
        <c:crosses val="autoZero"/>
        <c:crossBetween val="midCat"/>
      </c:valAx>
      <c:valAx>
        <c:axId val="634160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4160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130'!$K$26:$R$26</c:f>
              <c:numCache>
                <c:formatCode>0.0</c:formatCode>
                <c:ptCount val="8"/>
                <c:pt idx="0">
                  <c:v>9.7468202549653924</c:v>
                </c:pt>
                <c:pt idx="1">
                  <c:v>10.219263302672097</c:v>
                </c:pt>
                <c:pt idx="2">
                  <c:v>5.3781920854758241</c:v>
                </c:pt>
                <c:pt idx="3">
                  <c:v>-3.9657985891290366</c:v>
                </c:pt>
                <c:pt idx="4">
                  <c:v>-13.359993973034364</c:v>
                </c:pt>
                <c:pt idx="5">
                  <c:v>-20.064650430155496</c:v>
                </c:pt>
                <c:pt idx="6">
                  <c:v>-22.340090753141155</c:v>
                </c:pt>
                <c:pt idx="7">
                  <c:v>-28.553896681989183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2-4721-9EE2-B3427FD873C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130'!$K$27:$R$27</c:f>
              <c:numCache>
                <c:formatCode>0.0</c:formatCode>
                <c:ptCount val="8"/>
                <c:pt idx="0">
                  <c:v>11.236941839387399</c:v>
                </c:pt>
                <c:pt idx="1">
                  <c:v>11.056052328251184</c:v>
                </c:pt>
                <c:pt idx="2">
                  <c:v>4.9083153482445141</c:v>
                </c:pt>
                <c:pt idx="3">
                  <c:v>-4.7775181731402157</c:v>
                </c:pt>
                <c:pt idx="4">
                  <c:v>-13.536029841384838</c:v>
                </c:pt>
                <c:pt idx="5">
                  <c:v>-19.184478618620521</c:v>
                </c:pt>
                <c:pt idx="6">
                  <c:v>-21.982808019835808</c:v>
                </c:pt>
                <c:pt idx="7">
                  <c:v>-30.053106147872946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2-4721-9EE2-B3427FD873C8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130'!$K$28:$R$28</c:f>
              <c:numCache>
                <c:formatCode>0.0</c:formatCode>
                <c:ptCount val="8"/>
                <c:pt idx="0">
                  <c:v>12.735566185817156</c:v>
                </c:pt>
                <c:pt idx="1">
                  <c:v>11.673832905841174</c:v>
                </c:pt>
                <c:pt idx="2">
                  <c:v>4.3029839976731026</c:v>
                </c:pt>
                <c:pt idx="3">
                  <c:v>-4.3906920362002353</c:v>
                </c:pt>
                <c:pt idx="4">
                  <c:v>-12.347572631167044</c:v>
                </c:pt>
                <c:pt idx="5">
                  <c:v>-18.408761251056614</c:v>
                </c:pt>
                <c:pt idx="6">
                  <c:v>-22.504675847330248</c:v>
                </c:pt>
                <c:pt idx="7">
                  <c:v>-32.552716373499145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2-4721-9EE2-B3427FD873C8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130'!$K$29:$R$29</c:f>
              <c:numCache>
                <c:formatCode>0.0</c:formatCode>
                <c:ptCount val="8"/>
                <c:pt idx="0">
                  <c:v>13.439367235351192</c:v>
                </c:pt>
                <c:pt idx="1">
                  <c:v>10.652940829954503</c:v>
                </c:pt>
                <c:pt idx="2">
                  <c:v>3.9931605095815286</c:v>
                </c:pt>
                <c:pt idx="3">
                  <c:v>-2.5463497520913201</c:v>
                </c:pt>
                <c:pt idx="4">
                  <c:v>-11.208760733142839</c:v>
                </c:pt>
                <c:pt idx="5">
                  <c:v>-19.614113890886642</c:v>
                </c:pt>
                <c:pt idx="6">
                  <c:v>-26.274170407881535</c:v>
                </c:pt>
                <c:pt idx="7">
                  <c:v>-27.959041304388652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A2-4721-9EE2-B3427FD8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962032"/>
        <c:axId val="778965312"/>
      </c:lineChart>
      <c:catAx>
        <c:axId val="778962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5312"/>
        <c:crosses val="autoZero"/>
        <c:auto val="1"/>
        <c:lblAlgn val="ctr"/>
        <c:lblOffset val="100"/>
        <c:noMultiLvlLbl val="0"/>
      </c:catAx>
      <c:valAx>
        <c:axId val="77896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789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60'!$AA$4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60'!$AB$6:$AB$12</c:f>
              <c:numCache>
                <c:formatCode>0.0</c:formatCode>
                <c:ptCount val="7"/>
                <c:pt idx="0">
                  <c:v>109.72216307386144</c:v>
                </c:pt>
                <c:pt idx="1">
                  <c:v>96.04968080608154</c:v>
                </c:pt>
                <c:pt idx="2">
                  <c:v>84.980913804604299</c:v>
                </c:pt>
                <c:pt idx="3">
                  <c:v>74.605902678236006</c:v>
                </c:pt>
                <c:pt idx="4">
                  <c:v>61.093720132549571</c:v>
                </c:pt>
                <c:pt idx="5">
                  <c:v>45.335354941275455</c:v>
                </c:pt>
                <c:pt idx="6">
                  <c:v>40.227692796254239</c:v>
                </c:pt>
              </c:numCache>
            </c:numRef>
          </c:xVal>
          <c:yVal>
            <c:numRef>
              <c:f>'Laskenta tulopuoli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58B-4E98-A6BF-69B0FE97E018}"/>
            </c:ext>
          </c:extLst>
        </c:ser>
        <c:ser>
          <c:idx val="1"/>
          <c:order val="1"/>
          <c:tx>
            <c:strRef>
              <c:f>'Laskenta tulopuoli 60'!$AC$4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60'!$AD$6:$AD$12</c:f>
              <c:numCache>
                <c:formatCode>0.0</c:formatCode>
                <c:ptCount val="7"/>
                <c:pt idx="0">
                  <c:v>96.507952803164471</c:v>
                </c:pt>
                <c:pt idx="1">
                  <c:v>83.332352890524646</c:v>
                </c:pt>
                <c:pt idx="2">
                  <c:v>74.171084186129335</c:v>
                </c:pt>
                <c:pt idx="3">
                  <c:v>64.022740261473061</c:v>
                </c:pt>
                <c:pt idx="4">
                  <c:v>52.476744908244925</c:v>
                </c:pt>
                <c:pt idx="5">
                  <c:v>38.721346925604863</c:v>
                </c:pt>
                <c:pt idx="6">
                  <c:v>33.921064483256508</c:v>
                </c:pt>
              </c:numCache>
            </c:numRef>
          </c:xVal>
          <c:yVal>
            <c:numRef>
              <c:f>'Laskenta tulopuoli 60'!$AC$6:$AC$12</c:f>
              <c:numCache>
                <c:formatCode>0.0</c:formatCode>
                <c:ptCount val="7"/>
                <c:pt idx="0">
                  <c:v>20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58B-4E98-A6BF-69B0FE97E018}"/>
            </c:ext>
          </c:extLst>
        </c:ser>
        <c:ser>
          <c:idx val="2"/>
          <c:order val="2"/>
          <c:tx>
            <c:strRef>
              <c:f>'Laskenta tulopuoli 60'!$AE$4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60'!$AF$6:$AF$11</c:f>
              <c:numCache>
                <c:formatCode>0.0</c:formatCode>
                <c:ptCount val="6"/>
                <c:pt idx="0">
                  <c:v>59.097603965649029</c:v>
                </c:pt>
                <c:pt idx="1">
                  <c:v>51.041257936006687</c:v>
                </c:pt>
                <c:pt idx="2">
                  <c:v>44.852206368094706</c:v>
                </c:pt>
                <c:pt idx="3">
                  <c:v>38.211558072303703</c:v>
                </c:pt>
                <c:pt idx="4">
                  <c:v>31.003142403936327</c:v>
                </c:pt>
                <c:pt idx="5">
                  <c:v>20.915466815294725</c:v>
                </c:pt>
              </c:numCache>
            </c:numRef>
          </c:xVal>
          <c:yVal>
            <c:numRef>
              <c:f>'Laskenta tulopuoli 60'!$AE$6:$AE$11</c:f>
              <c:numCache>
                <c:formatCode>0.0</c:formatCode>
                <c:ptCount val="6"/>
                <c:pt idx="0">
                  <c:v>12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58B-4E98-A6BF-69B0FE97E018}"/>
            </c:ext>
          </c:extLst>
        </c:ser>
        <c:ser>
          <c:idx val="3"/>
          <c:order val="3"/>
          <c:tx>
            <c:strRef>
              <c:f>'Laskenta tulopuoli 60'!$AG$4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60'!$AH$6:$AH$10</c:f>
              <c:numCache>
                <c:formatCode>0.0</c:formatCode>
                <c:ptCount val="5"/>
                <c:pt idx="0">
                  <c:v>24.856065562361952</c:v>
                </c:pt>
                <c:pt idx="1">
                  <c:v>20.145468303465908</c:v>
                </c:pt>
                <c:pt idx="2">
                  <c:v>15.25167922255933</c:v>
                </c:pt>
                <c:pt idx="3">
                  <c:v>12.729029407613163</c:v>
                </c:pt>
                <c:pt idx="4">
                  <c:v>10.151502560183829</c:v>
                </c:pt>
              </c:numCache>
            </c:numRef>
          </c:xVal>
          <c:yVal>
            <c:numRef>
              <c:f>'Laskenta tulopuoli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58B-4E98-A6BF-69B0FE97E018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60'!$L$3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58B-4E98-A6BF-69B0FE97E018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81.788330466407075</c:v>
                </c:pt>
                <c:pt idx="1">
                  <c:v>71.913674133781655</c:v>
                </c:pt>
                <c:pt idx="2">
                  <c:v>44.366833635861909</c:v>
                </c:pt>
                <c:pt idx="3">
                  <c:v>22.280485894662519</c:v>
                </c:pt>
              </c:numCache>
            </c:numRef>
          </c:xVal>
          <c:yVal>
            <c:numRef>
              <c:f>'Laskenta tulopuoli 60'!$AD$34:$AD$37</c:f>
              <c:numCache>
                <c:formatCode>0.0</c:formatCode>
                <c:ptCount val="4"/>
                <c:pt idx="0">
                  <c:v>209.04159376506902</c:v>
                </c:pt>
                <c:pt idx="1">
                  <c:v>161.61176648186688</c:v>
                </c:pt>
                <c:pt idx="2">
                  <c:v>61.512997714757745</c:v>
                </c:pt>
                <c:pt idx="3">
                  <c:v>15.513126615695484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58B-4E98-A6BF-69B0FE97E018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F1AA1D1E-E05C-4007-9C04-4DA36296938B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58B-4E98-A6BF-69B0FE97E01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E7756BB-3ED1-C040-B684-FF5A3593331A}" type="CELLRANGE">
                      <a:rPr lang="fi-FI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58B-4E98-A6BF-69B0FE97E01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6991D023-C40B-7449-9BF0-B9F2441B6A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58B-4E98-A6BF-69B0FE97E01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2B2194B-D00D-7E4D-86B8-64E62117B82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58B-4E98-A6BF-69B0FE97E0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tulopuoli 60'!$AH$10,'Laskenta tulopuoli 60'!$AF$11,'Laskenta tulopuoli 60'!$AD$12,'Laskenta tulopuoli 60'!$AB$12)</c:f>
              <c:numCache>
                <c:formatCode>0.0</c:formatCode>
                <c:ptCount val="4"/>
                <c:pt idx="0">
                  <c:v>10.151502560183829</c:v>
                </c:pt>
                <c:pt idx="1">
                  <c:v>20.915466815294725</c:v>
                </c:pt>
                <c:pt idx="2">
                  <c:v>33.921064483256508</c:v>
                </c:pt>
                <c:pt idx="3">
                  <c:v>40.227692796254239</c:v>
                </c:pt>
              </c:numCache>
            </c:numRef>
          </c:xVal>
          <c:yVal>
            <c:numRef>
              <c:f>('Laskenta tulopuoli 60'!$AG$10,'Laskenta tulopuoli 60'!$AE$11,'Laskenta tulopuoli 60'!$AC$12,'Laskenta tulopuoli 60'!$AA$12)</c:f>
              <c:numCache>
                <c:formatCode>0.0</c:formatCode>
                <c:ptCount val="4"/>
                <c:pt idx="0">
                  <c:v>40</c:v>
                </c:pt>
                <c:pt idx="1">
                  <c:v>125</c:v>
                </c:pt>
                <c:pt idx="2">
                  <c:v>315</c:v>
                </c:pt>
                <c:pt idx="3">
                  <c:v>410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tulopuoli 60'!$AH$4,'Laskenta tulopuoli 60'!$AF$4,'Laskenta tulopuoli 60'!$AD$4,'Laskenta tulopuoli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0F-B58B-4E98-A6BF-69B0FE97E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LEV-455-230, pituus 350 mm, s=2.3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hyötysuhde'!$E$97</c:f>
              <c:strCache>
                <c:ptCount val="1"/>
                <c:pt idx="0">
                  <c:v>LEV-455-230, pituus 350 mm, s=2.3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hyötysuhde'!$E$104:$E$112</c:f>
              <c:numCache>
                <c:formatCode>General</c:formatCode>
                <c:ptCount val="9"/>
                <c:pt idx="0">
                  <c:v>100</c:v>
                </c:pt>
                <c:pt idx="1">
                  <c:v>90</c:v>
                </c:pt>
                <c:pt idx="2">
                  <c:v>80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22</c:v>
                </c:pt>
              </c:numCache>
            </c:numRef>
          </c:xVal>
          <c:yVal>
            <c:numRef>
              <c:f>'Kojeet ja kennon hyötysuhde'!$F$104:$F$112</c:f>
              <c:numCache>
                <c:formatCode>0.0\ %</c:formatCode>
                <c:ptCount val="9"/>
                <c:pt idx="0">
                  <c:v>0.78100000000000003</c:v>
                </c:pt>
                <c:pt idx="1">
                  <c:v>0.78400000000000003</c:v>
                </c:pt>
                <c:pt idx="2">
                  <c:v>0.78700000000000003</c:v>
                </c:pt>
                <c:pt idx="3">
                  <c:v>0.79100000000000004</c:v>
                </c:pt>
                <c:pt idx="4">
                  <c:v>0.79500000000000004</c:v>
                </c:pt>
                <c:pt idx="5">
                  <c:v>0.80200000000000005</c:v>
                </c:pt>
                <c:pt idx="6">
                  <c:v>0.81299999999999994</c:v>
                </c:pt>
                <c:pt idx="7">
                  <c:v>0.83399999999999996</c:v>
                </c:pt>
                <c:pt idx="8">
                  <c:v>0.86399999999999999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129-4C0E-AC7D-96D3B9FA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60'!$AC$35:$AC$37</c:f>
              <c:numCache>
                <c:formatCode>0.0</c:formatCode>
                <c:ptCount val="3"/>
                <c:pt idx="0">
                  <c:v>71.913674133781655</c:v>
                </c:pt>
                <c:pt idx="1">
                  <c:v>44.366833635861909</c:v>
                </c:pt>
                <c:pt idx="2">
                  <c:v>22.280485894662519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4D-4041-97F9-B89D87F9C6EE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60'!$AC$34:$AC$35</c:f>
              <c:numCache>
                <c:formatCode>0.0</c:formatCode>
                <c:ptCount val="2"/>
                <c:pt idx="0">
                  <c:v>81.788330466407075</c:v>
                </c:pt>
                <c:pt idx="1">
                  <c:v>71.913674133781655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4D-4041-97F9-B89D87F9C6EE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60'!$W$9</c:f>
              <c:numCache>
                <c:formatCode>0.0</c:formatCode>
                <c:ptCount val="1"/>
                <c:pt idx="0">
                  <c:v>4.6056989925805771</c:v>
                </c:pt>
              </c:numCache>
            </c:numRef>
          </c:xVal>
          <c:y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24D-4041-97F9-B89D87F9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60'!$D$59:$D$62</c:f>
              <c:numCache>
                <c:formatCode>0.0</c:formatCode>
                <c:ptCount val="4"/>
                <c:pt idx="0">
                  <c:v>96.723636363636345</c:v>
                </c:pt>
                <c:pt idx="1">
                  <c:v>80.354545454545459</c:v>
                </c:pt>
                <c:pt idx="2">
                  <c:v>63.446363636363643</c:v>
                </c:pt>
                <c:pt idx="3">
                  <c:v>42.587272727272719</c:v>
                </c:pt>
              </c:numCache>
            </c:numRef>
          </c:xVal>
          <c:yVal>
            <c:numRef>
              <c:f>'Laskenta tulopuoli 60'!$E$59:$E$62</c:f>
              <c:numCache>
                <c:formatCode>0.0</c:formatCode>
                <c:ptCount val="4"/>
                <c:pt idx="0">
                  <c:v>60.599066890970008</c:v>
                </c:pt>
                <c:pt idx="1">
                  <c:v>61.362739164604648</c:v>
                </c:pt>
                <c:pt idx="2">
                  <c:v>61.896602572706271</c:v>
                </c:pt>
                <c:pt idx="3">
                  <c:v>62.864718090922231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BB8-4BE0-BBE4-C31819B08F71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60'!$D$64:$D$67</c:f>
              <c:numCache>
                <c:formatCode>0.0</c:formatCode>
                <c:ptCount val="4"/>
                <c:pt idx="0">
                  <c:v>82.99727272727273</c:v>
                </c:pt>
                <c:pt idx="1">
                  <c:v>70.897272727272721</c:v>
                </c:pt>
                <c:pt idx="2">
                  <c:v>54.980909090909087</c:v>
                </c:pt>
                <c:pt idx="3">
                  <c:v>37.382727272727273</c:v>
                </c:pt>
              </c:numCache>
            </c:numRef>
          </c:xVal>
          <c:yVal>
            <c:numRef>
              <c:f>'Laskenta tulopuoli 60'!$E$64:$E$67</c:f>
              <c:numCache>
                <c:formatCode>0.0</c:formatCode>
                <c:ptCount val="4"/>
                <c:pt idx="0">
                  <c:v>59.138026796221006</c:v>
                </c:pt>
                <c:pt idx="1">
                  <c:v>59.317875533330209</c:v>
                </c:pt>
                <c:pt idx="2">
                  <c:v>59.664136609223121</c:v>
                </c:pt>
                <c:pt idx="3">
                  <c:v>60.67880707866388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BB8-4BE0-BBE4-C31819B08F71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60'!$D$69:$D$72</c:f>
              <c:numCache>
                <c:formatCode>0.0</c:formatCode>
                <c:ptCount val="4"/>
                <c:pt idx="0">
                  <c:v>52.310909090909099</c:v>
                </c:pt>
                <c:pt idx="1">
                  <c:v>45.190909090909088</c:v>
                </c:pt>
                <c:pt idx="2">
                  <c:v>33.940000000000005</c:v>
                </c:pt>
                <c:pt idx="3">
                  <c:v>23.01</c:v>
                </c:pt>
              </c:numCache>
            </c:numRef>
          </c:xVal>
          <c:yVal>
            <c:numRef>
              <c:f>'Laskenta tulopuoli 60'!$E$69:$E$72</c:f>
              <c:numCache>
                <c:formatCode>0.0</c:formatCode>
                <c:ptCount val="4"/>
                <c:pt idx="0">
                  <c:v>50.94529100608618</c:v>
                </c:pt>
                <c:pt idx="1">
                  <c:v>50.931209616046694</c:v>
                </c:pt>
                <c:pt idx="2">
                  <c:v>51.422351987256611</c:v>
                </c:pt>
                <c:pt idx="3">
                  <c:v>51.164647526699852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BB8-4BE0-BBE4-C31819B08F71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60'!$D$74:$D$77</c:f>
              <c:numCache>
                <c:formatCode>0.0</c:formatCode>
                <c:ptCount val="4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11.878181818181817</c:v>
                </c:pt>
              </c:numCache>
            </c:numRef>
          </c:xVal>
          <c:yVal>
            <c:numRef>
              <c:f>'Laskenta tulopuoli 60'!$E$74:$E$77</c:f>
              <c:numCache>
                <c:formatCode>0.0</c:formatCode>
                <c:ptCount val="4"/>
                <c:pt idx="0">
                  <c:v>39.950577720506828</c:v>
                </c:pt>
                <c:pt idx="1">
                  <c:v>40.891244214226447</c:v>
                </c:pt>
                <c:pt idx="2">
                  <c:v>41.152225282467427</c:v>
                </c:pt>
                <c:pt idx="3">
                  <c:v>39.634068965353691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BB8-4BE0-BBE4-C31819B08F7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B8-4BE0-BBE4-C31819B08F7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BB8-4BE0-BBE4-C31819B08F7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81.788330466407075</c:v>
                </c:pt>
                <c:pt idx="1">
                  <c:v>71.913674133781655</c:v>
                </c:pt>
                <c:pt idx="2">
                  <c:v>44.366833635861909</c:v>
                </c:pt>
                <c:pt idx="3">
                  <c:v>22.280485894662519</c:v>
                </c:pt>
              </c:numCache>
            </c:numRef>
          </c:xVal>
          <c:yVal>
            <c:numRef>
              <c:f>'Laskenta tulopuoli 60'!$AF$34:$AF$37</c:f>
              <c:numCache>
                <c:formatCode>0.0</c:formatCode>
                <c:ptCount val="4"/>
                <c:pt idx="0">
                  <c:v>61.229886742991816</c:v>
                </c:pt>
                <c:pt idx="1">
                  <c:v>59.35569303195048</c:v>
                </c:pt>
                <c:pt idx="2">
                  <c:v>51.129195514894171</c:v>
                </c:pt>
                <c:pt idx="3">
                  <c:v>40.99854408390943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DBB8-4BE0-BBE4-C31819B08F7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60'!$W$5</c:f>
              <c:numCache>
                <c:formatCode>0.0</c:formatCode>
                <c:ptCount val="1"/>
                <c:pt idx="0">
                  <c:v>49.966638054503562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DBB8-4BE0-BBE4-C31819B08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60'!$N$59:$N$62</c:f>
              <c:numCache>
                <c:formatCode>0.0</c:formatCode>
                <c:ptCount val="4"/>
                <c:pt idx="0">
                  <c:v>100.80833333333335</c:v>
                </c:pt>
                <c:pt idx="1">
                  <c:v>84.36272727272727</c:v>
                </c:pt>
                <c:pt idx="2">
                  <c:v>66.019090909090906</c:v>
                </c:pt>
                <c:pt idx="3">
                  <c:v>50.885454545454543</c:v>
                </c:pt>
              </c:numCache>
            </c:numRef>
          </c:xVal>
          <c:yVal>
            <c:numRef>
              <c:f>'Laskenta tulopuoli 60'!$O$59:$O$62</c:f>
              <c:numCache>
                <c:formatCode>0.0</c:formatCode>
                <c:ptCount val="4"/>
                <c:pt idx="0">
                  <c:v>73.463084655756148</c:v>
                </c:pt>
                <c:pt idx="1">
                  <c:v>72.844325501453028</c:v>
                </c:pt>
                <c:pt idx="2">
                  <c:v>73.377484864511445</c:v>
                </c:pt>
                <c:pt idx="3">
                  <c:v>74.883615288580316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FE8-4DCA-949C-795BF843E855}"/>
            </c:ext>
          </c:extLst>
        </c:ser>
        <c:ser>
          <c:idx val="1"/>
          <c:order val="1"/>
          <c:tx>
            <c:strRef>
              <c:f>'Laskenta tulopuoli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60'!$N$64:$N$67</c:f>
              <c:numCache>
                <c:formatCode>0.0</c:formatCode>
                <c:ptCount val="4"/>
                <c:pt idx="0">
                  <c:v>89.261428571428567</c:v>
                </c:pt>
                <c:pt idx="1">
                  <c:v>74.599090909090918</c:v>
                </c:pt>
                <c:pt idx="2">
                  <c:v>57.18545454545454</c:v>
                </c:pt>
                <c:pt idx="3">
                  <c:v>45.010909090909095</c:v>
                </c:pt>
              </c:numCache>
            </c:numRef>
          </c:xVal>
          <c:yVal>
            <c:numRef>
              <c:f>'Laskenta tulopuoli 60'!$O$64:$O$67</c:f>
              <c:numCache>
                <c:formatCode>0.0</c:formatCode>
                <c:ptCount val="4"/>
                <c:pt idx="0">
                  <c:v>70.897854605553789</c:v>
                </c:pt>
                <c:pt idx="1">
                  <c:v>70.710057546995316</c:v>
                </c:pt>
                <c:pt idx="2">
                  <c:v>70.830937471938014</c:v>
                </c:pt>
                <c:pt idx="3">
                  <c:v>72.509865191750777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FE8-4DCA-949C-795BF843E855}"/>
            </c:ext>
          </c:extLst>
        </c:ser>
        <c:ser>
          <c:idx val="2"/>
          <c:order val="2"/>
          <c:tx>
            <c:strRef>
              <c:f>'Laskenta tulopuoli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60'!$N$69:$N$72</c:f>
              <c:numCache>
                <c:formatCode>0.0</c:formatCode>
                <c:ptCount val="4"/>
                <c:pt idx="0">
                  <c:v>54.800000000000018</c:v>
                </c:pt>
                <c:pt idx="1">
                  <c:v>46.856363636363632</c:v>
                </c:pt>
                <c:pt idx="2">
                  <c:v>36.492727272727272</c:v>
                </c:pt>
                <c:pt idx="3">
                  <c:v>26.934545454545454</c:v>
                </c:pt>
              </c:numCache>
            </c:numRef>
          </c:xVal>
          <c:yVal>
            <c:numRef>
              <c:f>'Laskenta tulopuoli 60'!$O$69:$O$72</c:f>
              <c:numCache>
                <c:formatCode>0.0</c:formatCode>
                <c:ptCount val="4"/>
                <c:pt idx="0">
                  <c:v>61.425878439568542</c:v>
                </c:pt>
                <c:pt idx="1">
                  <c:v>61.425103707020618</c:v>
                </c:pt>
                <c:pt idx="2">
                  <c:v>61.951981129231115</c:v>
                </c:pt>
                <c:pt idx="3">
                  <c:v>61.648215190594982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FE8-4DCA-949C-795BF843E855}"/>
            </c:ext>
          </c:extLst>
        </c:ser>
        <c:ser>
          <c:idx val="3"/>
          <c:order val="3"/>
          <c:tx>
            <c:strRef>
              <c:f>'Laskenta tulopuoli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60'!$N$74:$N$77</c:f>
              <c:numCache>
                <c:formatCode>0.0</c:formatCode>
                <c:ptCount val="4"/>
                <c:pt idx="0">
                  <c:v>26.427857142857146</c:v>
                </c:pt>
                <c:pt idx="1">
                  <c:v>23.416363636363634</c:v>
                </c:pt>
                <c:pt idx="2">
                  <c:v>18.350000000000001</c:v>
                </c:pt>
                <c:pt idx="3">
                  <c:v>13.623636363636363</c:v>
                </c:pt>
              </c:numCache>
            </c:numRef>
          </c:xVal>
          <c:yVal>
            <c:numRef>
              <c:f>'Laskenta tulopuoli 60'!$O$74:$O$77</c:f>
              <c:numCache>
                <c:formatCode>0.0</c:formatCode>
                <c:ptCount val="4"/>
                <c:pt idx="0">
                  <c:v>50.527020875026068</c:v>
                </c:pt>
                <c:pt idx="1">
                  <c:v>50.680435128406216</c:v>
                </c:pt>
                <c:pt idx="2">
                  <c:v>51.5281753279952</c:v>
                </c:pt>
                <c:pt idx="3">
                  <c:v>51.53606298607442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FE8-4DCA-949C-795BF843E8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60'!$AC$34:$AC$37</c:f>
              <c:numCache>
                <c:formatCode>0.0</c:formatCode>
                <c:ptCount val="4"/>
                <c:pt idx="0">
                  <c:v>81.788330466407075</c:v>
                </c:pt>
                <c:pt idx="1">
                  <c:v>71.913674133781655</c:v>
                </c:pt>
                <c:pt idx="2">
                  <c:v>44.366833635861909</c:v>
                </c:pt>
                <c:pt idx="3">
                  <c:v>22.280485894662519</c:v>
                </c:pt>
              </c:numCache>
            </c:numRef>
          </c:xVal>
          <c:yVal>
            <c:numRef>
              <c:f>'Laskenta tulopuoli 60'!$AG$34:$AG$37</c:f>
              <c:numCache>
                <c:formatCode>0.0</c:formatCode>
                <c:ptCount val="4"/>
                <c:pt idx="0">
                  <c:v>72.82633733681827</c:v>
                </c:pt>
                <c:pt idx="1">
                  <c:v>70.468656338656231</c:v>
                </c:pt>
                <c:pt idx="2">
                  <c:v>61.679459197793783</c:v>
                </c:pt>
                <c:pt idx="3">
                  <c:v>51.012597482696698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FE8-4DCA-949C-795BF843E8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60'!$W$6</c:f>
              <c:numCache>
                <c:formatCode>0.0</c:formatCode>
                <c:ptCount val="1"/>
                <c:pt idx="0">
                  <c:v>60.554075562111798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FE8-4DCA-949C-795BF843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60'!$X$59:$X$65</c:f>
              <c:numCache>
                <c:formatCode>0.0</c:formatCode>
                <c:ptCount val="7"/>
                <c:pt idx="0">
                  <c:v>96.723636363636345</c:v>
                </c:pt>
                <c:pt idx="1">
                  <c:v>80.354545454545459</c:v>
                </c:pt>
                <c:pt idx="2">
                  <c:v>42.587272727272719</c:v>
                </c:pt>
                <c:pt idx="3">
                  <c:v>100.80833333333335</c:v>
                </c:pt>
                <c:pt idx="4">
                  <c:v>84.36272727272727</c:v>
                </c:pt>
                <c:pt idx="5">
                  <c:v>66.019090909090906</c:v>
                </c:pt>
                <c:pt idx="6">
                  <c:v>50.885454545454543</c:v>
                </c:pt>
              </c:numCache>
            </c:numRef>
          </c:xVal>
          <c:yVal>
            <c:numRef>
              <c:f>'Laskenta tulopuoli 60'!$Y$59:$Y$65</c:f>
              <c:numCache>
                <c:formatCode>0.0</c:formatCode>
                <c:ptCount val="7"/>
                <c:pt idx="0">
                  <c:v>113.27948964249916</c:v>
                </c:pt>
                <c:pt idx="1">
                  <c:v>102.87442469929833</c:v>
                </c:pt>
                <c:pt idx="2">
                  <c:v>75.245481502293231</c:v>
                </c:pt>
                <c:pt idx="3">
                  <c:v>113.65438305372545</c:v>
                </c:pt>
                <c:pt idx="4">
                  <c:v>104.87036922149747</c:v>
                </c:pt>
                <c:pt idx="5">
                  <c:v>91.726942216503261</c:v>
                </c:pt>
                <c:pt idx="6">
                  <c:v>80.123569584691879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F7-4F6D-8740-08C8FC30EA76}"/>
            </c:ext>
          </c:extLst>
        </c:ser>
        <c:ser>
          <c:idx val="1"/>
          <c:order val="1"/>
          <c:tx>
            <c:strRef>
              <c:f>'Laskenta tulopuoli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60'!$X$67:$X$73</c:f>
              <c:numCache>
                <c:formatCode>0.0</c:formatCode>
                <c:ptCount val="7"/>
                <c:pt idx="0">
                  <c:v>82.99727272727273</c:v>
                </c:pt>
                <c:pt idx="1">
                  <c:v>70.897272727272721</c:v>
                </c:pt>
                <c:pt idx="2">
                  <c:v>37.382727272727273</c:v>
                </c:pt>
                <c:pt idx="3">
                  <c:v>89.261428571428567</c:v>
                </c:pt>
                <c:pt idx="4">
                  <c:v>74.599090909090918</c:v>
                </c:pt>
                <c:pt idx="5">
                  <c:v>57.18545454545454</c:v>
                </c:pt>
                <c:pt idx="6">
                  <c:v>45.010909090909095</c:v>
                </c:pt>
              </c:numCache>
            </c:numRef>
          </c:xVal>
          <c:yVal>
            <c:numRef>
              <c:f>'Laskenta tulopuoli 60'!$Y$67:$Y$73</c:f>
              <c:numCache>
                <c:formatCode>0.0</c:formatCode>
                <c:ptCount val="7"/>
                <c:pt idx="0">
                  <c:v>78.255958790207444</c:v>
                </c:pt>
                <c:pt idx="1">
                  <c:v>72.802553211280866</c:v>
                </c:pt>
                <c:pt idx="2">
                  <c:v>52.379014670595019</c:v>
                </c:pt>
                <c:pt idx="3">
                  <c:v>81.810295802939748</c:v>
                </c:pt>
                <c:pt idx="4">
                  <c:v>76.627890610641956</c:v>
                </c:pt>
                <c:pt idx="5">
                  <c:v>65.407494463167055</c:v>
                </c:pt>
                <c:pt idx="6">
                  <c:v>56.273097889950385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F7-4F6D-8740-08C8FC30EA76}"/>
            </c:ext>
          </c:extLst>
        </c:ser>
        <c:ser>
          <c:idx val="2"/>
          <c:order val="2"/>
          <c:tx>
            <c:strRef>
              <c:f>'Laskenta tulopuoli 60'!$W$75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60'!$X$75:$X$81</c:f>
              <c:numCache>
                <c:formatCode>0.0</c:formatCode>
                <c:ptCount val="7"/>
                <c:pt idx="0">
                  <c:v>52.310909090909099</c:v>
                </c:pt>
                <c:pt idx="1">
                  <c:v>45.190909090909088</c:v>
                </c:pt>
                <c:pt idx="2">
                  <c:v>23.01</c:v>
                </c:pt>
                <c:pt idx="3">
                  <c:v>54.800000000000018</c:v>
                </c:pt>
                <c:pt idx="4">
                  <c:v>46.856363636363632</c:v>
                </c:pt>
                <c:pt idx="5">
                  <c:v>36.492727272727272</c:v>
                </c:pt>
                <c:pt idx="6">
                  <c:v>26.934545454545454</c:v>
                </c:pt>
              </c:numCache>
            </c:numRef>
          </c:xVal>
          <c:yVal>
            <c:numRef>
              <c:f>'Laskenta tulopuoli 60'!$Y$75:$Y$81</c:f>
              <c:numCache>
                <c:formatCode>0.0</c:formatCode>
                <c:ptCount val="7"/>
                <c:pt idx="0">
                  <c:v>25.325845818272938</c:v>
                </c:pt>
                <c:pt idx="1">
                  <c:v>22.775988006105152</c:v>
                </c:pt>
                <c:pt idx="2">
                  <c:v>17.067596645961789</c:v>
                </c:pt>
                <c:pt idx="3">
                  <c:v>25.952768140673616</c:v>
                </c:pt>
                <c:pt idx="4">
                  <c:v>24.143815384871559</c:v>
                </c:pt>
                <c:pt idx="5">
                  <c:v>20.500649722172916</c:v>
                </c:pt>
                <c:pt idx="6">
                  <c:v>18.132714267956356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F7-4F6D-8740-08C8FC30EA76}"/>
            </c:ext>
          </c:extLst>
        </c:ser>
        <c:ser>
          <c:idx val="3"/>
          <c:order val="3"/>
          <c:tx>
            <c:strRef>
              <c:f>'Laskenta tulopuoli 60'!$W$83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60'!$X$83:$X$89</c:f>
              <c:numCache>
                <c:formatCode>0.0</c:formatCode>
                <c:ptCount val="7"/>
                <c:pt idx="0">
                  <c:v>26.16090909090909</c:v>
                </c:pt>
                <c:pt idx="1">
                  <c:v>23.122727272727271</c:v>
                </c:pt>
                <c:pt idx="2">
                  <c:v>18.288181818181819</c:v>
                </c:pt>
                <c:pt idx="3">
                  <c:v>26.427857142857146</c:v>
                </c:pt>
                <c:pt idx="4">
                  <c:v>23.416363636363634</c:v>
                </c:pt>
                <c:pt idx="5">
                  <c:v>18.350000000000001</c:v>
                </c:pt>
                <c:pt idx="6">
                  <c:v>13.623636363636363</c:v>
                </c:pt>
              </c:numCache>
            </c:numRef>
          </c:xVal>
          <c:yVal>
            <c:numRef>
              <c:f>'Laskenta tulopuoli 60'!$Y$83:$Y$89</c:f>
              <c:numCache>
                <c:formatCode>0.0</c:formatCode>
                <c:ptCount val="7"/>
                <c:pt idx="0">
                  <c:v>7.1297314567323751</c:v>
                </c:pt>
                <c:pt idx="1">
                  <c:v>7.1955342389818666</c:v>
                </c:pt>
                <c:pt idx="2">
                  <c:v>6.0547261318075511</c:v>
                </c:pt>
                <c:pt idx="3">
                  <c:v>7.2464039897962467</c:v>
                </c:pt>
                <c:pt idx="4">
                  <c:v>6.9733060287072117</c:v>
                </c:pt>
                <c:pt idx="5">
                  <c:v>6.7232744090643006</c:v>
                </c:pt>
                <c:pt idx="6">
                  <c:v>6.2531096612725054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F7-4F6D-8740-08C8FC30EA76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60'!$AC$34:$AC$38</c:f>
              <c:numCache>
                <c:formatCode>0.0</c:formatCode>
                <c:ptCount val="5"/>
                <c:pt idx="0">
                  <c:v>81.788330466407075</c:v>
                </c:pt>
                <c:pt idx="1">
                  <c:v>71.913674133781655</c:v>
                </c:pt>
                <c:pt idx="2">
                  <c:v>44.366833635861909</c:v>
                </c:pt>
                <c:pt idx="3">
                  <c:v>22.280485894662519</c:v>
                </c:pt>
              </c:numCache>
            </c:numRef>
          </c:xVal>
          <c:yVal>
            <c:numRef>
              <c:f>'Laskenta tulopuoli 60'!$AE$34:$AE$37</c:f>
              <c:numCache>
                <c:formatCode>0.0</c:formatCode>
                <c:ptCount val="4"/>
                <c:pt idx="0">
                  <c:v>103.07947044177652</c:v>
                </c:pt>
                <c:pt idx="1">
                  <c:v>73.761073857442312</c:v>
                </c:pt>
                <c:pt idx="2">
                  <c:v>22.885693851865732</c:v>
                </c:pt>
                <c:pt idx="3">
                  <c:v>6.8453179971700946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7F7-4F6D-8740-08C8FC30EA76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60'!$W$13</c:f>
              <c:numCache>
                <c:formatCode>0.0</c:formatCode>
                <c:ptCount val="1"/>
                <c:pt idx="0">
                  <c:v>17.415404182904666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7F7-4F6D-8740-08C8FC30E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Tilavuusvirta vs paine-ero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60'!$AB$4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9.781364829396326E-2"/>
                  <c:y val="-0.6145629192184309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60'!$AB$6:$AB$12</c:f>
              <c:numCache>
                <c:formatCode>0.0</c:formatCode>
                <c:ptCount val="7"/>
                <c:pt idx="0">
                  <c:v>116.53439357132875</c:v>
                </c:pt>
                <c:pt idx="1">
                  <c:v>106.04294190771634</c:v>
                </c:pt>
                <c:pt idx="2">
                  <c:v>97.229113962616722</c:v>
                </c:pt>
                <c:pt idx="3">
                  <c:v>88.57761083726021</c:v>
                </c:pt>
                <c:pt idx="4">
                  <c:v>76.366556139312408</c:v>
                </c:pt>
                <c:pt idx="5">
                  <c:v>58.980839057652446</c:v>
                </c:pt>
                <c:pt idx="6">
                  <c:v>44.277754454596312</c:v>
                </c:pt>
              </c:numCache>
            </c:numRef>
          </c:xVal>
          <c:yVal>
            <c:numRef>
              <c:f>'Laskenta poistopuoli 60'!$AA$6:$AA$12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2C-496B-9146-24D17EDEBEAC}"/>
            </c:ext>
          </c:extLst>
        </c:ser>
        <c:ser>
          <c:idx val="1"/>
          <c:order val="1"/>
          <c:tx>
            <c:strRef>
              <c:f>'Laskenta poistopuoli 60'!$AD$4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0640726159230097"/>
                  <c:y val="-0.45252588218139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60'!$AD$6:$AD$12</c:f>
              <c:numCache>
                <c:formatCode>0.0</c:formatCode>
                <c:ptCount val="7"/>
                <c:pt idx="0">
                  <c:v>112.6869797142791</c:v>
                </c:pt>
                <c:pt idx="1">
                  <c:v>101.16251296817727</c:v>
                </c:pt>
                <c:pt idx="2">
                  <c:v>92.618224317416534</c:v>
                </c:pt>
                <c:pt idx="3">
                  <c:v>82.962402646329451</c:v>
                </c:pt>
                <c:pt idx="4">
                  <c:v>71.599428630662572</c:v>
                </c:pt>
                <c:pt idx="5">
                  <c:v>57.073060803556054</c:v>
                </c:pt>
                <c:pt idx="6">
                  <c:v>39.254349206872753</c:v>
                </c:pt>
              </c:numCache>
            </c:numRef>
          </c:xVal>
          <c:yVal>
            <c:numRef>
              <c:f>'Laskenta poistopuoli 60'!$AC$6:$AC$12</c:f>
              <c:numCache>
                <c:formatCode>0.0</c:formatCode>
                <c:ptCount val="7"/>
                <c:pt idx="0">
                  <c:v>24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E2C-496B-9146-24D17EDEBEAC}"/>
            </c:ext>
          </c:extLst>
        </c:ser>
        <c:ser>
          <c:idx val="2"/>
          <c:order val="2"/>
          <c:tx>
            <c:strRef>
              <c:f>'Laskenta poistopuoli 60'!$AF$4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44694860017497812"/>
                  <c:y val="-0.332554316127150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60'!$AF$6:$AF$11</c:f>
              <c:numCache>
                <c:formatCode>0.0</c:formatCode>
                <c:ptCount val="6"/>
                <c:pt idx="0">
                  <c:v>72.284594299567686</c:v>
                </c:pt>
                <c:pt idx="1">
                  <c:v>65.038512656650866</c:v>
                </c:pt>
                <c:pt idx="2">
                  <c:v>58.173257245729815</c:v>
                </c:pt>
                <c:pt idx="3">
                  <c:v>50.616285442767648</c:v>
                </c:pt>
                <c:pt idx="4">
                  <c:v>42.103641313068522</c:v>
                </c:pt>
                <c:pt idx="5">
                  <c:v>19.574933517601881</c:v>
                </c:pt>
              </c:numCache>
            </c:numRef>
          </c:xVal>
          <c:yVal>
            <c:numRef>
              <c:f>'Laskenta poistopuoli 60'!$AE$6:$AE$11</c:f>
              <c:numCache>
                <c:formatCode>0.0</c:formatCode>
                <c:ptCount val="6"/>
                <c:pt idx="0">
                  <c:v>17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E2C-496B-9146-24D17EDEBEAC}"/>
            </c:ext>
          </c:extLst>
        </c:ser>
        <c:ser>
          <c:idx val="3"/>
          <c:order val="3"/>
          <c:tx>
            <c:strRef>
              <c:f>'Laskenta poistopuoli 60'!$AH$4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64722222222222225"/>
                  <c:y val="-0.202924686497521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60'!$AH$6:$AH$10</c:f>
              <c:numCache>
                <c:formatCode>0.0</c:formatCode>
                <c:ptCount val="5"/>
                <c:pt idx="0">
                  <c:v>36.100405459595137</c:v>
                </c:pt>
                <c:pt idx="1">
                  <c:v>30.228941518656235</c:v>
                </c:pt>
                <c:pt idx="2">
                  <c:v>23.211710481821601</c:v>
                </c:pt>
                <c:pt idx="3">
                  <c:v>18.983097435077962</c:v>
                </c:pt>
                <c:pt idx="4">
                  <c:v>10.086604002383522</c:v>
                </c:pt>
              </c:numCache>
            </c:numRef>
          </c:xVal>
          <c:yVal>
            <c:numRef>
              <c:f>'Laskenta poistopuoli 60'!$AG$6:$AG$10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E2C-496B-9146-24D17EDEBEAC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60'!$L$3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FE2C-496B-9146-24D17EDEBEAC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88.978396737580198</c:v>
                </c:pt>
                <c:pt idx="1">
                  <c:v>81.438843037829884</c:v>
                </c:pt>
                <c:pt idx="2">
                  <c:v>50.605216105702482</c:v>
                </c:pt>
                <c:pt idx="3">
                  <c:v>27.659640703222408</c:v>
                </c:pt>
              </c:numCache>
            </c:numRef>
          </c:xVal>
          <c:yVal>
            <c:numRef>
              <c:f>'Laskenta poistopuoli 60'!$AD$34:$AD$37</c:f>
              <c:numCache>
                <c:formatCode>0.0</c:formatCode>
                <c:ptCount val="4"/>
                <c:pt idx="0">
                  <c:v>247.41109643719449</c:v>
                </c:pt>
                <c:pt idx="1">
                  <c:v>207.25891110438414</c:v>
                </c:pt>
                <c:pt idx="2">
                  <c:v>80.027746784526528</c:v>
                </c:pt>
                <c:pt idx="3">
                  <c:v>23.907991369729931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FE2C-496B-9146-24D17EDEBEAC}"/>
            </c:ext>
          </c:extLst>
        </c:ser>
        <c:ser>
          <c:idx val="6"/>
          <c:order val="6"/>
          <c:tx>
            <c:v>Otsikot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8952B904-710B-47D1-8E16-555A7E415B59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FE2C-496B-9146-24D17EDEBEA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CB9CCEC-391C-3844-9DB0-0FF95B988224}" type="CELLRANGE">
                      <a:rPr lang="fi-FI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FE2C-496B-9146-24D17EDEBEA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AA4297E-571A-2F41-A5B0-4A18B571FA4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FE2C-496B-9146-24D17EDEBEA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F56BCA9-DCA4-BB4B-8AF8-605344D04A7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FE2C-496B-9146-24D17EDEBE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fi-FI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('Laskenta poistopuoli 60'!$AH$10,'Laskenta poistopuoli 60'!$AF$11,'Laskenta poistopuoli 60'!$AD$12,'Laskenta poistopuoli 60'!$AB$12)</c:f>
              <c:numCache>
                <c:formatCode>0.0</c:formatCode>
                <c:ptCount val="4"/>
                <c:pt idx="0">
                  <c:v>10.086604002383522</c:v>
                </c:pt>
                <c:pt idx="1">
                  <c:v>19.574933517601881</c:v>
                </c:pt>
                <c:pt idx="2">
                  <c:v>39.254349206872753</c:v>
                </c:pt>
                <c:pt idx="3">
                  <c:v>44.277754454596312</c:v>
                </c:pt>
              </c:numCache>
            </c:numRef>
          </c:xVal>
          <c:yVal>
            <c:numRef>
              <c:f>('Laskenta poistopuoli 60'!$AG$10,'Laskenta poistopuoli 60'!$AE$11,'Laskenta poistopuoli 60'!$AC$12,'Laskenta poistopuoli 60'!$AA$12)</c:f>
              <c:numCache>
                <c:formatCode>0.0</c:formatCode>
                <c:ptCount val="4"/>
                <c:pt idx="0">
                  <c:v>43</c:v>
                </c:pt>
                <c:pt idx="1">
                  <c:v>140</c:v>
                </c:pt>
                <c:pt idx="2">
                  <c:v>340</c:v>
                </c:pt>
                <c:pt idx="3">
                  <c:v>422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('Laskenta poistopuoli 60'!$AH$4,'Laskenta poistopuoli 60'!$AF$4,'Laskenta poistopuoli 60'!$AD$4,'Laskenta poistopuoli 60'!$AB$4)</c15:f>
                <c15:dlblRangeCache>
                  <c:ptCount val="4"/>
                </c15:dlblRangeCache>
              </c15:datalabelsRange>
            </c:ext>
            <c:ext xmlns:c16="http://schemas.microsoft.com/office/drawing/2014/chart" uri="{C3380CC4-5D6E-409C-BE32-E72D297353CC}">
              <c16:uniqueId val="{00000010-FE2C-496B-9146-24D17EDEB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5550912"/>
        <c:axId val="665548288"/>
      </c:scatterChart>
      <c:valAx>
        <c:axId val="66555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48288"/>
        <c:crosses val="autoZero"/>
        <c:crossBetween val="midCat"/>
      </c:valAx>
      <c:valAx>
        <c:axId val="6655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6655509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60'!$U$35:$U$37</c:f>
              <c:numCache>
                <c:formatCode>General</c:formatCode>
                <c:ptCount val="3"/>
                <c:pt idx="0">
                  <c:v>7.5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60'!$AC$35:$AC$37</c:f>
              <c:numCache>
                <c:formatCode>0.0</c:formatCode>
                <c:ptCount val="3"/>
                <c:pt idx="0">
                  <c:v>81.438843037829884</c:v>
                </c:pt>
                <c:pt idx="1">
                  <c:v>50.605216105702482</c:v>
                </c:pt>
                <c:pt idx="2">
                  <c:v>27.659640703222408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02-4926-839D-28B582630AF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60'!$U$34:$U$35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60'!$AC$34:$AC$35</c:f>
              <c:numCache>
                <c:formatCode>0.0</c:formatCode>
                <c:ptCount val="2"/>
                <c:pt idx="0">
                  <c:v>88.978396737580198</c:v>
                </c:pt>
                <c:pt idx="1">
                  <c:v>81.438843037829884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02-4926-839D-28B582630AF6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60'!$W$9</c:f>
              <c:numCache>
                <c:formatCode>0.0000</c:formatCode>
                <c:ptCount val="1"/>
                <c:pt idx="0">
                  <c:v>4.0607088592057181</c:v>
                </c:pt>
              </c:numCache>
            </c:numRef>
          </c:xVal>
          <c:yVal>
            <c:numRef>
              <c:f>'Laskenta poistopuoli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02-4926-839D-28B582630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318946347922726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60'!$D$59:$D$62</c:f>
              <c:numCache>
                <c:formatCode>0.0</c:formatCode>
                <c:ptCount val="4"/>
                <c:pt idx="0">
                  <c:v>107.87470909090911</c:v>
                </c:pt>
                <c:pt idx="1">
                  <c:v>100.38941818181817</c:v>
                </c:pt>
                <c:pt idx="2">
                  <c:v>81.448654545454545</c:v>
                </c:pt>
                <c:pt idx="3">
                  <c:v>53.089945454545457</c:v>
                </c:pt>
              </c:numCache>
            </c:numRef>
          </c:xVal>
          <c:yVal>
            <c:numRef>
              <c:f>'Laskenta poistopuoli 60'!$E$59:$E$62</c:f>
              <c:numCache>
                <c:formatCode>0.0</c:formatCode>
                <c:ptCount val="4"/>
                <c:pt idx="0">
                  <c:v>63.493905363116568</c:v>
                </c:pt>
                <c:pt idx="1">
                  <c:v>63.297960771432606</c:v>
                </c:pt>
                <c:pt idx="2">
                  <c:v>64.272693827427119</c:v>
                </c:pt>
                <c:pt idx="3">
                  <c:v>64.865434420758902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17-405F-BECE-BD2ACC20EB31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60'!$D$64:$D$67</c:f>
              <c:numCache>
                <c:formatCode>0.0</c:formatCode>
                <c:ptCount val="4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</c:numCache>
            </c:numRef>
          </c:xVal>
          <c:yVal>
            <c:numRef>
              <c:f>'Laskenta poistopuoli 60'!$E$64:$E$67</c:f>
              <c:numCache>
                <c:formatCode>0.0</c:formatCode>
                <c:ptCount val="4"/>
                <c:pt idx="0">
                  <c:v>61.793578745932216</c:v>
                </c:pt>
                <c:pt idx="1">
                  <c:v>61.699170450617359</c:v>
                </c:pt>
                <c:pt idx="2">
                  <c:v>61.499502073968259</c:v>
                </c:pt>
                <c:pt idx="3">
                  <c:v>61.988694002013098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417-405F-BECE-BD2ACC20EB31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60'!$D$69:$D$72</c:f>
              <c:numCache>
                <c:formatCode>0.0</c:formatCode>
                <c:ptCount val="4"/>
                <c:pt idx="0">
                  <c:v>65.452754545454553</c:v>
                </c:pt>
                <c:pt idx="1">
                  <c:v>57.993681818181834</c:v>
                </c:pt>
                <c:pt idx="2">
                  <c:v>44.934218181818181</c:v>
                </c:pt>
                <c:pt idx="3">
                  <c:v>29.378409090909091</c:v>
                </c:pt>
              </c:numCache>
            </c:numRef>
          </c:xVal>
          <c:yVal>
            <c:numRef>
              <c:f>'Laskenta poistopuoli 60'!$E$69:$E$72</c:f>
              <c:numCache>
                <c:formatCode>0.0</c:formatCode>
                <c:ptCount val="4"/>
                <c:pt idx="0">
                  <c:v>52.868290053988929</c:v>
                </c:pt>
                <c:pt idx="1">
                  <c:v>52.712110718059428</c:v>
                </c:pt>
                <c:pt idx="2">
                  <c:v>52.963067261199228</c:v>
                </c:pt>
                <c:pt idx="3">
                  <c:v>53.674108156872919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417-405F-BECE-BD2ACC20EB31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60'!$D$74:$D$77</c:f>
              <c:numCache>
                <c:formatCode>0.0</c:formatCode>
                <c:ptCount val="4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16.460336363636365</c:v>
                </c:pt>
              </c:numCache>
            </c:numRef>
          </c:xVal>
          <c:yVal>
            <c:numRef>
              <c:f>'Laskenta poistopuoli 60'!$E$74:$E$77</c:f>
              <c:numCache>
                <c:formatCode>0.0</c:formatCode>
                <c:ptCount val="4"/>
                <c:pt idx="0">
                  <c:v>42.366259498052571</c:v>
                </c:pt>
                <c:pt idx="1">
                  <c:v>42.107331253167118</c:v>
                </c:pt>
                <c:pt idx="2">
                  <c:v>41.590965679616225</c:v>
                </c:pt>
                <c:pt idx="3">
                  <c:v>40.405469839560325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417-405F-BECE-BD2ACC20EB3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8E1-43FB-BB02-4BE22AD576F9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1-43FB-BB02-4BE22AD576F9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6754751601995694"/>
                  <c:y val="-7.1665923638555479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88.978396737580198</c:v>
                </c:pt>
                <c:pt idx="1">
                  <c:v>81.438843037829884</c:v>
                </c:pt>
                <c:pt idx="2">
                  <c:v>50.605216105702482</c:v>
                </c:pt>
                <c:pt idx="3">
                  <c:v>27.659640703222408</c:v>
                </c:pt>
              </c:numCache>
            </c:numRef>
          </c:xVal>
          <c:yVal>
            <c:numRef>
              <c:f>'Laskenta poistopuoli 60'!$AF$34:$AF$37</c:f>
              <c:numCache>
                <c:formatCode>0.0</c:formatCode>
                <c:ptCount val="4"/>
                <c:pt idx="0">
                  <c:v>63.889211842680233</c:v>
                </c:pt>
                <c:pt idx="1">
                  <c:v>61.734710521894606</c:v>
                </c:pt>
                <c:pt idx="2">
                  <c:v>52.805617634435279</c:v>
                </c:pt>
                <c:pt idx="3">
                  <c:v>41.918935790440017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417-405F-BECE-BD2ACC20EB3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60'!$W$5</c:f>
              <c:numCache>
                <c:formatCode>0.0</c:formatCode>
                <c:ptCount val="1"/>
                <c:pt idx="0">
                  <c:v>48.666327398220631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1417-405F-BECE-BD2ACC20E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60'!$N$59:$N$62</c:f>
              <c:numCache>
                <c:formatCode>0.0</c:formatCode>
                <c:ptCount val="4"/>
                <c:pt idx="0">
                  <c:v>105.87988000000001</c:v>
                </c:pt>
                <c:pt idx="1">
                  <c:v>93.874200000000016</c:v>
                </c:pt>
                <c:pt idx="2">
                  <c:v>78.199472727272749</c:v>
                </c:pt>
                <c:pt idx="3">
                  <c:v>56.082470000000015</c:v>
                </c:pt>
              </c:numCache>
            </c:numRef>
          </c:xVal>
          <c:yVal>
            <c:numRef>
              <c:f>'Laskenta poistopuoli 60'!$O$59:$O$62</c:f>
              <c:numCache>
                <c:formatCode>0.0</c:formatCode>
                <c:ptCount val="4"/>
                <c:pt idx="0">
                  <c:v>74.153114524051219</c:v>
                </c:pt>
                <c:pt idx="1">
                  <c:v>74.019684338213324</c:v>
                </c:pt>
                <c:pt idx="2">
                  <c:v>74.473808384522599</c:v>
                </c:pt>
                <c:pt idx="3">
                  <c:v>74.731939131631037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9B-49D7-A743-4DD17BC6F590}"/>
            </c:ext>
          </c:extLst>
        </c:ser>
        <c:ser>
          <c:idx val="1"/>
          <c:order val="1"/>
          <c:tx>
            <c:strRef>
              <c:f>'Laskenta poistopuoli 60'!$C$64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60'!$N$64:$N$67</c:f>
              <c:numCache>
                <c:formatCode>0.0</c:formatCode>
                <c:ptCount val="4"/>
                <c:pt idx="0">
                  <c:v>102.35830999999999</c:v>
                </c:pt>
                <c:pt idx="1">
                  <c:v>86.961870000000005</c:v>
                </c:pt>
                <c:pt idx="2">
                  <c:v>71.166445454545453</c:v>
                </c:pt>
                <c:pt idx="3">
                  <c:v>48.991949999999996</c:v>
                </c:pt>
              </c:numCache>
            </c:numRef>
          </c:xVal>
          <c:yVal>
            <c:numRef>
              <c:f>'Laskenta poistopuoli 60'!$O$64:$O$67</c:f>
              <c:numCache>
                <c:formatCode>0.0</c:formatCode>
                <c:ptCount val="4"/>
                <c:pt idx="0">
                  <c:v>73.498378980241881</c:v>
                </c:pt>
                <c:pt idx="1">
                  <c:v>72.346734218995607</c:v>
                </c:pt>
                <c:pt idx="2">
                  <c:v>72.760088595110957</c:v>
                </c:pt>
                <c:pt idx="3">
                  <c:v>72.837280093152657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9B-49D7-A743-4DD17BC6F590}"/>
            </c:ext>
          </c:extLst>
        </c:ser>
        <c:ser>
          <c:idx val="2"/>
          <c:order val="2"/>
          <c:tx>
            <c:strRef>
              <c:f>'Laskenta poistopuoli 60'!$C$69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60'!$N$69:$N$72</c:f>
              <c:numCache>
                <c:formatCode>0.0</c:formatCode>
                <c:ptCount val="4"/>
                <c:pt idx="0">
                  <c:v>64.71593</c:v>
                </c:pt>
                <c:pt idx="1">
                  <c:v>56.397649999999999</c:v>
                </c:pt>
                <c:pt idx="2">
                  <c:v>44.364674999999998</c:v>
                </c:pt>
                <c:pt idx="3">
                  <c:v>29.709320000000002</c:v>
                </c:pt>
              </c:numCache>
            </c:numRef>
          </c:xVal>
          <c:yVal>
            <c:numRef>
              <c:f>'Laskenta poistopuoli 60'!$O$69:$O$72</c:f>
              <c:numCache>
                <c:formatCode>0.0</c:formatCode>
                <c:ptCount val="4"/>
                <c:pt idx="0">
                  <c:v>63.976360137079489</c:v>
                </c:pt>
                <c:pt idx="1">
                  <c:v>63.699748362510455</c:v>
                </c:pt>
                <c:pt idx="2">
                  <c:v>63.071506226769486</c:v>
                </c:pt>
                <c:pt idx="3">
                  <c:v>62.888425314827082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9B-49D7-A743-4DD17BC6F590}"/>
            </c:ext>
          </c:extLst>
        </c:ser>
        <c:ser>
          <c:idx val="3"/>
          <c:order val="3"/>
          <c:tx>
            <c:strRef>
              <c:f>'Laskenta poistopuoli 60'!$C$74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60'!$N$74:$N$77</c:f>
              <c:numCache>
                <c:formatCode>0.0</c:formatCode>
                <c:ptCount val="4"/>
                <c:pt idx="0">
                  <c:v>35.238360000000007</c:v>
                </c:pt>
                <c:pt idx="1">
                  <c:v>30.224881818181821</c:v>
                </c:pt>
                <c:pt idx="2">
                  <c:v>24.517433333333333</c:v>
                </c:pt>
                <c:pt idx="3">
                  <c:v>14.840427272727274</c:v>
                </c:pt>
              </c:numCache>
            </c:numRef>
          </c:xVal>
          <c:yVal>
            <c:numRef>
              <c:f>'Laskenta poistopuoli 60'!$O$74:$O$77</c:f>
              <c:numCache>
                <c:formatCode>0.0</c:formatCode>
                <c:ptCount val="4"/>
                <c:pt idx="0">
                  <c:v>51.518710353097447</c:v>
                </c:pt>
                <c:pt idx="1">
                  <c:v>51.287101111206105</c:v>
                </c:pt>
                <c:pt idx="2">
                  <c:v>51.541325939689521</c:v>
                </c:pt>
                <c:pt idx="3">
                  <c:v>50.805528934021993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9B-49D7-A743-4DD17BC6F590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60'!$AC$34:$AC$37</c:f>
              <c:numCache>
                <c:formatCode>0.0</c:formatCode>
                <c:ptCount val="4"/>
                <c:pt idx="0">
                  <c:v>88.978396737580198</c:v>
                </c:pt>
                <c:pt idx="1">
                  <c:v>81.438843037829884</c:v>
                </c:pt>
                <c:pt idx="2">
                  <c:v>50.605216105702482</c:v>
                </c:pt>
                <c:pt idx="3">
                  <c:v>27.659640703222408</c:v>
                </c:pt>
              </c:numCache>
            </c:numRef>
          </c:xVal>
          <c:yVal>
            <c:numRef>
              <c:f>'Laskenta poistopuoli 60'!$AG$34:$AG$37</c:f>
              <c:numCache>
                <c:formatCode>0.0</c:formatCode>
                <c:ptCount val="4"/>
                <c:pt idx="0">
                  <c:v>74.223274999880104</c:v>
                </c:pt>
                <c:pt idx="1">
                  <c:v>72.56366439815146</c:v>
                </c:pt>
                <c:pt idx="2">
                  <c:v>63.35616514792607</c:v>
                </c:pt>
                <c:pt idx="3">
                  <c:v>51.466212988854835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0F9B-49D7-A743-4DD17BC6F590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60'!$W$6</c:f>
              <c:numCache>
                <c:formatCode>0.0</c:formatCode>
                <c:ptCount val="1"/>
                <c:pt idx="0">
                  <c:v>58.69453842504565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0F9B-49D7-A743-4DD17BC6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60'!$X$59:$X$65</c:f>
              <c:numCache>
                <c:formatCode>0.0</c:formatCode>
                <c:ptCount val="7"/>
                <c:pt idx="0">
                  <c:v>107.87470909090911</c:v>
                </c:pt>
                <c:pt idx="1">
                  <c:v>100.38941818181817</c:v>
                </c:pt>
                <c:pt idx="2">
                  <c:v>53.089945454545457</c:v>
                </c:pt>
                <c:pt idx="3">
                  <c:v>105.87988000000001</c:v>
                </c:pt>
                <c:pt idx="4">
                  <c:v>93.874200000000016</c:v>
                </c:pt>
                <c:pt idx="5">
                  <c:v>78.199472727272749</c:v>
                </c:pt>
                <c:pt idx="6">
                  <c:v>56.082470000000015</c:v>
                </c:pt>
              </c:numCache>
            </c:numRef>
          </c:xVal>
          <c:yVal>
            <c:numRef>
              <c:f>'Laskenta poistopuoli 60'!$Y$59:$Y$65</c:f>
              <c:numCache>
                <c:formatCode>0.0</c:formatCode>
                <c:ptCount val="7"/>
                <c:pt idx="0">
                  <c:v>115.5265385403938</c:v>
                </c:pt>
                <c:pt idx="1">
                  <c:v>115.61548841235609</c:v>
                </c:pt>
                <c:pt idx="2">
                  <c:v>82.467336854174889</c:v>
                </c:pt>
                <c:pt idx="3">
                  <c:v>114.51147458167894</c:v>
                </c:pt>
                <c:pt idx="4">
                  <c:v>114.59145317497428</c:v>
                </c:pt>
                <c:pt idx="5">
                  <c:v>107.97492327537397</c:v>
                </c:pt>
                <c:pt idx="6">
                  <c:v>89.453528617995275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FF-456D-9C49-D12D09390E22}"/>
            </c:ext>
          </c:extLst>
        </c:ser>
        <c:ser>
          <c:idx val="1"/>
          <c:order val="1"/>
          <c:tx>
            <c:strRef>
              <c:f>'Laskenta poistopuoli 60'!$W$67</c:f>
              <c:strCache>
                <c:ptCount val="1"/>
                <c:pt idx="0">
                  <c:v>7,5V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60'!$X$67:$X$74</c:f>
              <c:numCache>
                <c:formatCode>0.0</c:formatCode>
                <c:ptCount val="8"/>
                <c:pt idx="0">
                  <c:v>101.3108</c:v>
                </c:pt>
                <c:pt idx="1">
                  <c:v>91.942481818181818</c:v>
                </c:pt>
                <c:pt idx="2">
                  <c:v>73.066327272727278</c:v>
                </c:pt>
                <c:pt idx="3">
                  <c:v>47.035418181818187</c:v>
                </c:pt>
                <c:pt idx="4">
                  <c:v>102.35830999999999</c:v>
                </c:pt>
                <c:pt idx="5">
                  <c:v>86.961870000000005</c:v>
                </c:pt>
                <c:pt idx="6">
                  <c:v>71.166445454545453</c:v>
                </c:pt>
                <c:pt idx="7">
                  <c:v>48.991949999999996</c:v>
                </c:pt>
              </c:numCache>
            </c:numRef>
          </c:xVal>
          <c:yVal>
            <c:numRef>
              <c:f>'Laskenta poistopuoli 60'!$Y$67:$Y$74</c:f>
              <c:numCache>
                <c:formatCode>0.0</c:formatCode>
                <c:ptCount val="8"/>
                <c:pt idx="0">
                  <c:v>98.884138967030296</c:v>
                </c:pt>
                <c:pt idx="1">
                  <c:v>90.840740895422627</c:v>
                </c:pt>
                <c:pt idx="2">
                  <c:v>77.408747968745246</c:v>
                </c:pt>
                <c:pt idx="3">
                  <c:v>60.596137104000228</c:v>
                </c:pt>
                <c:pt idx="4">
                  <c:v>105.13583741824799</c:v>
                </c:pt>
                <c:pt idx="5">
                  <c:v>94.442699474731185</c:v>
                </c:pt>
                <c:pt idx="6">
                  <c:v>84.026670350589114</c:v>
                </c:pt>
                <c:pt idx="7">
                  <c:v>68.8379859505214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9FF-456D-9C49-D12D09390E22}"/>
            </c:ext>
          </c:extLst>
        </c:ser>
        <c:ser>
          <c:idx val="2"/>
          <c:order val="2"/>
          <c:tx>
            <c:strRef>
              <c:f>'Laskenta poistopuoli 60'!$W$76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60'!$X$76:$X$82</c:f>
              <c:numCache>
                <c:formatCode>0.0</c:formatCode>
                <c:ptCount val="7"/>
                <c:pt idx="0">
                  <c:v>65.452754545454553</c:v>
                </c:pt>
                <c:pt idx="1">
                  <c:v>57.993681818181834</c:v>
                </c:pt>
                <c:pt idx="2">
                  <c:v>29.378409090909091</c:v>
                </c:pt>
                <c:pt idx="3">
                  <c:v>64.71593</c:v>
                </c:pt>
                <c:pt idx="4">
                  <c:v>56.397649999999999</c:v>
                </c:pt>
                <c:pt idx="5">
                  <c:v>44.364674999999998</c:v>
                </c:pt>
                <c:pt idx="6">
                  <c:v>29.709320000000002</c:v>
                </c:pt>
              </c:numCache>
            </c:numRef>
          </c:xVal>
          <c:yVal>
            <c:numRef>
              <c:f>'Laskenta poistopuoli 60'!$Y$76:$Y$82</c:f>
              <c:numCache>
                <c:formatCode>0.0</c:formatCode>
                <c:ptCount val="7"/>
                <c:pt idx="0">
                  <c:v>31.212721729490024</c:v>
                </c:pt>
                <c:pt idx="1">
                  <c:v>28.459703322904957</c:v>
                </c:pt>
                <c:pt idx="2">
                  <c:v>18.71431127175531</c:v>
                </c:pt>
                <c:pt idx="3">
                  <c:v>31.955364545733858</c:v>
                </c:pt>
                <c:pt idx="4">
                  <c:v>30.238845390907304</c:v>
                </c:pt>
                <c:pt idx="5">
                  <c:v>24.543088740881917</c:v>
                </c:pt>
                <c:pt idx="6">
                  <c:v>20.317309915841626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9FF-456D-9C49-D12D09390E22}"/>
            </c:ext>
          </c:extLst>
        </c:ser>
        <c:ser>
          <c:idx val="3"/>
          <c:order val="3"/>
          <c:tx>
            <c:strRef>
              <c:f>'Laskenta poistopuoli 60'!$W$84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60'!$X$84:$X$90</c:f>
              <c:numCache>
                <c:formatCode>0.0</c:formatCode>
                <c:ptCount val="7"/>
                <c:pt idx="0">
                  <c:v>34.816809090909096</c:v>
                </c:pt>
                <c:pt idx="1">
                  <c:v>30.149972727272729</c:v>
                </c:pt>
                <c:pt idx="2">
                  <c:v>24.396954545454545</c:v>
                </c:pt>
                <c:pt idx="3">
                  <c:v>35.238360000000007</c:v>
                </c:pt>
                <c:pt idx="4">
                  <c:v>30.224881818181821</c:v>
                </c:pt>
                <c:pt idx="5">
                  <c:v>24.517433333333333</c:v>
                </c:pt>
                <c:pt idx="6">
                  <c:v>14.840427272727274</c:v>
                </c:pt>
              </c:numCache>
            </c:numRef>
          </c:xVal>
          <c:yVal>
            <c:numRef>
              <c:f>'Laskenta poistopuoli 60'!$Y$84:$Y$90</c:f>
              <c:numCache>
                <c:formatCode>0.0</c:formatCode>
                <c:ptCount val="7"/>
                <c:pt idx="0">
                  <c:v>8.57527594617628</c:v>
                </c:pt>
                <c:pt idx="1">
                  <c:v>7.4900016895483406</c:v>
                </c:pt>
                <c:pt idx="2">
                  <c:v>6.8879062319654958</c:v>
                </c:pt>
                <c:pt idx="3">
                  <c:v>8.7614555456006471</c:v>
                </c:pt>
                <c:pt idx="4">
                  <c:v>8.1736959880407234</c:v>
                </c:pt>
                <c:pt idx="5">
                  <c:v>7.6407882843044428</c:v>
                </c:pt>
                <c:pt idx="6">
                  <c:v>6.3783448520588015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9FF-456D-9C49-D12D09390E2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60'!$AC$34:$AC$38</c:f>
              <c:numCache>
                <c:formatCode>0.0</c:formatCode>
                <c:ptCount val="5"/>
                <c:pt idx="0">
                  <c:v>88.978396737580198</c:v>
                </c:pt>
                <c:pt idx="1">
                  <c:v>81.438843037829884</c:v>
                </c:pt>
                <c:pt idx="2">
                  <c:v>50.605216105702482</c:v>
                </c:pt>
                <c:pt idx="3">
                  <c:v>27.659640703222408</c:v>
                </c:pt>
              </c:numCache>
            </c:numRef>
          </c:xVal>
          <c:yVal>
            <c:numRef>
              <c:f>'Laskenta poistopuoli 60'!$AE$34:$AE$37</c:f>
              <c:numCache>
                <c:formatCode>0.0</c:formatCode>
                <c:ptCount val="4"/>
                <c:pt idx="0">
                  <c:v>113.4007744492723</c:v>
                </c:pt>
                <c:pt idx="1">
                  <c:v>87.388769482027939</c:v>
                </c:pt>
                <c:pt idx="2">
                  <c:v>27.069827123327443</c:v>
                </c:pt>
                <c:pt idx="3">
                  <c:v>7.577495451311739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9FF-456D-9C49-D12D09390E2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60'!$J$3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60'!$W$13</c:f>
              <c:numCache>
                <c:formatCode>0.0</c:formatCode>
                <c:ptCount val="1"/>
                <c:pt idx="0">
                  <c:v>14.606785358742272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19FF-456D-9C49-D12D09390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Verkkokäyräkorjaus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2"/>
            <c:backward val="0.1"/>
            <c:dispRSqr val="1"/>
            <c:dispEq val="1"/>
            <c:trendlineLbl>
              <c:layout>
                <c:manualLayout>
                  <c:x val="-0.2896305774278215"/>
                  <c:y val="8.2028288130650343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keittiöohitus'!$J$22:$L$22</c:f>
              <c:numCache>
                <c:formatCode>0.000</c:formatCode>
                <c:ptCount val="3"/>
                <c:pt idx="0">
                  <c:v>0.54954526656136349</c:v>
                </c:pt>
                <c:pt idx="1">
                  <c:v>0.22583179581272428</c:v>
                </c:pt>
                <c:pt idx="2">
                  <c:v>0.11445523142259598</c:v>
                </c:pt>
              </c:numCache>
            </c:numRef>
          </c:xVal>
          <c:yVal>
            <c:numRef>
              <c:f>'Laskenta keittiöohitus'!$J$23:$L$23</c:f>
              <c:numCache>
                <c:formatCode>General</c:formatCode>
                <c:ptCount val="3"/>
                <c:pt idx="0">
                  <c:v>-2.4</c:v>
                </c:pt>
                <c:pt idx="1">
                  <c:v>0</c:v>
                </c:pt>
                <c:pt idx="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63-403F-8ED5-3E5552BC21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keittiöohitus'!$C$22</c:f>
              <c:numCache>
                <c:formatCode>General</c:formatCode>
                <c:ptCount val="1"/>
                <c:pt idx="0">
                  <c:v>0.17677669529663689</c:v>
                </c:pt>
              </c:numCache>
            </c:numRef>
          </c:xVal>
          <c:yVal>
            <c:numRef>
              <c:f>'Laskenta keittiöohitus'!$F$25</c:f>
              <c:numCache>
                <c:formatCode>0.000</c:formatCode>
                <c:ptCount val="1"/>
                <c:pt idx="0">
                  <c:v>0.45901014808499441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63-403F-8ED5-3E5552BC2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5686552"/>
        <c:axId val="765691144"/>
      </c:scatterChart>
      <c:valAx>
        <c:axId val="7656865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91144"/>
        <c:crosses val="autoZero"/>
        <c:crossBetween val="midCat"/>
      </c:valAx>
      <c:valAx>
        <c:axId val="76569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656865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LEV-500-270, pituus 350 mm, s=2 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'Kojeet ja kennon hyötysuhde'!$E$123</c:f>
              <c:strCache>
                <c:ptCount val="1"/>
                <c:pt idx="0">
                  <c:v>LEV-500-270, pituus 350 mm, s=2 mm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4"/>
            <c:dispRSqr val="1"/>
            <c:dispEq val="1"/>
            <c:trendlineLbl>
              <c:layout>
                <c:manualLayout>
                  <c:x val="0.13690791776027997"/>
                  <c:y val="-0.5412441673957422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hyötysuhde'!$E$130:$E$138</c:f>
              <c:numCache>
                <c:formatCode>General</c:formatCode>
                <c:ptCount val="9"/>
                <c:pt idx="0">
                  <c:v>120</c:v>
                </c:pt>
                <c:pt idx="1">
                  <c:v>100</c:v>
                </c:pt>
                <c:pt idx="2">
                  <c:v>90</c:v>
                </c:pt>
                <c:pt idx="3">
                  <c:v>70</c:v>
                </c:pt>
                <c:pt idx="4">
                  <c:v>60</c:v>
                </c:pt>
                <c:pt idx="5">
                  <c:v>50</c:v>
                </c:pt>
                <c:pt idx="6">
                  <c:v>40</c:v>
                </c:pt>
                <c:pt idx="7">
                  <c:v>30</c:v>
                </c:pt>
                <c:pt idx="8">
                  <c:v>25</c:v>
                </c:pt>
              </c:numCache>
            </c:numRef>
          </c:xVal>
          <c:yVal>
            <c:numRef>
              <c:f>'Kojeet ja kennon hyötysuhde'!$F$130:$F$138</c:f>
              <c:numCache>
                <c:formatCode>0.0\ %</c:formatCode>
                <c:ptCount val="9"/>
                <c:pt idx="0">
                  <c:v>0.79100000000000004</c:v>
                </c:pt>
                <c:pt idx="1">
                  <c:v>0.79700000000000004</c:v>
                </c:pt>
                <c:pt idx="2">
                  <c:v>0.80100000000000005</c:v>
                </c:pt>
                <c:pt idx="3">
                  <c:v>0.81299999999999994</c:v>
                </c:pt>
                <c:pt idx="4">
                  <c:v>0.82099999999999995</c:v>
                </c:pt>
                <c:pt idx="5">
                  <c:v>0.83099999999999996</c:v>
                </c:pt>
                <c:pt idx="6">
                  <c:v>0.84299999999999997</c:v>
                </c:pt>
                <c:pt idx="7">
                  <c:v>0.85899999999999999</c:v>
                </c:pt>
                <c:pt idx="8">
                  <c:v>0.87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DF-4956-A071-8DE3932ED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4150024"/>
        <c:axId val="324155928"/>
      </c:scatterChart>
      <c:valAx>
        <c:axId val="324150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5928"/>
        <c:crosses val="autoZero"/>
        <c:crossBetween val="midCat"/>
      </c:valAx>
      <c:valAx>
        <c:axId val="32415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241500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250'!$D$59:$D$62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250'!$E$59:$E$62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374-4250-B034-52DA68A2A85A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250'!$E$64:$E$67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374-4250-B034-52DA68A2A85A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250'!$E$69:$E$72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374-4250-B034-52DA68A2A85A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250'!$E$74:$E$77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374-4250-B034-52DA68A2A85A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E-A374-4250-B034-52DA68A2A85A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0-A374-4250-B034-52DA68A2A85A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xVal>
          <c:yVal>
            <c:numRef>
              <c:f>'Laskenta tulopuoli 250'!$AF$34:$AF$37</c:f>
              <c:numCache>
                <c:formatCode>0.0</c:formatCode>
                <c:ptCount val="4"/>
                <c:pt idx="0">
                  <c:v>59.737044700335069</c:v>
                </c:pt>
                <c:pt idx="1">
                  <c:v>54.330601351062427</c:v>
                </c:pt>
                <c:pt idx="2">
                  <c:v>48.964857255222057</c:v>
                </c:pt>
                <c:pt idx="3">
                  <c:v>39.542167377187063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374-4250-B034-52DA68A2A85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250'!$W$5</c:f>
              <c:numCache>
                <c:formatCode>0.0</c:formatCode>
                <c:ptCount val="1"/>
                <c:pt idx="0">
                  <c:v>35.088723734289019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374-4250-B034-52DA68A2A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250'!$N$59:$N$62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250'!$O$59:$O$62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DC7-4AA4-A211-BEB034868BE4}"/>
            </c:ext>
          </c:extLst>
        </c:ser>
        <c:ser>
          <c:idx val="1"/>
          <c:order val="1"/>
          <c:tx>
            <c:strRef>
              <c:f>'Laskenta tulopuoli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250'!$N$64:$N$67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250'!$O$64:$O$67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DC7-4AA4-A211-BEB034868BE4}"/>
            </c:ext>
          </c:extLst>
        </c:ser>
        <c:ser>
          <c:idx val="2"/>
          <c:order val="2"/>
          <c:tx>
            <c:strRef>
              <c:f>'Laskenta tulopuoli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250'!$N$69:$N$72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250'!$O$69:$O$72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DC7-4AA4-A211-BEB034868BE4}"/>
            </c:ext>
          </c:extLst>
        </c:ser>
        <c:ser>
          <c:idx val="3"/>
          <c:order val="3"/>
          <c:tx>
            <c:strRef>
              <c:f>'Laskenta tulopuoli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250'!$N$74:$N$77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250'!$O$74:$O$77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DC7-4AA4-A211-BEB034868BE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xVal>
          <c:yVal>
            <c:numRef>
              <c:f>'Laskenta tulopuoli 250'!$AG$34:$AG$37</c:f>
              <c:numCache>
                <c:formatCode>0.0</c:formatCode>
                <c:ptCount val="4"/>
                <c:pt idx="0">
                  <c:v>76.543205057874175</c:v>
                </c:pt>
                <c:pt idx="1">
                  <c:v>72.295768769069682</c:v>
                </c:pt>
                <c:pt idx="2">
                  <c:v>66.476049239445118</c:v>
                </c:pt>
                <c:pt idx="3">
                  <c:v>56.911339528894267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2DC7-4AA4-A211-BEB034868BE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250'!$W$6</c:f>
              <c:numCache>
                <c:formatCode>0.0</c:formatCode>
                <c:ptCount val="1"/>
                <c:pt idx="0">
                  <c:v>52.677320809186426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2DC7-4AA4-A211-BEB034868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250'!$AJ$36:$AJ$38</c:f>
              <c:numCache>
                <c:formatCode>0.0</c:formatCode>
                <c:ptCount val="3"/>
                <c:pt idx="0">
                  <c:v>112.68498526889834</c:v>
                </c:pt>
                <c:pt idx="1">
                  <c:v>80.384862640359131</c:v>
                </c:pt>
                <c:pt idx="2">
                  <c:v>50.470858804375901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8-4EBF-A91D-F59C60A6784A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250'!$AJ$34:$AJ$35</c:f>
              <c:numCache>
                <c:formatCode>0.0</c:formatCode>
                <c:ptCount val="2"/>
                <c:pt idx="0">
                  <c:v>139.90304747211434</c:v>
                </c:pt>
                <c:pt idx="1">
                  <c:v>127.84083041960295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88-4EBF-A91D-F59C60A6784A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250'!$W$9</c:f>
              <c:numCache>
                <c:formatCode>0.00</c:formatCode>
                <c:ptCount val="1"/>
                <c:pt idx="0">
                  <c:v>3.36194665396199</c:v>
                </c:pt>
              </c:numCache>
            </c:numRef>
          </c:xVal>
          <c:y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88-4EBF-A91D-F59C60A6784A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250'!$AC$34:$AC$37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88-4EBF-A91D-F59C60A67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250'!$Y$59:$Y$67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521-4CC1-BA92-ACB5AA398F45}"/>
            </c:ext>
          </c:extLst>
        </c:ser>
        <c:ser>
          <c:idx val="1"/>
          <c:order val="1"/>
          <c:tx>
            <c:strRef>
              <c:f>'Laskenta tulopuoli 250'!$W$70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250'!$Y$70:$Y$78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521-4CC1-BA92-ACB5AA398F45}"/>
            </c:ext>
          </c:extLst>
        </c:ser>
        <c:ser>
          <c:idx val="2"/>
          <c:order val="2"/>
          <c:tx>
            <c:strRef>
              <c:f>'Laskenta tulopuoli 250'!$W$81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521-4CC1-BA92-ACB5AA398F45}"/>
            </c:ext>
          </c:extLst>
        </c:ser>
        <c:ser>
          <c:idx val="3"/>
          <c:order val="3"/>
          <c:tx>
            <c:strRef>
              <c:f>'Laskenta tulopuoli 250'!$W$92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521-4CC1-BA92-ACB5AA398F4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250'!$AC$34:$AC$38</c:f>
              <c:numCache>
                <c:formatCode>0.0</c:formatCode>
                <c:ptCount val="5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  <c:pt idx="4">
                  <c:v>104.41013119994093</c:v>
                </c:pt>
              </c:numCache>
            </c:numRef>
          </c:xVal>
          <c:yVal>
            <c:numRef>
              <c:f>'Laskenta tulopuoli 250'!$AE$34:$AE$37</c:f>
              <c:numCache>
                <c:formatCode>0.0</c:formatCode>
                <c:ptCount val="4"/>
                <c:pt idx="0">
                  <c:v>268.75239379202606</c:v>
                </c:pt>
                <c:pt idx="1">
                  <c:v>150.49335014974707</c:v>
                </c:pt>
                <c:pt idx="2">
                  <c:v>67.701771599402178</c:v>
                </c:pt>
                <c:pt idx="3">
                  <c:v>27.852328996974983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521-4CC1-BA92-ACB5AA398F4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250'!$W$13</c:f>
              <c:numCache>
                <c:formatCode>0.0</c:formatCode>
                <c:ptCount val="1"/>
                <c:pt idx="0">
                  <c:v>22.655408973240419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521-4CC1-BA92-ACB5AA398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250'!$AB$6:$AB$12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250'!$AA$6:$AA$12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123-4102-9D12-A144BC241230}"/>
            </c:ext>
          </c:extLst>
        </c:ser>
        <c:ser>
          <c:idx val="1"/>
          <c:order val="1"/>
          <c:tx>
            <c:strRef>
              <c:f>'Laskenta tulopuoli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250'!$AD$6:$AD$12</c:f>
              <c:numCache>
                <c:formatCode>0.0</c:formatCode>
                <c:ptCount val="7"/>
                <c:pt idx="0">
                  <c:v>276.93002872317612</c:v>
                </c:pt>
                <c:pt idx="1">
                  <c:v>266.48733485462003</c:v>
                </c:pt>
                <c:pt idx="2">
                  <c:v>247.90855499235673</c:v>
                </c:pt>
                <c:pt idx="3">
                  <c:v>227.47673751838894</c:v>
                </c:pt>
                <c:pt idx="4">
                  <c:v>188.98765340427627</c:v>
                </c:pt>
                <c:pt idx="5">
                  <c:v>144.00838062097975</c:v>
                </c:pt>
                <c:pt idx="6">
                  <c:v>105.265386166816</c:v>
                </c:pt>
              </c:numCache>
            </c:numRef>
          </c:xVal>
          <c:yVal>
            <c:numRef>
              <c:f>'Laskenta tulopuoli 250'!$AC$6:$AC$12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123-4102-9D12-A144BC241230}"/>
            </c:ext>
          </c:extLst>
        </c:ser>
        <c:ser>
          <c:idx val="2"/>
          <c:order val="2"/>
          <c:tx>
            <c:strRef>
              <c:f>'Laskenta tulopuoli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123-4102-9D12-A144BC241230}"/>
            </c:ext>
          </c:extLst>
        </c:ser>
        <c:ser>
          <c:idx val="3"/>
          <c:order val="3"/>
          <c:tx>
            <c:strRef>
              <c:f>'Laskenta tulopuoli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123-4102-9D12-A144BC24123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123-4102-9D12-A144BC24123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xVal>
          <c:yVal>
            <c:numRef>
              <c:f>'Laskenta tulopuoli 250'!$AD$34:$AD$37</c:f>
              <c:numCache>
                <c:formatCode>0.0</c:formatCode>
                <c:ptCount val="4"/>
                <c:pt idx="0">
                  <c:v>611.65195912452123</c:v>
                </c:pt>
                <c:pt idx="1">
                  <c:v>396.80955953286991</c:v>
                </c:pt>
                <c:pt idx="2">
                  <c:v>201.92894192841896</c:v>
                </c:pt>
                <c:pt idx="3">
                  <c:v>79.60336213910152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5123-4102-9D12-A144BC241230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250'!$O$22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250'!$O$23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5123-4102-9D12-A144BC241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250'!$AO$60:$AO$67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B36-4267-9310-2DD20C06E505}"/>
            </c:ext>
          </c:extLst>
        </c:ser>
        <c:ser>
          <c:idx val="1"/>
          <c:order val="1"/>
          <c:tx>
            <c:strRef>
              <c:f>'Laskenta tulopuoli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250'!$AO$71:$AO$78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36-4267-9310-2DD20C06E505}"/>
            </c:ext>
          </c:extLst>
        </c:ser>
        <c:ser>
          <c:idx val="2"/>
          <c:order val="2"/>
          <c:tx>
            <c:strRef>
              <c:f>'Laskenta tulopuoli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250'!$AO$82:$AO$89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B36-4267-9310-2DD20C06E505}"/>
            </c:ext>
          </c:extLst>
        </c:ser>
        <c:ser>
          <c:idx val="3"/>
          <c:order val="3"/>
          <c:tx>
            <c:strRef>
              <c:f>'Laskenta tulopuoli 250'!$AM$93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250'!$AO$93:$AO$99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B36-4267-9310-2DD20C06E505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250'!$AC$34:$AC$37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xVal>
          <c:yVal>
            <c:numRef>
              <c:f>'Laskenta tulopuoli 250'!$AL$34:$AL$37</c:f>
              <c:numCache>
                <c:formatCode>General</c:formatCode>
                <c:ptCount val="4"/>
                <c:pt idx="0">
                  <c:v>714.40517854892778</c:v>
                </c:pt>
                <c:pt idx="1">
                  <c:v>477.97892549245955</c:v>
                </c:pt>
                <c:pt idx="2">
                  <c:v>264.89975982595797</c:v>
                </c:pt>
                <c:pt idx="3">
                  <c:v>115.03111351902663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B36-4267-9310-2DD20C06E505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250'!$W$2</c:f>
              <c:numCache>
                <c:formatCode>0.0</c:formatCode>
                <c:ptCount val="1"/>
                <c:pt idx="0">
                  <c:v>77.384692523292642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B36-4267-9310-2DD20C06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250'!$E$59:$E$62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53-40AA-965D-A8C2B551F8D5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250'!$E$64:$E$67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53-40AA-965D-A8C2B551F8D5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250'!$E$69:$E$72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53-40AA-965D-A8C2B551F8D5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250'!$E$74:$E$77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B053-40AA-965D-A8C2B551F8D5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B053-40AA-965D-A8C2B551F8D5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B053-40AA-965D-A8C2B551F8D5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xVal>
          <c:yVal>
            <c:numRef>
              <c:f>'Laskenta poistopuoli 250'!$AF$34:$AF$37</c:f>
              <c:numCache>
                <c:formatCode>0.0</c:formatCode>
                <c:ptCount val="4"/>
                <c:pt idx="0">
                  <c:v>58.550817297949926</c:v>
                </c:pt>
                <c:pt idx="1">
                  <c:v>53.286984713426598</c:v>
                </c:pt>
                <c:pt idx="2">
                  <c:v>48.690298762441216</c:v>
                </c:pt>
                <c:pt idx="3">
                  <c:v>39.136023983286201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B053-40AA-965D-A8C2B551F8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250'!$W$5</c:f>
              <c:numCache>
                <c:formatCode>0.0</c:formatCode>
                <c:ptCount val="1"/>
                <c:pt idx="0">
                  <c:v>34.778034318558305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053-40AA-965D-A8C2B551F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250'!$N$59:$N$62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250'!$O$59:$O$62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49B-4862-89A9-6CCE33CB59BD}"/>
            </c:ext>
          </c:extLst>
        </c:ser>
        <c:ser>
          <c:idx val="1"/>
          <c:order val="1"/>
          <c:tx>
            <c:strRef>
              <c:f>'Laskenta poistopuoli 250'!$C$64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250'!$N$64:$N$67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250'!$O$64:$O$67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49B-4862-89A9-6CCE33CB59BD}"/>
            </c:ext>
          </c:extLst>
        </c:ser>
        <c:ser>
          <c:idx val="2"/>
          <c:order val="2"/>
          <c:tx>
            <c:strRef>
              <c:f>'Laskenta poistopuoli 250'!$C$69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250'!$N$69:$N$72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250'!$O$69:$O$72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49B-4862-89A9-6CCE33CB59BD}"/>
            </c:ext>
          </c:extLst>
        </c:ser>
        <c:ser>
          <c:idx val="3"/>
          <c:order val="3"/>
          <c:tx>
            <c:strRef>
              <c:f>'Laskenta poistopuoli 250'!$C$74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250'!$N$74:$N$77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250'!$O$74:$O$77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49B-4862-89A9-6CCE33CB59B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xVal>
          <c:yVal>
            <c:numRef>
              <c:f>'Laskenta poistopuoli 250'!$AG$34:$AG$37</c:f>
              <c:numCache>
                <c:formatCode>0.0</c:formatCode>
                <c:ptCount val="4"/>
                <c:pt idx="0">
                  <c:v>76.451684867355979</c:v>
                </c:pt>
                <c:pt idx="1">
                  <c:v>71.378562641017609</c:v>
                </c:pt>
                <c:pt idx="2">
                  <c:v>64.95441512459476</c:v>
                </c:pt>
                <c:pt idx="3">
                  <c:v>54.999932689469176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49B-4862-89A9-6CCE33CB59B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250'!$W$6</c:f>
              <c:numCache>
                <c:formatCode>0.0</c:formatCode>
                <c:ptCount val="1"/>
                <c:pt idx="0">
                  <c:v>49.891596560798192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49B-4862-89A9-6CCE33CB5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250'!$AJ$36:$AJ$38</c:f>
              <c:numCache>
                <c:formatCode>0.0</c:formatCode>
                <c:ptCount val="3"/>
                <c:pt idx="0">
                  <c:v>113.80164516270624</c:v>
                </c:pt>
                <c:pt idx="1">
                  <c:v>81.229420040808208</c:v>
                </c:pt>
                <c:pt idx="2">
                  <c:v>51.130388640676429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08E-4144-8697-BACF7D3E672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250'!$AJ$34:$AJ$35</c:f>
              <c:numCache>
                <c:formatCode>0.0</c:formatCode>
                <c:ptCount val="2"/>
                <c:pt idx="0">
                  <c:v>140.61049236686048</c:v>
                </c:pt>
                <c:pt idx="1">
                  <c:v>129.05726033958598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08E-4144-8697-BACF7D3E672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250'!$W$9</c:f>
              <c:numCache>
                <c:formatCode>0.00</c:formatCode>
                <c:ptCount val="1"/>
                <c:pt idx="0">
                  <c:v>3.3294638131130845</c:v>
                </c:pt>
              </c:numCache>
            </c:numRef>
          </c:xVal>
          <c:yVal>
            <c:numRef>
              <c:f>'Laskenta poistopuoli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08E-4144-8697-BACF7D3E672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250'!$AC$34:$AC$37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08E-4144-8697-BACF7D3E6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22D-46C7-9979-CCF3021E5ECA}"/>
            </c:ext>
          </c:extLst>
        </c:ser>
        <c:ser>
          <c:idx val="1"/>
          <c:order val="1"/>
          <c:tx>
            <c:strRef>
              <c:f>'Laskenta poistopuoli 250'!$W$69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250'!$Y$69:$Y$77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22D-46C7-9979-CCF3021E5ECA}"/>
            </c:ext>
          </c:extLst>
        </c:ser>
        <c:ser>
          <c:idx val="2"/>
          <c:order val="2"/>
          <c:tx>
            <c:strRef>
              <c:f>'Laskenta poistopuoli 250'!$W$80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250'!$Y$80:$Y$87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22D-46C7-9979-CCF3021E5ECA}"/>
            </c:ext>
          </c:extLst>
        </c:ser>
        <c:ser>
          <c:idx val="3"/>
          <c:order val="3"/>
          <c:tx>
            <c:strRef>
              <c:f>'Laskenta poistopuoli 250'!$W$91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250'!$Y$91:$Y$98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22D-46C7-9979-CCF3021E5ECA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250'!$AC$34:$AC$38</c:f>
              <c:numCache>
                <c:formatCode>0.0</c:formatCode>
                <c:ptCount val="5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  <c:pt idx="4">
                  <c:v>105.44169280361933</c:v>
                </c:pt>
              </c:numCache>
            </c:numRef>
          </c:xVal>
          <c:yVal>
            <c:numRef>
              <c:f>'Laskenta poistopuoli 250'!$AE$34:$AE$37</c:f>
              <c:numCache>
                <c:formatCode>0.0</c:formatCode>
                <c:ptCount val="4"/>
                <c:pt idx="0">
                  <c:v>240.12062857515843</c:v>
                </c:pt>
                <c:pt idx="1">
                  <c:v>147.96753884388113</c:v>
                </c:pt>
                <c:pt idx="2">
                  <c:v>65.95557977379346</c:v>
                </c:pt>
                <c:pt idx="3">
                  <c:v>27.31128494672393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22D-46C7-9979-CCF3021E5ECA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250'!$W$13</c:f>
              <c:numCache>
                <c:formatCode>0.0</c:formatCode>
                <c:ptCount val="1"/>
                <c:pt idx="0">
                  <c:v>21.927930181056698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622D-46C7-9979-CCF3021E5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LEV-620-394-500-(lamelli 2,2)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4535039370078739"/>
                  <c:y val="-0.4431189851268591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hyötysuhde'!$U$101:$U$108</c:f>
              <c:numCache>
                <c:formatCode>General</c:formatCode>
                <c:ptCount val="8"/>
                <c:pt idx="0">
                  <c:v>50</c:v>
                </c:pt>
                <c:pt idx="1">
                  <c:v>75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</c:numCache>
            </c:numRef>
          </c:xVal>
          <c:yVal>
            <c:numRef>
              <c:f>'Kojeet ja kennon hyötysuhde'!$W$101:$W$108</c:f>
              <c:numCache>
                <c:formatCode>General</c:formatCode>
                <c:ptCount val="8"/>
                <c:pt idx="0">
                  <c:v>83.5</c:v>
                </c:pt>
                <c:pt idx="1">
                  <c:v>81.5</c:v>
                </c:pt>
                <c:pt idx="2">
                  <c:v>80.2</c:v>
                </c:pt>
                <c:pt idx="3">
                  <c:v>78.5</c:v>
                </c:pt>
                <c:pt idx="4">
                  <c:v>77.2</c:v>
                </c:pt>
                <c:pt idx="5">
                  <c:v>76.2</c:v>
                </c:pt>
                <c:pt idx="6">
                  <c:v>75.599999999999994</c:v>
                </c:pt>
                <c:pt idx="7">
                  <c:v>75.3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7-45D7-B3BF-DA8FC180A61F}"/>
            </c:ext>
          </c:extLst>
        </c:ser>
        <c:ser>
          <c:idx val="1"/>
          <c:order val="1"/>
          <c:tx>
            <c:v>Usanon laskentamalli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'Kojeet ja kennon hyötysuhde'!$V$130:$V$136</c:f>
              <c:numCache>
                <c:formatCode>General</c:formatCode>
                <c:ptCount val="7"/>
                <c:pt idx="0">
                  <c:v>50</c:v>
                </c:pt>
                <c:pt idx="1">
                  <c:v>100</c:v>
                </c:pt>
                <c:pt idx="2">
                  <c:v>150</c:v>
                </c:pt>
                <c:pt idx="3">
                  <c:v>200</c:v>
                </c:pt>
                <c:pt idx="4">
                  <c:v>250</c:v>
                </c:pt>
                <c:pt idx="5">
                  <c:v>300</c:v>
                </c:pt>
                <c:pt idx="6">
                  <c:v>350</c:v>
                </c:pt>
              </c:numCache>
            </c:numRef>
          </c:xVal>
          <c:yVal>
            <c:numRef>
              <c:f>'Kojeet ja kennon hyötysuhde'!$AG$130:$AG$136</c:f>
              <c:numCache>
                <c:formatCode>General</c:formatCode>
                <c:ptCount val="7"/>
                <c:pt idx="0">
                  <c:v>79.5</c:v>
                </c:pt>
                <c:pt idx="1">
                  <c:v>79.5</c:v>
                </c:pt>
                <c:pt idx="2">
                  <c:v>79.5</c:v>
                </c:pt>
                <c:pt idx="3">
                  <c:v>79.273759267300321</c:v>
                </c:pt>
                <c:pt idx="4">
                  <c:v>78.235849475724109</c:v>
                </c:pt>
                <c:pt idx="5">
                  <c:v>77.532048776957595</c:v>
                </c:pt>
                <c:pt idx="6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8FC-4776-84A7-95D2488EA4C6}"/>
            </c:ext>
          </c:extLst>
        </c:ser>
        <c:ser>
          <c:idx val="2"/>
          <c:order val="2"/>
          <c:tx>
            <c:v>Usano sovitteeseen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287612429741248"/>
                  <c:y val="-0.1899361028147343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'Kojeet ja kennon hyötysuhde'!$V$133:$V$136</c:f>
              <c:numCache>
                <c:formatCode>General</c:formatCode>
                <c:ptCount val="4"/>
                <c:pt idx="0">
                  <c:v>200</c:v>
                </c:pt>
                <c:pt idx="1">
                  <c:v>250</c:v>
                </c:pt>
                <c:pt idx="2">
                  <c:v>300</c:v>
                </c:pt>
                <c:pt idx="3">
                  <c:v>350</c:v>
                </c:pt>
              </c:numCache>
            </c:numRef>
          </c:xVal>
          <c:yVal>
            <c:numRef>
              <c:f>'Kojeet ja kennon hyötysuhde'!$AG$133:$AG$136</c:f>
              <c:numCache>
                <c:formatCode>General</c:formatCode>
                <c:ptCount val="4"/>
                <c:pt idx="0">
                  <c:v>79.273759267300321</c:v>
                </c:pt>
                <c:pt idx="1">
                  <c:v>78.235849475724109</c:v>
                </c:pt>
                <c:pt idx="2">
                  <c:v>77.532048776957595</c:v>
                </c:pt>
                <c:pt idx="3">
                  <c:v>77.262234042553175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8FC-4776-84A7-95D2488EA4C6}"/>
            </c:ext>
          </c:extLst>
        </c:ser>
        <c:ser>
          <c:idx val="3"/>
          <c:order val="3"/>
          <c:tx>
            <c:v>Mitoutispiste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hyötysuhde'!$AC$119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'Kojeet ja kennon hyötysuhde'!$AH$121</c:f>
              <c:numCache>
                <c:formatCode>0.0</c:formatCode>
                <c:ptCount val="1"/>
                <c:pt idx="0">
                  <c:v>85.244785033812576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8FC-4776-84A7-95D2488EA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850696"/>
        <c:axId val="660852992"/>
      </c:scatterChart>
      <c:valAx>
        <c:axId val="660850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dm3/s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2992"/>
        <c:crosses val="autoZero"/>
        <c:crossBetween val="midCat"/>
      </c:valAx>
      <c:valAx>
        <c:axId val="66085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i-FI"/>
                  <a:t>Hyötysuhde tulo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850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250'!$AA$4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250'!$AB$6:$AB$12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DC-465D-9CE5-CF1240736B97}"/>
            </c:ext>
          </c:extLst>
        </c:ser>
        <c:ser>
          <c:idx val="1"/>
          <c:order val="1"/>
          <c:tx>
            <c:strRef>
              <c:f>'Laskenta poistopuoli 250'!$AC$4</c:f>
              <c:strCache>
                <c:ptCount val="1"/>
                <c:pt idx="0">
                  <c:v>7,5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250'!$AD$6:$AD$12</c:f>
              <c:numCache>
                <c:formatCode>0.0</c:formatCode>
                <c:ptCount val="7"/>
                <c:pt idx="0">
                  <c:v>296.29699977143565</c:v>
                </c:pt>
                <c:pt idx="1">
                  <c:v>266.84949561947269</c:v>
                </c:pt>
                <c:pt idx="2">
                  <c:v>220.17522952287823</c:v>
                </c:pt>
                <c:pt idx="3">
                  <c:v>203.56687017959618</c:v>
                </c:pt>
                <c:pt idx="4">
                  <c:v>178.31318398600729</c:v>
                </c:pt>
                <c:pt idx="5">
                  <c:v>155.75560277579419</c:v>
                </c:pt>
                <c:pt idx="6">
                  <c:v>115.63284896931589</c:v>
                </c:pt>
              </c:numCache>
            </c:numRef>
          </c:xVal>
          <c:yVal>
            <c:numRef>
              <c:f>'Laskenta poistopuoli 250'!$AC$6:$AC$12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230</c:v>
                </c:pt>
                <c:pt idx="4">
                  <c:v>270</c:v>
                </c:pt>
                <c:pt idx="5">
                  <c:v>300</c:v>
                </c:pt>
                <c:pt idx="6">
                  <c:v>340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DC-465D-9CE5-CF1240736B97}"/>
            </c:ext>
          </c:extLst>
        </c:ser>
        <c:ser>
          <c:idx val="2"/>
          <c:order val="2"/>
          <c:tx>
            <c:strRef>
              <c:f>'Laskenta poistopuoli 250'!$AE$4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250'!$AE$6:$AE$11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DC-465D-9CE5-CF1240736B97}"/>
            </c:ext>
          </c:extLst>
        </c:ser>
        <c:ser>
          <c:idx val="3"/>
          <c:order val="3"/>
          <c:tx>
            <c:strRef>
              <c:f>'Laskenta poistopuoli 250'!$AG$4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250'!$AG$6:$AG$10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DDC-465D-9CE5-CF1240736B97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250'!$L$3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DDC-465D-9CE5-CF1240736B97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xVal>
          <c:yVal>
            <c:numRef>
              <c:f>'Laskenta poistopuoli 250'!$AD$34:$AD$37</c:f>
              <c:numCache>
                <c:formatCode>0.0</c:formatCode>
                <c:ptCount val="4"/>
                <c:pt idx="0">
                  <c:v>617.85345511409162</c:v>
                </c:pt>
                <c:pt idx="1">
                  <c:v>404.71295130432816</c:v>
                </c:pt>
                <c:pt idx="2">
                  <c:v>206.19433375518921</c:v>
                </c:pt>
                <c:pt idx="3">
                  <c:v>81.697395079581668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DDC-465D-9CE5-CF12407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250'!$AM$60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250'!$AO$60:$AO$67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5C-4939-A97A-1C04FF839A33}"/>
            </c:ext>
          </c:extLst>
        </c:ser>
        <c:ser>
          <c:idx val="1"/>
          <c:order val="1"/>
          <c:tx>
            <c:strRef>
              <c:f>'Laskenta poistopuoli 250'!$AM$71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250'!$AO$71:$AO$76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5C-4939-A97A-1C04FF839A33}"/>
            </c:ext>
          </c:extLst>
        </c:ser>
        <c:ser>
          <c:idx val="2"/>
          <c:order val="2"/>
          <c:tx>
            <c:strRef>
              <c:f>'Laskenta poistopuoli 250'!$AM$82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250'!$AO$82:$AO$87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5C-4939-A97A-1C04FF839A33}"/>
            </c:ext>
          </c:extLst>
        </c:ser>
        <c:ser>
          <c:idx val="3"/>
          <c:order val="3"/>
          <c:tx>
            <c:strRef>
              <c:f>'Laskenta poistopuoli 250'!$AM$93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250'!$AO$93:$AO$98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5C-4939-A97A-1C04FF839A33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250'!$AC$34:$AC$37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xVal>
          <c:yVal>
            <c:numRef>
              <c:f>'Laskenta poistopuoli 250'!$AL$34:$AL$37</c:f>
              <c:numCache>
                <c:formatCode>General</c:formatCode>
                <c:ptCount val="4"/>
                <c:pt idx="0">
                  <c:v>692.1703690900581</c:v>
                </c:pt>
                <c:pt idx="1">
                  <c:v>457.40497487066557</c:v>
                </c:pt>
                <c:pt idx="2">
                  <c:v>250.22891770891647</c:v>
                </c:pt>
                <c:pt idx="3">
                  <c:v>106.2438431110663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05C-4939-A97A-1C04FF839A33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250'!$J$3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250'!$W$2</c:f>
              <c:numCache>
                <c:formatCode>0.0</c:formatCode>
                <c:ptCount val="1"/>
                <c:pt idx="0">
                  <c:v>71.225569239318858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05C-4939-A97A-1C04FF839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C94-455F-AB93-D81D9CC94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6-46C2-BAEC-5D0777559C3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56-46C2-BAEC-5D0777559C3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56-46C2-BAEC-5D0777559C3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56-46C2-BAEC-5D0777559C36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56-46C2-BAEC-5D0777559C36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56-46C2-BAEC-5D0777559C36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56-46C2-BAEC-5D0777559C36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56-46C2-BAEC-5D0777559C36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250'!$AI$14:$AP$14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6-46C2-BAEC-5D0777559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0"/>
          </c:trendline>
          <c:xVal>
            <c:numRef>
              <c:f>'Laskenta tulopuoli 350'!$D$59:$D$62</c:f>
              <c:numCache>
                <c:formatCode>0.0</c:formatCode>
                <c:ptCount val="4"/>
                <c:pt idx="0">
                  <c:v>344.7</c:v>
                </c:pt>
                <c:pt idx="1">
                  <c:v>324</c:v>
                </c:pt>
                <c:pt idx="2">
                  <c:v>292.5</c:v>
                </c:pt>
                <c:pt idx="3">
                  <c:v>199.8</c:v>
                </c:pt>
              </c:numCache>
            </c:numRef>
          </c:xVal>
          <c:yVal>
            <c:numRef>
              <c:f>'Laskenta tulopuoli 350'!$E$59:$E$62</c:f>
              <c:numCache>
                <c:formatCode>0.0</c:formatCode>
                <c:ptCount val="4"/>
                <c:pt idx="0">
                  <c:v>62.144673041028028</c:v>
                </c:pt>
                <c:pt idx="1">
                  <c:v>61.110829409089718</c:v>
                </c:pt>
                <c:pt idx="2">
                  <c:v>60.985409403702306</c:v>
                </c:pt>
                <c:pt idx="3">
                  <c:v>60.500427442168004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65A-4F64-BAF0-686A30BDB0C4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350'!$D$64:$D$67</c:f>
              <c:numCache>
                <c:formatCode>0.0</c:formatCode>
                <c:ptCount val="4"/>
                <c:pt idx="0">
                  <c:v>281.5</c:v>
                </c:pt>
                <c:pt idx="1">
                  <c:v>263.3</c:v>
                </c:pt>
                <c:pt idx="2">
                  <c:v>237.6</c:v>
                </c:pt>
                <c:pt idx="3">
                  <c:v>163.80000000000001</c:v>
                </c:pt>
              </c:numCache>
            </c:numRef>
          </c:xVal>
          <c:yVal>
            <c:numRef>
              <c:f>'Laskenta tulopuoli 350'!$E$64:$E$67</c:f>
              <c:numCache>
                <c:formatCode>0.0</c:formatCode>
                <c:ptCount val="4"/>
                <c:pt idx="0">
                  <c:v>58.24228272767192</c:v>
                </c:pt>
                <c:pt idx="1">
                  <c:v>57.721583476668464</c:v>
                </c:pt>
                <c:pt idx="2">
                  <c:v>57.063736576510934</c:v>
                </c:pt>
                <c:pt idx="3">
                  <c:v>55.682298664375324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65A-4F64-BAF0-686A30BDB0C4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350'!$D$69:$D$72</c:f>
              <c:numCache>
                <c:formatCode>0.0</c:formatCode>
                <c:ptCount val="4"/>
                <c:pt idx="0">
                  <c:v>199.7</c:v>
                </c:pt>
                <c:pt idx="1">
                  <c:v>189.6</c:v>
                </c:pt>
                <c:pt idx="2">
                  <c:v>172.1</c:v>
                </c:pt>
                <c:pt idx="3">
                  <c:v>116.3</c:v>
                </c:pt>
              </c:numCache>
            </c:numRef>
          </c:xVal>
          <c:yVal>
            <c:numRef>
              <c:f>'Laskenta tulopuoli 350'!$E$69:$E$72</c:f>
              <c:numCache>
                <c:formatCode>0.0</c:formatCode>
                <c:ptCount val="4"/>
                <c:pt idx="0">
                  <c:v>52.054568508290444</c:v>
                </c:pt>
                <c:pt idx="1">
                  <c:v>50.877843425757796</c:v>
                </c:pt>
                <c:pt idx="2">
                  <c:v>50.40068165114193</c:v>
                </c:pt>
                <c:pt idx="3">
                  <c:v>49.985155052847965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65A-4F64-BAF0-686A30BDB0C4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5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0"/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350'!$D$74:$D$77</c:f>
              <c:numCache>
                <c:formatCode>0.0</c:formatCode>
                <c:ptCount val="4"/>
                <c:pt idx="0">
                  <c:v>120.9</c:v>
                </c:pt>
                <c:pt idx="1">
                  <c:v>111.7</c:v>
                </c:pt>
                <c:pt idx="2">
                  <c:v>102.2</c:v>
                </c:pt>
                <c:pt idx="3">
                  <c:v>75.400000000000006</c:v>
                </c:pt>
              </c:numCache>
            </c:numRef>
          </c:xVal>
          <c:yVal>
            <c:numRef>
              <c:f>'Laskenta tulopuoli 350'!$E$74:$E$77</c:f>
              <c:numCache>
                <c:formatCode>0.0</c:formatCode>
                <c:ptCount val="4"/>
                <c:pt idx="0">
                  <c:v>42.714217266282517</c:v>
                </c:pt>
                <c:pt idx="1">
                  <c:v>41.582199094486363</c:v>
                </c:pt>
                <c:pt idx="2">
                  <c:v>41.026264842676959</c:v>
                </c:pt>
                <c:pt idx="3">
                  <c:v>40.82876371299777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65A-4F64-BAF0-686A30BDB0C4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5A-4F64-BAF0-686A30BDB0C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5A-4F64-BAF0-686A30BDB0C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2.674304082754787E-2"/>
                  <c:y val="-6.978125780825413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xVal>
          <c:yVal>
            <c:numRef>
              <c:f>'Laskenta tulopuoli 350'!$AF$34:$AF$37</c:f>
              <c:numCache>
                <c:formatCode>0.0</c:formatCode>
                <c:ptCount val="4"/>
                <c:pt idx="0">
                  <c:v>59.737044700335069</c:v>
                </c:pt>
                <c:pt idx="1">
                  <c:v>54.330601351062427</c:v>
                </c:pt>
                <c:pt idx="2">
                  <c:v>48.964857255222057</c:v>
                </c:pt>
                <c:pt idx="3">
                  <c:v>39.542167377187063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365A-4F64-BAF0-686A30BDB0C4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350'!$W$5</c:f>
              <c:numCache>
                <c:formatCode>0.0</c:formatCode>
                <c:ptCount val="1"/>
                <c:pt idx="0">
                  <c:v>35.088723734289019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365A-4F64-BAF0-686A30BD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60"/>
            <c:dispRSqr val="0"/>
            <c:dispEq val="0"/>
          </c:trendline>
          <c:xVal>
            <c:numRef>
              <c:f>'Laskenta tulopuoli 350'!$N$59:$N$62</c:f>
              <c:numCache>
                <c:formatCode>0.0</c:formatCode>
                <c:ptCount val="4"/>
                <c:pt idx="0">
                  <c:v>347.55882244303535</c:v>
                </c:pt>
                <c:pt idx="1">
                  <c:v>318.57365469368182</c:v>
                </c:pt>
                <c:pt idx="2">
                  <c:v>289.31281640836551</c:v>
                </c:pt>
                <c:pt idx="3">
                  <c:v>207.42294296613554</c:v>
                </c:pt>
              </c:numCache>
            </c:numRef>
          </c:xVal>
          <c:yVal>
            <c:numRef>
              <c:f>'Laskenta tulopuoli 350'!$O$59:$O$62</c:f>
              <c:numCache>
                <c:formatCode>0.0</c:formatCode>
                <c:ptCount val="4"/>
                <c:pt idx="0">
                  <c:v>81.851516160933571</c:v>
                </c:pt>
                <c:pt idx="1">
                  <c:v>81.06411222486777</c:v>
                </c:pt>
                <c:pt idx="2">
                  <c:v>80.236796311049133</c:v>
                </c:pt>
                <c:pt idx="3">
                  <c:v>78.507118643238755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B4-46E9-BB2E-E632CD7359C8}"/>
            </c:ext>
          </c:extLst>
        </c:ser>
        <c:ser>
          <c:idx val="1"/>
          <c:order val="1"/>
          <c:tx>
            <c:strRef>
              <c:f>'Laskenta tulopuoli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30"/>
            <c:dispRSqr val="0"/>
            <c:dispEq val="0"/>
          </c:trendline>
          <c:xVal>
            <c:numRef>
              <c:f>'Laskenta tulopuoli 350'!$N$64:$N$67</c:f>
              <c:numCache>
                <c:formatCode>0.0</c:formatCode>
                <c:ptCount val="4"/>
                <c:pt idx="0">
                  <c:v>283.96765425773657</c:v>
                </c:pt>
                <c:pt idx="1">
                  <c:v>261.96983501546862</c:v>
                </c:pt>
                <c:pt idx="2">
                  <c:v>234.55670322791551</c:v>
                </c:pt>
                <c:pt idx="3">
                  <c:v>167.45120469341205</c:v>
                </c:pt>
              </c:numCache>
            </c:numRef>
          </c:xVal>
          <c:yVal>
            <c:numRef>
              <c:f>'Laskenta tulopuoli 350'!$O$64:$O$67</c:f>
              <c:numCache>
                <c:formatCode>0.0</c:formatCode>
                <c:ptCount val="4"/>
                <c:pt idx="0">
                  <c:v>77.735360552640628</c:v>
                </c:pt>
                <c:pt idx="1">
                  <c:v>76.862945314317813</c:v>
                </c:pt>
                <c:pt idx="2">
                  <c:v>75.986323411337054</c:v>
                </c:pt>
                <c:pt idx="3">
                  <c:v>74.277783828246243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4B4-46E9-BB2E-E632CD7359C8}"/>
            </c:ext>
          </c:extLst>
        </c:ser>
        <c:ser>
          <c:idx val="2"/>
          <c:order val="2"/>
          <c:tx>
            <c:strRef>
              <c:f>'Laskenta tulopuoli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0"/>
          </c:trendline>
          <c:xVal>
            <c:numRef>
              <c:f>'Laskenta tulopuoli 350'!$N$69:$N$72</c:f>
              <c:numCache>
                <c:formatCode>0.0</c:formatCode>
                <c:ptCount val="4"/>
                <c:pt idx="0">
                  <c:v>196.59593379240673</c:v>
                </c:pt>
                <c:pt idx="1">
                  <c:v>188.24966838990059</c:v>
                </c:pt>
                <c:pt idx="2">
                  <c:v>164.38494862120547</c:v>
                </c:pt>
                <c:pt idx="3">
                  <c:v>119.65707821171999</c:v>
                </c:pt>
              </c:numCache>
            </c:numRef>
          </c:xVal>
          <c:yVal>
            <c:numRef>
              <c:f>'Laskenta tulopuoli 350'!$O$69:$O$72</c:f>
              <c:numCache>
                <c:formatCode>0.0</c:formatCode>
                <c:ptCount val="4"/>
                <c:pt idx="0">
                  <c:v>70.294486455567011</c:v>
                </c:pt>
                <c:pt idx="1">
                  <c:v>70.39393478183564</c:v>
                </c:pt>
                <c:pt idx="2">
                  <c:v>69.238525709591201</c:v>
                </c:pt>
                <c:pt idx="3">
                  <c:v>68.005684116574912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B4-46E9-BB2E-E632CD7359C8}"/>
            </c:ext>
          </c:extLst>
        </c:ser>
        <c:ser>
          <c:idx val="3"/>
          <c:order val="3"/>
          <c:tx>
            <c:strRef>
              <c:f>'Laskenta tulopuoli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tulopuoli 350'!$N$74:$N$77</c:f>
              <c:numCache>
                <c:formatCode>0.0</c:formatCode>
                <c:ptCount val="4"/>
                <c:pt idx="0">
                  <c:v>120.06691977873932</c:v>
                </c:pt>
                <c:pt idx="1">
                  <c:v>110.21384224054002</c:v>
                </c:pt>
                <c:pt idx="2">
                  <c:v>101.54208149102088</c:v>
                </c:pt>
                <c:pt idx="3">
                  <c:v>71.51080035745774</c:v>
                </c:pt>
              </c:numCache>
            </c:numRef>
          </c:xVal>
          <c:yVal>
            <c:numRef>
              <c:f>'Laskenta tulopuoli 350'!$O$74:$O$77</c:f>
              <c:numCache>
                <c:formatCode>0.0</c:formatCode>
                <c:ptCount val="4"/>
                <c:pt idx="0">
                  <c:v>60.277409039035533</c:v>
                </c:pt>
                <c:pt idx="1">
                  <c:v>59.745318906529754</c:v>
                </c:pt>
                <c:pt idx="2">
                  <c:v>59.237513523597116</c:v>
                </c:pt>
                <c:pt idx="3">
                  <c:v>58.0702069810362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4B4-46E9-BB2E-E632CD7359C8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backward val="30"/>
            <c:dispRSqr val="1"/>
            <c:dispEq val="1"/>
            <c:trendlineLbl>
              <c:layout>
                <c:manualLayout>
                  <c:x val="-1.8473446385078678E-2"/>
                  <c:y val="-7.269786616947292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xVal>
          <c:yVal>
            <c:numRef>
              <c:f>'Laskenta tulopuoli 350'!$AG$34:$AG$37</c:f>
              <c:numCache>
                <c:formatCode>0.0</c:formatCode>
                <c:ptCount val="4"/>
                <c:pt idx="0">
                  <c:v>76.543205057874175</c:v>
                </c:pt>
                <c:pt idx="1">
                  <c:v>72.295768769069682</c:v>
                </c:pt>
                <c:pt idx="2">
                  <c:v>66.476049239445118</c:v>
                </c:pt>
                <c:pt idx="3">
                  <c:v>56.911339528894267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4B4-46E9-BB2E-E632CD7359C8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350'!$W$6</c:f>
              <c:numCache>
                <c:formatCode>0.0</c:formatCode>
                <c:ptCount val="1"/>
                <c:pt idx="0">
                  <c:v>52.677320809186426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4B4-46E9-BB2E-E632CD7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tulopuoli 350'!$AJ$36:$AJ$38</c:f>
              <c:numCache>
                <c:formatCode>0.0</c:formatCode>
                <c:ptCount val="3"/>
                <c:pt idx="0">
                  <c:v>112.68498526889834</c:v>
                </c:pt>
                <c:pt idx="1">
                  <c:v>80.384862640359131</c:v>
                </c:pt>
                <c:pt idx="2">
                  <c:v>50.470858804375901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8B-4061-881B-A38A42CF24D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350'!$AJ$34:$AJ$35</c:f>
              <c:numCache>
                <c:formatCode>0.0</c:formatCode>
                <c:ptCount val="2"/>
                <c:pt idx="0">
                  <c:v>139.90304747211434</c:v>
                </c:pt>
                <c:pt idx="1">
                  <c:v>127.84083041960295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8B-4061-881B-A38A42CF24D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350'!$W$9</c:f>
              <c:numCache>
                <c:formatCode>0.00</c:formatCode>
                <c:ptCount val="1"/>
                <c:pt idx="0">
                  <c:v>3.36194665396199</c:v>
                </c:pt>
              </c:numCache>
            </c:numRef>
          </c:xVal>
          <c:y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8B-4061-881B-A38A42CF24DB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350'!$AC$34:$AC$37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8B-4061-881B-A38A42CF24DB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tulopuoli 350'!$AR$36</c:f>
              <c:numCache>
                <c:formatCode>0.0</c:formatCode>
                <c:ptCount val="1"/>
                <c:pt idx="0">
                  <c:v>3.868632451362664</c:v>
                </c:pt>
              </c:numCache>
            </c:numRef>
          </c:xVal>
          <c:yVal>
            <c:numRef>
              <c:f>'Laskenta tulopuoli 350'!$AO$36</c:f>
              <c:numCache>
                <c:formatCode>0.0</c:formatCode>
                <c:ptCount val="1"/>
                <c:pt idx="0">
                  <c:v>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EF-4592-804F-A341F25CF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350'!$X$59:$X$67</c:f>
              <c:numCache>
                <c:formatCode>0.0</c:formatCode>
                <c:ptCount val="9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  <c:pt idx="8">
                  <c:v>88.39543467590552</c:v>
                </c:pt>
              </c:numCache>
            </c:numRef>
          </c:xVal>
          <c:yVal>
            <c:numRef>
              <c:f>'Laskenta tulopuoli 350'!$Y$59:$Y$67</c:f>
              <c:numCache>
                <c:formatCode>0.0</c:formatCode>
                <c:ptCount val="9"/>
                <c:pt idx="0">
                  <c:v>269.87126140289683</c:v>
                </c:pt>
                <c:pt idx="1">
                  <c:v>344.24106644222212</c:v>
                </c:pt>
                <c:pt idx="2">
                  <c:v>404.74934395940249</c:v>
                </c:pt>
                <c:pt idx="3">
                  <c:v>441.21443337830112</c:v>
                </c:pt>
                <c:pt idx="4">
                  <c:v>476.01090864587957</c:v>
                </c:pt>
                <c:pt idx="5">
                  <c:v>508.64545939713418</c:v>
                </c:pt>
                <c:pt idx="6">
                  <c:v>470.25008534934227</c:v>
                </c:pt>
                <c:pt idx="7">
                  <c:v>500.70540336719438</c:v>
                </c:pt>
                <c:pt idx="8">
                  <c:v>219.51717363439141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72-4E5D-B308-7D0E7BC343F5}"/>
            </c:ext>
          </c:extLst>
        </c:ser>
        <c:ser>
          <c:idx val="1"/>
          <c:order val="1"/>
          <c:tx>
            <c:strRef>
              <c:f>'Laskenta tulopuoli 350'!$W$70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350'!$X$70:$X$78</c:f>
              <c:numCache>
                <c:formatCode>0.0</c:formatCode>
                <c:ptCount val="9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  <c:pt idx="8">
                  <c:v>69.746589293639971</c:v>
                </c:pt>
              </c:numCache>
            </c:numRef>
          </c:xVal>
          <c:yVal>
            <c:numRef>
              <c:f>'Laskenta tulopuoli 350'!$Y$70:$Y$78</c:f>
              <c:numCache>
                <c:formatCode>0.0</c:formatCode>
                <c:ptCount val="9"/>
                <c:pt idx="0">
                  <c:v>149.69222564951269</c:v>
                </c:pt>
                <c:pt idx="1">
                  <c:v>194.21295707561856</c:v>
                </c:pt>
                <c:pt idx="2">
                  <c:v>226.86308284600184</c:v>
                </c:pt>
                <c:pt idx="3">
                  <c:v>250.01490513085002</c:v>
                </c:pt>
                <c:pt idx="4">
                  <c:v>291.75989245361296</c:v>
                </c:pt>
                <c:pt idx="5">
                  <c:v>272.36127011804143</c:v>
                </c:pt>
                <c:pt idx="6">
                  <c:v>272.86710131104024</c:v>
                </c:pt>
                <c:pt idx="7">
                  <c:v>293.34861075163002</c:v>
                </c:pt>
                <c:pt idx="8">
                  <c:v>122.34343264857729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72-4E5D-B308-7D0E7BC343F5}"/>
            </c:ext>
          </c:extLst>
        </c:ser>
        <c:ser>
          <c:idx val="2"/>
          <c:order val="2"/>
          <c:tx>
            <c:strRef>
              <c:f>'Laskenta tulopuoli 350'!$W$81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350'!$X$81:$X$88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350'!$Y$81:$Y$88</c:f>
              <c:numCache>
                <c:formatCode>0.0</c:formatCode>
                <c:ptCount val="8"/>
                <c:pt idx="0">
                  <c:v>68.338082142436136</c:v>
                </c:pt>
                <c:pt idx="1">
                  <c:v>85.817945626993549</c:v>
                </c:pt>
                <c:pt idx="2">
                  <c:v>100.58211420649553</c:v>
                </c:pt>
                <c:pt idx="3">
                  <c:v>108.18499603886791</c:v>
                </c:pt>
                <c:pt idx="4">
                  <c:v>122.06707576044337</c:v>
                </c:pt>
                <c:pt idx="5">
                  <c:v>127.03579746433738</c:v>
                </c:pt>
                <c:pt idx="6">
                  <c:v>121.47438704053738</c:v>
                </c:pt>
                <c:pt idx="7">
                  <c:v>120.34526296527847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72-4E5D-B308-7D0E7BC343F5}"/>
            </c:ext>
          </c:extLst>
        </c:ser>
        <c:ser>
          <c:idx val="3"/>
          <c:order val="3"/>
          <c:tx>
            <c:strRef>
              <c:f>'Laskenta tulopuoli 350'!$W$92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350'!$X$92:$X$98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350'!$Y$92:$Y$98</c:f>
              <c:numCache>
                <c:formatCode>0.0</c:formatCode>
                <c:ptCount val="7"/>
                <c:pt idx="0">
                  <c:v>27.789129554462839</c:v>
                </c:pt>
                <c:pt idx="1">
                  <c:v>32.284696155606284</c:v>
                </c:pt>
                <c:pt idx="2">
                  <c:v>35.64020826027015</c:v>
                </c:pt>
                <c:pt idx="3">
                  <c:v>38.902321225263641</c:v>
                </c:pt>
                <c:pt idx="4">
                  <c:v>42.421503042537594</c:v>
                </c:pt>
                <c:pt idx="5">
                  <c:v>41.173887650695342</c:v>
                </c:pt>
                <c:pt idx="6">
                  <c:v>42.255082918151238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72-4E5D-B308-7D0E7BC343F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350'!$AC$34:$AC$38</c:f>
              <c:numCache>
                <c:formatCode>0.0</c:formatCode>
                <c:ptCount val="5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xVal>
          <c:yVal>
            <c:numRef>
              <c:f>'Laskenta tulopuoli 350'!$AE$34:$AE$37</c:f>
              <c:numCache>
                <c:formatCode>0.0</c:formatCode>
                <c:ptCount val="4"/>
                <c:pt idx="0">
                  <c:v>268.75239379202606</c:v>
                </c:pt>
                <c:pt idx="1">
                  <c:v>150.49335014974707</c:v>
                </c:pt>
                <c:pt idx="2">
                  <c:v>67.701771599402178</c:v>
                </c:pt>
                <c:pt idx="3">
                  <c:v>27.852328996974983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72-4E5D-B308-7D0E7BC343F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350'!$W$13</c:f>
              <c:numCache>
                <c:formatCode>0.0</c:formatCode>
                <c:ptCount val="1"/>
                <c:pt idx="0">
                  <c:v>22.655408973240419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BD72-4E5D-B308-7D0E7BC3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350'!$AB$6:$AB$12</c:f>
              <c:numCache>
                <c:formatCode>0.0</c:formatCode>
                <c:ptCount val="7"/>
                <c:pt idx="0">
                  <c:v>368.02333717549868</c:v>
                </c:pt>
                <c:pt idx="1">
                  <c:v>348.74296772600093</c:v>
                </c:pt>
                <c:pt idx="2">
                  <c:v>320.90760039583563</c:v>
                </c:pt>
                <c:pt idx="3">
                  <c:v>289.85995878473915</c:v>
                </c:pt>
                <c:pt idx="4">
                  <c:v>254.13770997194598</c:v>
                </c:pt>
                <c:pt idx="5">
                  <c:v>210.64715881769263</c:v>
                </c:pt>
                <c:pt idx="6">
                  <c:v>141.35108796400908</c:v>
                </c:pt>
              </c:numCache>
            </c:numRef>
          </c:xVal>
          <c:yVal>
            <c:numRef>
              <c:f>'Laskenta tulopuoli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241-43EB-A038-4F35E3E423CA}"/>
            </c:ext>
          </c:extLst>
        </c:ser>
        <c:ser>
          <c:idx val="1"/>
          <c:order val="1"/>
          <c:tx>
            <c:strRef>
              <c:f>'Laskenta tulopuoli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350'!$AD$6:$AD$12</c:f>
              <c:numCache>
                <c:formatCode>0.0</c:formatCode>
                <c:ptCount val="7"/>
                <c:pt idx="0">
                  <c:v>299.78303188704132</c:v>
                </c:pt>
                <c:pt idx="1">
                  <c:v>289.97555040775342</c:v>
                </c:pt>
                <c:pt idx="2">
                  <c:v>272.7308916827721</c:v>
                </c:pt>
                <c:pt idx="3">
                  <c:v>254.13099309054866</c:v>
                </c:pt>
                <c:pt idx="4">
                  <c:v>220.52447882740637</c:v>
                </c:pt>
                <c:pt idx="5">
                  <c:v>173.2504723348554</c:v>
                </c:pt>
                <c:pt idx="6">
                  <c:v>114.64592676119456</c:v>
                </c:pt>
              </c:numCache>
            </c:numRef>
          </c:xVal>
          <c:yVal>
            <c:numRef>
              <c:f>'Laskenta tulopuoli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230</c:v>
                </c:pt>
                <c:pt idx="5">
                  <c:v>320</c:v>
                </c:pt>
                <c:pt idx="6">
                  <c:v>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41-43EB-A038-4F35E3E423CA}"/>
            </c:ext>
          </c:extLst>
        </c:ser>
        <c:ser>
          <c:idx val="2"/>
          <c:order val="2"/>
          <c:tx>
            <c:strRef>
              <c:f>'Laskenta tulopuoli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350'!$AF$6:$AF$11</c:f>
              <c:numCache>
                <c:formatCode>0.0</c:formatCode>
                <c:ptCount val="6"/>
                <c:pt idx="0">
                  <c:v>213.61335762915562</c:v>
                </c:pt>
                <c:pt idx="1">
                  <c:v>195.72898551317115</c:v>
                </c:pt>
                <c:pt idx="2">
                  <c:v>175.4581740263832</c:v>
                </c:pt>
                <c:pt idx="3">
                  <c:v>151.47576534370617</c:v>
                </c:pt>
                <c:pt idx="4">
                  <c:v>120.42188405539274</c:v>
                </c:pt>
                <c:pt idx="5">
                  <c:v>73.943002844798301</c:v>
                </c:pt>
              </c:numCache>
            </c:numRef>
          </c:xVal>
          <c:yVal>
            <c:numRef>
              <c:f>'Laskenta tulopuoli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241-43EB-A038-4F35E3E423CA}"/>
            </c:ext>
          </c:extLst>
        </c:ser>
        <c:ser>
          <c:idx val="3"/>
          <c:order val="3"/>
          <c:tx>
            <c:strRef>
              <c:f>'Laskenta tulopuoli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350'!$AH$6:$AH$10</c:f>
              <c:numCache>
                <c:formatCode>0.0</c:formatCode>
                <c:ptCount val="5"/>
                <c:pt idx="0">
                  <c:v>122.85148290021115</c:v>
                </c:pt>
                <c:pt idx="1">
                  <c:v>114.87245597479257</c:v>
                </c:pt>
                <c:pt idx="2">
                  <c:v>97.290460384499539</c:v>
                </c:pt>
                <c:pt idx="3">
                  <c:v>76.542309887609477</c:v>
                </c:pt>
                <c:pt idx="4">
                  <c:v>49.842265162290595</c:v>
                </c:pt>
              </c:numCache>
            </c:numRef>
          </c:xVal>
          <c:yVal>
            <c:numRef>
              <c:f>'Laskenta tulopuoli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241-43EB-A038-4F35E3E423CA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241-43EB-A038-4F35E3E423CA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xVal>
          <c:yVal>
            <c:numRef>
              <c:f>'Laskenta tulopuoli 350'!$AD$34:$AD$37</c:f>
              <c:numCache>
                <c:formatCode>0.0</c:formatCode>
                <c:ptCount val="4"/>
                <c:pt idx="0">
                  <c:v>611.65195912452123</c:v>
                </c:pt>
                <c:pt idx="1">
                  <c:v>396.80955953286991</c:v>
                </c:pt>
                <c:pt idx="2">
                  <c:v>201.92894192841896</c:v>
                </c:pt>
                <c:pt idx="3">
                  <c:v>79.60336213910152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4241-43EB-A038-4F35E3E423CA}"/>
            </c:ext>
          </c:extLst>
        </c:ser>
        <c:ser>
          <c:idx val="6"/>
          <c:order val="6"/>
          <c:tx>
            <c:v>Validointipiste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'Laskenta tulopuoli 350'!$O$22</c:f>
              <c:numCache>
                <c:formatCode>General</c:formatCode>
                <c:ptCount val="1"/>
                <c:pt idx="0">
                  <c:v>165</c:v>
                </c:pt>
              </c:numCache>
            </c:numRef>
          </c:xVal>
          <c:yVal>
            <c:numRef>
              <c:f>'Laskenta tulopuoli 350'!$O$23</c:f>
              <c:numCache>
                <c:formatCode>General</c:formatCode>
                <c:ptCount val="1"/>
                <c:pt idx="0">
                  <c:v>198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38-40CE-A916-BBC9AC36B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350'!$AN$60:$AN$67</c:f>
              <c:numCache>
                <c:formatCode>0.0</c:formatCode>
                <c:ptCount val="8"/>
                <c:pt idx="0">
                  <c:v>149.92627936606368</c:v>
                </c:pt>
                <c:pt idx="1">
                  <c:v>207.42294296613554</c:v>
                </c:pt>
                <c:pt idx="2">
                  <c:v>261.10737691631488</c:v>
                </c:pt>
                <c:pt idx="3">
                  <c:v>289.31281640836551</c:v>
                </c:pt>
                <c:pt idx="4">
                  <c:v>320.54086242225918</c:v>
                </c:pt>
                <c:pt idx="5">
                  <c:v>348.77932335192918</c:v>
                </c:pt>
                <c:pt idx="6">
                  <c:v>318.57365469368182</c:v>
                </c:pt>
                <c:pt idx="7">
                  <c:v>347.55882244303535</c:v>
                </c:pt>
              </c:numCache>
            </c:numRef>
          </c:xVal>
          <c:yVal>
            <c:numRef>
              <c:f>'Laskenta tulopuoli 350'!$AO$60:$AO$67</c:f>
              <c:numCache>
                <c:formatCode>0.0</c:formatCode>
                <c:ptCount val="8"/>
                <c:pt idx="0">
                  <c:v>722.42610700384864</c:v>
                </c:pt>
                <c:pt idx="1">
                  <c:v>739.53034803011769</c:v>
                </c:pt>
                <c:pt idx="2">
                  <c:v>717.88057288445566</c:v>
                </c:pt>
                <c:pt idx="3">
                  <c:v>675.41900858718213</c:v>
                </c:pt>
                <c:pt idx="4">
                  <c:v>623.23687622746013</c:v>
                </c:pt>
                <c:pt idx="5">
                  <c:v>572.2874906916403</c:v>
                </c:pt>
                <c:pt idx="6">
                  <c:v>618.04528681032571</c:v>
                </c:pt>
                <c:pt idx="7">
                  <c:v>562.76723154802846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A7-44F2-8A6F-24570F78014A}"/>
            </c:ext>
          </c:extLst>
        </c:ser>
        <c:ser>
          <c:idx val="1"/>
          <c:order val="1"/>
          <c:tx>
            <c:strRef>
              <c:f>'Laskenta tulopuoli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350'!$AN$71:$AN$78</c:f>
              <c:numCache>
                <c:formatCode>0.0</c:formatCode>
                <c:ptCount val="8"/>
                <c:pt idx="0">
                  <c:v>117.956213615922</c:v>
                </c:pt>
                <c:pt idx="1">
                  <c:v>167.45120469341205</c:v>
                </c:pt>
                <c:pt idx="2">
                  <c:v>209.867282129915</c:v>
                </c:pt>
                <c:pt idx="3">
                  <c:v>234.55670322791551</c:v>
                </c:pt>
                <c:pt idx="4">
                  <c:v>285.05414656505906</c:v>
                </c:pt>
                <c:pt idx="5">
                  <c:v>262.71629311714196</c:v>
                </c:pt>
                <c:pt idx="6">
                  <c:v>261.96983501546862</c:v>
                </c:pt>
                <c:pt idx="7">
                  <c:v>283.96765425773657</c:v>
                </c:pt>
              </c:numCache>
            </c:numRef>
          </c:xVal>
          <c:yVal>
            <c:numRef>
              <c:f>'Laskenta tulopuoli 350'!$AO$71:$AO$78</c:f>
              <c:numCache>
                <c:formatCode>0.0</c:formatCode>
                <c:ptCount val="8"/>
                <c:pt idx="0">
                  <c:v>480.47740951140975</c:v>
                </c:pt>
                <c:pt idx="1">
                  <c:v>499.25319556455048</c:v>
                </c:pt>
                <c:pt idx="2">
                  <c:v>489.60273417160482</c:v>
                </c:pt>
                <c:pt idx="3">
                  <c:v>465.36220734164971</c:v>
                </c:pt>
                <c:pt idx="4">
                  <c:v>405.83209680812467</c:v>
                </c:pt>
                <c:pt idx="5">
                  <c:v>432.65135686837277</c:v>
                </c:pt>
                <c:pt idx="6">
                  <c:v>433.6376239036544</c:v>
                </c:pt>
                <c:pt idx="7">
                  <c:v>410.00831718529457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2A7-44F2-8A6F-24570F78014A}"/>
            </c:ext>
          </c:extLst>
        </c:ser>
        <c:ser>
          <c:idx val="2"/>
          <c:order val="2"/>
          <c:tx>
            <c:strRef>
              <c:f>'Laskenta tulopuoli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350'!$AN$82:$AN$89</c:f>
              <c:numCache>
                <c:formatCode>0.0</c:formatCode>
                <c:ptCount val="8"/>
                <c:pt idx="0">
                  <c:v>81.276712462616203</c:v>
                </c:pt>
                <c:pt idx="1">
                  <c:v>119.65707821171999</c:v>
                </c:pt>
                <c:pt idx="2">
                  <c:v>150.59712190136415</c:v>
                </c:pt>
                <c:pt idx="3">
                  <c:v>164.38494862120547</c:v>
                </c:pt>
                <c:pt idx="4">
                  <c:v>191.8026926749649</c:v>
                </c:pt>
                <c:pt idx="5">
                  <c:v>202.10154643378257</c:v>
                </c:pt>
                <c:pt idx="6">
                  <c:v>188.24966838990059</c:v>
                </c:pt>
                <c:pt idx="7">
                  <c:v>196.59593379240673</c:v>
                </c:pt>
              </c:numCache>
            </c:numRef>
          </c:xVal>
          <c:yVal>
            <c:numRef>
              <c:f>'Laskenta tulopuoli 350'!$AO$82:$AO$89</c:f>
              <c:numCache>
                <c:formatCode>0.0</c:formatCode>
                <c:ptCount val="8"/>
                <c:pt idx="0">
                  <c:v>265.00501232977552</c:v>
                </c:pt>
                <c:pt idx="1">
                  <c:v>275.72121747030798</c:v>
                </c:pt>
                <c:pt idx="2">
                  <c:v>277.98938334266228</c:v>
                </c:pt>
                <c:pt idx="3">
                  <c:v>260.1718305683068</c:v>
                </c:pt>
                <c:pt idx="4">
                  <c:v>256.38645724089372</c:v>
                </c:pt>
                <c:pt idx="5">
                  <c:v>247.75451315166487</c:v>
                </c:pt>
                <c:pt idx="6">
                  <c:v>256.27772092943292</c:v>
                </c:pt>
                <c:pt idx="7">
                  <c:v>237.96625636891571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2A7-44F2-8A6F-24570F78014A}"/>
            </c:ext>
          </c:extLst>
        </c:ser>
        <c:ser>
          <c:idx val="3"/>
          <c:order val="3"/>
          <c:tx>
            <c:strRef>
              <c:f>'Laskenta tulopuoli 350'!$AM$93</c:f>
              <c:strCache>
                <c:ptCount val="1"/>
                <c:pt idx="0">
                  <c:v>¤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350'!$AN$93:$AN$99</c:f>
              <c:numCache>
                <c:formatCode>0.0</c:formatCode>
                <c:ptCount val="7"/>
                <c:pt idx="0">
                  <c:v>49.906264553821721</c:v>
                </c:pt>
                <c:pt idx="1">
                  <c:v>71.51080035745774</c:v>
                </c:pt>
                <c:pt idx="2">
                  <c:v>90.043158959485879</c:v>
                </c:pt>
                <c:pt idx="3">
                  <c:v>101.54208149102088</c:v>
                </c:pt>
                <c:pt idx="4">
                  <c:v>119.0326314099045</c:v>
                </c:pt>
                <c:pt idx="5">
                  <c:v>110.21384224054002</c:v>
                </c:pt>
                <c:pt idx="6">
                  <c:v>120.06691977873932</c:v>
                </c:pt>
              </c:numCache>
            </c:numRef>
          </c:xVal>
          <c:yVal>
            <c:numRef>
              <c:f>'Laskenta tulopuoli 350'!$AO$93:$AO$99</c:f>
              <c:numCache>
                <c:formatCode>0.0</c:formatCode>
                <c:ptCount val="7"/>
                <c:pt idx="0">
                  <c:v>115.4382451776105</c:v>
                </c:pt>
                <c:pt idx="1">
                  <c:v>116.49698561821329</c:v>
                </c:pt>
                <c:pt idx="2">
                  <c:v>119.17840227299482</c:v>
                </c:pt>
                <c:pt idx="3">
                  <c:v>118.07500366378952</c:v>
                </c:pt>
                <c:pt idx="4">
                  <c:v>114.88763761184336</c:v>
                </c:pt>
                <c:pt idx="5">
                  <c:v>116.44711487432268</c:v>
                </c:pt>
                <c:pt idx="6">
                  <c:v>113.88939116261066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2A7-44F2-8A6F-24570F78014A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350'!$AC$34:$AC$37</c:f>
              <c:numCache>
                <c:formatCode>0.0</c:formatCode>
                <c:ptCount val="4"/>
                <c:pt idx="0">
                  <c:v>139.90304747211434</c:v>
                </c:pt>
                <c:pt idx="1">
                  <c:v>112.68498526889834</c:v>
                </c:pt>
                <c:pt idx="2">
                  <c:v>80.384862640359131</c:v>
                </c:pt>
                <c:pt idx="3">
                  <c:v>50.470858804375901</c:v>
                </c:pt>
              </c:numCache>
            </c:numRef>
          </c:xVal>
          <c:yVal>
            <c:numRef>
              <c:f>'Laskenta tulopuoli 350'!$AL$34:$AL$37</c:f>
              <c:numCache>
                <c:formatCode>General</c:formatCode>
                <c:ptCount val="4"/>
                <c:pt idx="0">
                  <c:v>714.40517854892778</c:v>
                </c:pt>
                <c:pt idx="1">
                  <c:v>477.97892549245955</c:v>
                </c:pt>
                <c:pt idx="2">
                  <c:v>264.89975982595797</c:v>
                </c:pt>
                <c:pt idx="3">
                  <c:v>115.03111351902663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2A7-44F2-8A6F-24570F78014A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350'!$W$2</c:f>
              <c:numCache>
                <c:formatCode>0.0</c:formatCode>
                <c:ptCount val="1"/>
                <c:pt idx="0">
                  <c:v>77.384692523292642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42A7-44F2-8A6F-24570F780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13141-7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hyötysuhde'!$E$24:$E$29</c:f>
              <c:numCache>
                <c:formatCode>General</c:formatCode>
                <c:ptCount val="6"/>
                <c:pt idx="0">
                  <c:v>18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</c:numCache>
            </c:numRef>
          </c:xVal>
          <c:yVal>
            <c:numRef>
              <c:f>'Kojeet ja kennon hyötysuhde'!$G$24:$G$29</c:f>
              <c:numCache>
                <c:formatCode>General</c:formatCode>
                <c:ptCount val="6"/>
                <c:pt idx="0">
                  <c:v>79.8</c:v>
                </c:pt>
                <c:pt idx="1">
                  <c:v>79.7</c:v>
                </c:pt>
                <c:pt idx="2">
                  <c:v>79.599999999999994</c:v>
                </c:pt>
                <c:pt idx="3">
                  <c:v>79.5</c:v>
                </c:pt>
                <c:pt idx="4">
                  <c:v>78.5</c:v>
                </c:pt>
                <c:pt idx="5">
                  <c:v>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B0-4962-AA47-9E2C6BD76019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40</c:v>
                </c:pt>
              </c:numCache>
            </c:numRef>
          </c:xVal>
          <c:yVal>
            <c:numRef>
              <c:f>'Kojeet ja kennon hyötysuhde'!$F$38</c:f>
              <c:numCache>
                <c:formatCode>0.0</c:formatCode>
                <c:ptCount val="1"/>
                <c:pt idx="0">
                  <c:v>79.58431372549019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B0-4962-AA47-9E2C6BD76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forward val="20"/>
            <c:backward val="170"/>
            <c:dispRSqr val="1"/>
            <c:dispEq val="1"/>
            <c:trendlineLbl>
              <c:layout>
                <c:manualLayout>
                  <c:x val="-8.5831090224287407E-2"/>
                  <c:y val="0.4648947765113058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backward val="17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350'!$D$59:$D$62</c:f>
              <c:numCache>
                <c:formatCode>0.0</c:formatCode>
                <c:ptCount val="4"/>
                <c:pt idx="0">
                  <c:v>366.3</c:v>
                </c:pt>
                <c:pt idx="1">
                  <c:v>341.4</c:v>
                </c:pt>
                <c:pt idx="2">
                  <c:v>309.8</c:v>
                </c:pt>
                <c:pt idx="3">
                  <c:v>221</c:v>
                </c:pt>
              </c:numCache>
            </c:numRef>
          </c:xVal>
          <c:yVal>
            <c:numRef>
              <c:f>'Laskenta poistopuoli 350'!$E$59:$E$62</c:f>
              <c:numCache>
                <c:formatCode>0.0</c:formatCode>
                <c:ptCount val="4"/>
                <c:pt idx="0">
                  <c:v>62.097783424500207</c:v>
                </c:pt>
                <c:pt idx="1">
                  <c:v>61.404747810618019</c:v>
                </c:pt>
                <c:pt idx="2">
                  <c:v>60.573303422326219</c:v>
                </c:pt>
                <c:pt idx="3">
                  <c:v>60.013148119886417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082-4473-BB64-7913B26F5B1B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forward val="10"/>
            <c:backward val="140"/>
            <c:dispRSqr val="1"/>
            <c:dispEq val="1"/>
            <c:trendlineLbl>
              <c:layout>
                <c:manualLayout>
                  <c:x val="0.22559402419793118"/>
                  <c:y val="0.203613617068445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backward val="14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350'!$D$64:$D$67</c:f>
              <c:numCache>
                <c:formatCode>0.0</c:formatCode>
                <c:ptCount val="4"/>
                <c:pt idx="0">
                  <c:v>304</c:v>
                </c:pt>
                <c:pt idx="1">
                  <c:v>281.7</c:v>
                </c:pt>
                <c:pt idx="2">
                  <c:v>255.1</c:v>
                </c:pt>
                <c:pt idx="3">
                  <c:v>180.1</c:v>
                </c:pt>
              </c:numCache>
            </c:numRef>
          </c:xVal>
          <c:yVal>
            <c:numRef>
              <c:f>'Laskenta poistopuoli 350'!$E$64:$E$67</c:f>
              <c:numCache>
                <c:formatCode>0.0</c:formatCode>
                <c:ptCount val="4"/>
                <c:pt idx="0">
                  <c:v>58.341740546145942</c:v>
                </c:pt>
                <c:pt idx="1">
                  <c:v>57.377484119444958</c:v>
                </c:pt>
                <c:pt idx="2">
                  <c:v>56.489949323611974</c:v>
                </c:pt>
                <c:pt idx="3">
                  <c:v>55.305009598786256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082-4473-BB64-7913B26F5B1B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forward val="10"/>
            <c:backward val="100"/>
            <c:dispRSqr val="1"/>
            <c:dispEq val="1"/>
            <c:trendlineLbl>
              <c:layout>
                <c:manualLayout>
                  <c:x val="0.30558316598536889"/>
                  <c:y val="0.1639143059926396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backward val="10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350'!$D$69:$D$72</c:f>
              <c:numCache>
                <c:formatCode>0.0</c:formatCode>
                <c:ptCount val="4"/>
                <c:pt idx="0">
                  <c:v>218.4</c:v>
                </c:pt>
                <c:pt idx="1">
                  <c:v>202.3</c:v>
                </c:pt>
                <c:pt idx="2">
                  <c:v>179.3</c:v>
                </c:pt>
                <c:pt idx="3">
                  <c:v>128</c:v>
                </c:pt>
              </c:numCache>
            </c:numRef>
          </c:xVal>
          <c:yVal>
            <c:numRef>
              <c:f>'Laskenta poistopuoli 350'!$E$69:$E$72</c:f>
              <c:numCache>
                <c:formatCode>0.0</c:formatCode>
                <c:ptCount val="4"/>
                <c:pt idx="0">
                  <c:v>51.6790949757684</c:v>
                </c:pt>
                <c:pt idx="1">
                  <c:v>50.407916560559215</c:v>
                </c:pt>
                <c:pt idx="2">
                  <c:v>50.113476278917901</c:v>
                </c:pt>
                <c:pt idx="3">
                  <c:v>49.839015741427502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082-4473-BB64-7913B26F5B1B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forward val="5"/>
            <c:backward val="60"/>
            <c:dispRSqr val="1"/>
            <c:dispEq val="1"/>
            <c:trendlineLbl>
              <c:layout>
                <c:manualLayout>
                  <c:x val="0.31511044965654311"/>
                  <c:y val="0.160841961967060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backward val="60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350'!$D$74:$D$77</c:f>
              <c:numCache>
                <c:formatCode>0.0</c:formatCode>
                <c:ptCount val="4"/>
                <c:pt idx="0">
                  <c:v>135.1</c:v>
                </c:pt>
                <c:pt idx="1">
                  <c:v>124.4</c:v>
                </c:pt>
                <c:pt idx="2">
                  <c:v>113.2</c:v>
                </c:pt>
                <c:pt idx="3">
                  <c:v>78.2</c:v>
                </c:pt>
              </c:numCache>
            </c:numRef>
          </c:xVal>
          <c:yVal>
            <c:numRef>
              <c:f>'Laskenta poistopuoli 350'!$E$74:$E$77</c:f>
              <c:numCache>
                <c:formatCode>0.0</c:formatCode>
                <c:ptCount val="4"/>
                <c:pt idx="0">
                  <c:v>42.598859931585011</c:v>
                </c:pt>
                <c:pt idx="1">
                  <c:v>41.766385883723473</c:v>
                </c:pt>
                <c:pt idx="2">
                  <c:v>41.1225087051739</c:v>
                </c:pt>
                <c:pt idx="3">
                  <c:v>40.43354617963378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082-4473-BB64-7913B26F5B1B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82-4473-BB64-7913B26F5B1B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82-4473-BB64-7913B26F5B1B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373475473715205"/>
                  <c:y val="-0.15398745529153651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xVal>
          <c:yVal>
            <c:numRef>
              <c:f>'Laskenta poistopuoli 350'!$AF$34:$AF$37</c:f>
              <c:numCache>
                <c:formatCode>0.0</c:formatCode>
                <c:ptCount val="4"/>
                <c:pt idx="0">
                  <c:v>58.550817297949926</c:v>
                </c:pt>
                <c:pt idx="1">
                  <c:v>53.286984713426598</c:v>
                </c:pt>
                <c:pt idx="2">
                  <c:v>48.690298762441216</c:v>
                </c:pt>
                <c:pt idx="3">
                  <c:v>39.136023983286201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C082-4473-BB64-7913B26F5B1B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350'!$W$5</c:f>
              <c:numCache>
                <c:formatCode>0.0</c:formatCode>
                <c:ptCount val="1"/>
                <c:pt idx="0">
                  <c:v>34.778034318558305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C082-4473-BB64-7913B26F5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0253406726015296"/>
          <c:y val="0.10228077170686059"/>
          <c:w val="0.83652424435567219"/>
          <c:h val="0.7630465835145096"/>
        </c:manualLayout>
      </c:layout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20"/>
            <c:backward val="17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backward val="170"/>
            <c:dispRSqr val="0"/>
            <c:dispEq val="0"/>
          </c:trendline>
          <c:xVal>
            <c:numRef>
              <c:f>'Laskenta poistopuoli 350'!$N$59:$N$62</c:f>
              <c:numCache>
                <c:formatCode>0.0</c:formatCode>
                <c:ptCount val="4"/>
                <c:pt idx="0">
                  <c:v>367.27606807457477</c:v>
                </c:pt>
                <c:pt idx="1">
                  <c:v>341.06998870275049</c:v>
                </c:pt>
                <c:pt idx="2">
                  <c:v>303.07324445507652</c:v>
                </c:pt>
                <c:pt idx="3">
                  <c:v>223.5792236627149</c:v>
                </c:pt>
              </c:numCache>
            </c:numRef>
          </c:xVal>
          <c:yVal>
            <c:numRef>
              <c:f>'Laskenta poistopuoli 350'!$O$59:$O$62</c:f>
              <c:numCache>
                <c:formatCode>0.0</c:formatCode>
                <c:ptCount val="4"/>
                <c:pt idx="0">
                  <c:v>82.689090072186829</c:v>
                </c:pt>
                <c:pt idx="1">
                  <c:v>82.105276378556539</c:v>
                </c:pt>
                <c:pt idx="2">
                  <c:v>81.080240846621081</c:v>
                </c:pt>
                <c:pt idx="3">
                  <c:v>79.022331218565611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96-4C6E-BF4B-ABC4C17A881D}"/>
            </c:ext>
          </c:extLst>
        </c:ser>
        <c:ser>
          <c:idx val="1"/>
          <c:order val="1"/>
          <c:tx>
            <c:strRef>
              <c:f>'Laskenta poistopuoli 350'!$C$64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forward val="10"/>
            <c:backward val="13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og"/>
            <c:backward val="130"/>
            <c:dispRSqr val="0"/>
            <c:dispEq val="0"/>
          </c:trendline>
          <c:xVal>
            <c:numRef>
              <c:f>'Laskenta poistopuoli 350'!$N$64:$N$67</c:f>
              <c:numCache>
                <c:formatCode>0.0</c:formatCode>
                <c:ptCount val="4"/>
                <c:pt idx="0">
                  <c:v>306.42216557619219</c:v>
                </c:pt>
                <c:pt idx="1">
                  <c:v>280.37540028596254</c:v>
                </c:pt>
                <c:pt idx="2">
                  <c:v>247.99195567141854</c:v>
                </c:pt>
                <c:pt idx="3">
                  <c:v>179.97539914207314</c:v>
                </c:pt>
              </c:numCache>
            </c:numRef>
          </c:xVal>
          <c:yVal>
            <c:numRef>
              <c:f>'Laskenta poistopuoli 350'!$O$64:$O$67</c:f>
              <c:numCache>
                <c:formatCode>0.0</c:formatCode>
                <c:ptCount val="4"/>
                <c:pt idx="0">
                  <c:v>78.99039262930242</c:v>
                </c:pt>
                <c:pt idx="1">
                  <c:v>78.069558159890079</c:v>
                </c:pt>
                <c:pt idx="2">
                  <c:v>76.942323327149879</c:v>
                </c:pt>
                <c:pt idx="3">
                  <c:v>74.326760800359523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96-4C6E-BF4B-ABC4C17A881D}"/>
            </c:ext>
          </c:extLst>
        </c:ser>
        <c:ser>
          <c:idx val="2"/>
          <c:order val="2"/>
          <c:tx>
            <c:strRef>
              <c:f>'Laskenta poistopuoli 350'!$C$69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og"/>
            <c:backward val="100"/>
            <c:dispRSqr val="0"/>
            <c:dispEq val="0"/>
          </c:trendline>
          <c:xVal>
            <c:numRef>
              <c:f>'Laskenta poistopuoli 350'!$N$69:$N$72</c:f>
              <c:numCache>
                <c:formatCode>0.0</c:formatCode>
                <c:ptCount val="4"/>
                <c:pt idx="0">
                  <c:v>216.68199713194693</c:v>
                </c:pt>
                <c:pt idx="1">
                  <c:v>203.48048535677617</c:v>
                </c:pt>
                <c:pt idx="2">
                  <c:v>177.657613751502</c:v>
                </c:pt>
                <c:pt idx="3">
                  <c:v>129.31721034610501</c:v>
                </c:pt>
              </c:numCache>
            </c:numRef>
          </c:xVal>
          <c:yVal>
            <c:numRef>
              <c:f>'Laskenta poistopuoli 350'!$O$69:$O$72</c:f>
              <c:numCache>
                <c:formatCode>0.0</c:formatCode>
                <c:ptCount val="4"/>
                <c:pt idx="0">
                  <c:v>71.859694306887633</c:v>
                </c:pt>
                <c:pt idx="1">
                  <c:v>71.05536483352482</c:v>
                </c:pt>
                <c:pt idx="2">
                  <c:v>69.785748446535706</c:v>
                </c:pt>
                <c:pt idx="3">
                  <c:v>67.734414836531897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D96-4C6E-BF4B-ABC4C17A881D}"/>
            </c:ext>
          </c:extLst>
        </c:ser>
        <c:ser>
          <c:idx val="3"/>
          <c:order val="3"/>
          <c:tx>
            <c:strRef>
              <c:f>'Laskenta poistopuoli 350'!$C$74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60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og"/>
            <c:backward val="60"/>
            <c:dispRSqr val="0"/>
            <c:dispEq val="0"/>
          </c:trendline>
          <c:xVal>
            <c:numRef>
              <c:f>'Laskenta poistopuoli 350'!$N$74:$N$77</c:f>
              <c:numCache>
                <c:formatCode>0.0</c:formatCode>
                <c:ptCount val="4"/>
                <c:pt idx="0">
                  <c:v>136.94470684441694</c:v>
                </c:pt>
                <c:pt idx="1">
                  <c:v>126.48327019359726</c:v>
                </c:pt>
                <c:pt idx="2">
                  <c:v>110.48203024842798</c:v>
                </c:pt>
                <c:pt idx="3">
                  <c:v>79.668407730229532</c:v>
                </c:pt>
              </c:numCache>
            </c:numRef>
          </c:xVal>
          <c:yVal>
            <c:numRef>
              <c:f>'Laskenta poistopuoli 350'!$O$74:$O$77</c:f>
              <c:numCache>
                <c:formatCode>0.0</c:formatCode>
                <c:ptCount val="4"/>
                <c:pt idx="0">
                  <c:v>61.636094765036098</c:v>
                </c:pt>
                <c:pt idx="1">
                  <c:v>60.708709459674338</c:v>
                </c:pt>
                <c:pt idx="2">
                  <c:v>59.434186199278997</c:v>
                </c:pt>
                <c:pt idx="3">
                  <c:v>57.542846550437403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D96-4C6E-BF4B-ABC4C17A881D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5.577690279919046E-2"/>
                  <c:y val="-0.24662238488997335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xVal>
          <c:yVal>
            <c:numRef>
              <c:f>'Laskenta poistopuoli 350'!$AG$34:$AG$37</c:f>
              <c:numCache>
                <c:formatCode>0.0</c:formatCode>
                <c:ptCount val="4"/>
                <c:pt idx="0">
                  <c:v>76.451684867355979</c:v>
                </c:pt>
                <c:pt idx="1">
                  <c:v>71.378562641017609</c:v>
                </c:pt>
                <c:pt idx="2">
                  <c:v>64.95441512459476</c:v>
                </c:pt>
                <c:pt idx="3">
                  <c:v>54.999932689469176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D96-4C6E-BF4B-ABC4C17A881D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350'!$W$6</c:f>
              <c:numCache>
                <c:formatCode>0.0</c:formatCode>
                <c:ptCount val="1"/>
                <c:pt idx="0">
                  <c:v>49.891596560798192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D96-4C6E-BF4B-ABC4C17A8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3.309483777529923E-2"/>
                  <c:y val="0.3252886719830947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350'!$AI$36:$AI$38</c:f>
              <c:numCache>
                <c:formatCode>General</c:formatCode>
                <c:ptCount val="3"/>
                <c:pt idx="0">
                  <c:v>8</c:v>
                </c:pt>
                <c:pt idx="1">
                  <c:v>6</c:v>
                </c:pt>
                <c:pt idx="2">
                  <c:v>4</c:v>
                </c:pt>
              </c:numCache>
            </c:numRef>
          </c:xVal>
          <c:yVal>
            <c:numRef>
              <c:f>'Laskenta poistopuoli 350'!$AJ$36:$AJ$38</c:f>
              <c:numCache>
                <c:formatCode>0.0</c:formatCode>
                <c:ptCount val="3"/>
                <c:pt idx="0">
                  <c:v>113.80164516270624</c:v>
                </c:pt>
                <c:pt idx="1">
                  <c:v>81.229420040808208</c:v>
                </c:pt>
                <c:pt idx="2">
                  <c:v>51.130388640676429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D9-4AFA-A139-F1B47C353922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16588769955552596"/>
                  <c:y val="0.259453430940940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poistopuoli 350'!$AJ$34:$AJ$35</c:f>
              <c:numCache>
                <c:formatCode>0.0</c:formatCode>
                <c:ptCount val="2"/>
                <c:pt idx="0">
                  <c:v>140.61049236686048</c:v>
                </c:pt>
                <c:pt idx="1">
                  <c:v>129.05726033958598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2D9-4AFA-A139-F1B47C353922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6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350'!$W$9</c:f>
              <c:numCache>
                <c:formatCode>0.00</c:formatCode>
                <c:ptCount val="1"/>
                <c:pt idx="0">
                  <c:v>3.3294638131130845</c:v>
                </c:pt>
              </c:numCache>
            </c:numRef>
          </c:xVal>
          <c:yVal>
            <c:numRef>
              <c:f>'Laskenta poistopuoli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2D9-4AFA-A139-F1B47C353922}"/>
            </c:ext>
          </c:extLst>
        </c:ser>
        <c:ser>
          <c:idx val="3"/>
          <c:order val="3"/>
          <c:tx>
            <c:v>Kaikki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36819274969064386"/>
                  <c:y val="-4.725793061809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350'!$U$34:$U$37</c:f>
              <c:numCache>
                <c:formatCode>General</c:formatCode>
                <c:ptCount val="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poistopuoli 350'!$AC$34:$AC$37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2D9-4AFA-A139-F1B47C353922}"/>
            </c:ext>
          </c:extLst>
        </c:ser>
        <c:ser>
          <c:idx val="4"/>
          <c:order val="4"/>
          <c:tx>
            <c:v>Tehostus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'Laskenta poistopuoli 350'!$AR$36</c:f>
              <c:numCache>
                <c:formatCode>0.0</c:formatCode>
                <c:ptCount val="1"/>
                <c:pt idx="0">
                  <c:v>3.830252929557652</c:v>
                </c:pt>
              </c:numCache>
            </c:numRef>
          </c:xVal>
          <c:yVal>
            <c:numRef>
              <c:f>'Laskenta poistopuoli 350'!$AO$36</c:f>
              <c:numCache>
                <c:formatCode>0.0</c:formatCode>
                <c:ptCount val="1"/>
                <c:pt idx="0">
                  <c:v>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D80-43F7-9B6E-92AB7AFF5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  <c:min val="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6277893555352518"/>
          <c:y val="0.11692244762316825"/>
          <c:w val="0.77535613893774757"/>
          <c:h val="0.712791573070512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350'!$X$59:$X$66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350'!$Y$59:$Y$66</c:f>
              <c:numCache>
                <c:formatCode>0.0</c:formatCode>
                <c:ptCount val="8"/>
                <c:pt idx="0">
                  <c:v>302.32759265404218</c:v>
                </c:pt>
                <c:pt idx="1">
                  <c:v>356.54486395172677</c:v>
                </c:pt>
                <c:pt idx="2">
                  <c:v>421.03669396837233</c:v>
                </c:pt>
                <c:pt idx="3">
                  <c:v>457.54888920061728</c:v>
                </c:pt>
                <c:pt idx="4">
                  <c:v>508.8924685660923</c:v>
                </c:pt>
                <c:pt idx="5">
                  <c:v>519.47729833181302</c:v>
                </c:pt>
                <c:pt idx="6">
                  <c:v>499.98917692950459</c:v>
                </c:pt>
                <c:pt idx="7">
                  <c:v>515.99235857408132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DDF-43F8-A44C-E9E674C3D9B3}"/>
            </c:ext>
          </c:extLst>
        </c:ser>
        <c:ser>
          <c:idx val="1"/>
          <c:order val="1"/>
          <c:tx>
            <c:strRef>
              <c:f>'Laskenta poistopuoli 350'!$W$69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0.12162126915763923"/>
                  <c:y val="-0.1465148858926627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350'!$X$69:$X$77</c:f>
              <c:numCache>
                <c:formatCode>0.0</c:formatCode>
                <c:ptCount val="9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  <c:pt idx="6">
                  <c:v>280.37540028596254</c:v>
                </c:pt>
                <c:pt idx="7">
                  <c:v>306.42216557619219</c:v>
                </c:pt>
                <c:pt idx="8">
                  <c:v>68.235663849616046</c:v>
                </c:pt>
              </c:numCache>
            </c:numRef>
          </c:xVal>
          <c:yVal>
            <c:numRef>
              <c:f>'Laskenta poistopuoli 350'!$Y$69:$Y$77</c:f>
              <c:numCache>
                <c:formatCode>0.0</c:formatCode>
                <c:ptCount val="9"/>
                <c:pt idx="0">
                  <c:v>164.90844203665162</c:v>
                </c:pt>
                <c:pt idx="1">
                  <c:v>196.96128282198916</c:v>
                </c:pt>
                <c:pt idx="2">
                  <c:v>237.81117979773683</c:v>
                </c:pt>
                <c:pt idx="3">
                  <c:v>260.47989897572495</c:v>
                </c:pt>
                <c:pt idx="4">
                  <c:v>292.86254766640252</c:v>
                </c:pt>
                <c:pt idx="5">
                  <c:v>310.41418560822922</c:v>
                </c:pt>
                <c:pt idx="6">
                  <c:v>289.48558554113851</c:v>
                </c:pt>
                <c:pt idx="7">
                  <c:v>311.04275486404356</c:v>
                </c:pt>
                <c:pt idx="8">
                  <c:v>119.40185523650993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DDF-43F8-A44C-E9E674C3D9B3}"/>
            </c:ext>
          </c:extLst>
        </c:ser>
        <c:ser>
          <c:idx val="2"/>
          <c:order val="2"/>
          <c:tx>
            <c:strRef>
              <c:f>'Laskenta poistopuoli 350'!$W$80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2.8592814207201136E-2"/>
                  <c:y val="-0.4846504570227770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350'!$X$80:$X$87</c:f>
              <c:numCache>
                <c:formatCode>0.0</c:formatCode>
                <c:ptCount val="8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  <c:pt idx="6">
                  <c:v>203.48048535677617</c:v>
                </c:pt>
                <c:pt idx="7">
                  <c:v>216.68199713194693</c:v>
                </c:pt>
              </c:numCache>
            </c:numRef>
          </c:xVal>
          <c:yVal>
            <c:numRef>
              <c:f>'Laskenta poistopuoli 350'!$Y$80:$Y$87</c:f>
              <c:numCache>
                <c:formatCode>0.0</c:formatCode>
                <c:ptCount val="8"/>
                <c:pt idx="0">
                  <c:v>73.255512194579921</c:v>
                </c:pt>
                <c:pt idx="1">
                  <c:v>86.543140247698204</c:v>
                </c:pt>
                <c:pt idx="2">
                  <c:v>101.62904601770833</c:v>
                </c:pt>
                <c:pt idx="3">
                  <c:v>110.69899121354534</c:v>
                </c:pt>
                <c:pt idx="4">
                  <c:v>123.35633973294334</c:v>
                </c:pt>
                <c:pt idx="5">
                  <c:v>134.90921358508626</c:v>
                </c:pt>
                <c:pt idx="6">
                  <c:v>123.40172430505064</c:v>
                </c:pt>
                <c:pt idx="7">
                  <c:v>130.02142396481116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DDF-43F8-A44C-E9E674C3D9B3}"/>
            </c:ext>
          </c:extLst>
        </c:ser>
        <c:ser>
          <c:idx val="3"/>
          <c:order val="3"/>
          <c:tx>
            <c:strRef>
              <c:f>'Laskenta poistopuoli 350'!$W$91</c:f>
              <c:strCache>
                <c:ptCount val="1"/>
                <c:pt idx="0">
                  <c:v>2V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14805626332199082"/>
                  <c:y val="-0.3426808416473340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350'!$X$91:$X$98</c:f>
              <c:numCache>
                <c:formatCode>0.0</c:formatCode>
                <c:ptCount val="8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  <c:pt idx="6">
                  <c:v>126.48327019359726</c:v>
                </c:pt>
                <c:pt idx="7" formatCode="General">
                  <c:v>136.94470684441694</c:v>
                </c:pt>
              </c:numCache>
            </c:numRef>
          </c:xVal>
          <c:yVal>
            <c:numRef>
              <c:f>'Laskenta poistopuoli 350'!$Y$91:$Y$98</c:f>
              <c:numCache>
                <c:formatCode>0.0</c:formatCode>
                <c:ptCount val="8"/>
                <c:pt idx="0">
                  <c:v>29.409439010889692</c:v>
                </c:pt>
                <c:pt idx="1">
                  <c:v>33.309297611254642</c:v>
                </c:pt>
                <c:pt idx="2">
                  <c:v>37.281582637626165</c:v>
                </c:pt>
                <c:pt idx="3">
                  <c:v>39.567992760532817</c:v>
                </c:pt>
                <c:pt idx="4">
                  <c:v>42.914202318586497</c:v>
                </c:pt>
                <c:pt idx="5">
                  <c:v>43.891248017188815</c:v>
                </c:pt>
                <c:pt idx="6">
                  <c:v>43.27283236895304</c:v>
                </c:pt>
                <c:pt idx="7" formatCode="General">
                  <c:v>45.537563418715308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DDF-43F8-A44C-E9E674C3D9B3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270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8958788886721625"/>
                  <c:y val="0.3510544415395837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trendline>
            <c:spPr>
              <a:ln w="12700" cap="rnd">
                <a:solidFill>
                  <a:schemeClr val="tx2"/>
                </a:solidFill>
                <a:prstDash val="solid"/>
              </a:ln>
              <a:effectLst/>
            </c:spPr>
            <c:trendlineType val="poly"/>
            <c:order val="3"/>
            <c:intercept val="0"/>
            <c:dispRSqr val="1"/>
            <c:dispEq val="1"/>
            <c:trendlineLbl>
              <c:layout>
                <c:manualLayout>
                  <c:x val="0.26853182628572991"/>
                  <c:y val="0.4296021745200536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350'!$AC$34:$AC$38</c:f>
              <c:numCache>
                <c:formatCode>0.0</c:formatCode>
                <c:ptCount val="5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xVal>
          <c:yVal>
            <c:numRef>
              <c:f>'Laskenta poistopuoli 350'!$AE$34:$AE$37</c:f>
              <c:numCache>
                <c:formatCode>0.0</c:formatCode>
                <c:ptCount val="4"/>
                <c:pt idx="0">
                  <c:v>240.12062857515843</c:v>
                </c:pt>
                <c:pt idx="1">
                  <c:v>147.96753884388113</c:v>
                </c:pt>
                <c:pt idx="2">
                  <c:v>65.95557977379346</c:v>
                </c:pt>
                <c:pt idx="3">
                  <c:v>27.31128494672393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DDF-43F8-A44C-E9E674C3D9B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350'!$W$13</c:f>
              <c:numCache>
                <c:formatCode>0.0</c:formatCode>
                <c:ptCount val="1"/>
                <c:pt idx="0">
                  <c:v>21.927930181056698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DDF-43F8-A44C-E9E674C3D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350'!$AB$6:$AB$12</c:f>
              <c:numCache>
                <c:formatCode>0.0</c:formatCode>
                <c:ptCount val="7"/>
                <c:pt idx="0">
                  <c:v>387.02425293331947</c:v>
                </c:pt>
                <c:pt idx="1">
                  <c:v>368.06471553994226</c:v>
                </c:pt>
                <c:pt idx="2">
                  <c:v>340.58746162202522</c:v>
                </c:pt>
                <c:pt idx="3">
                  <c:v>309.74196635006911</c:v>
                </c:pt>
                <c:pt idx="4">
                  <c:v>273.86522624529636</c:v>
                </c:pt>
                <c:pt idx="5">
                  <c:v>229.19151617790286</c:v>
                </c:pt>
                <c:pt idx="6">
                  <c:v>178.92566610177286</c:v>
                </c:pt>
              </c:numCache>
            </c:numRef>
          </c:xVal>
          <c:yVal>
            <c:numRef>
              <c:f>'Laskenta poistopuoli 350'!$AA$6:$AA$12</c:f>
              <c:numCache>
                <c:formatCode>0.0</c:formatCode>
                <c:ptCount val="7"/>
                <c:pt idx="0">
                  <c:v>25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580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32-4E85-B19D-AAB0DF71EEBE}"/>
            </c:ext>
          </c:extLst>
        </c:ser>
        <c:ser>
          <c:idx val="1"/>
          <c:order val="1"/>
          <c:tx>
            <c:strRef>
              <c:f>'Laskenta poistopuoli 350'!$AC$4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350'!$AD$6:$AD$12</c:f>
              <c:numCache>
                <c:formatCode>0.0</c:formatCode>
                <c:ptCount val="7"/>
                <c:pt idx="0">
                  <c:v>322.84873701660229</c:v>
                </c:pt>
                <c:pt idx="1">
                  <c:v>312.4056077515325</c:v>
                </c:pt>
                <c:pt idx="2">
                  <c:v>294.04327330941805</c:v>
                </c:pt>
                <c:pt idx="3">
                  <c:v>274.23785237808198</c:v>
                </c:pt>
                <c:pt idx="4">
                  <c:v>265.8270250865362</c:v>
                </c:pt>
                <c:pt idx="5">
                  <c:v>257.08860009311786</c:v>
                </c:pt>
                <c:pt idx="6">
                  <c:v>141.35600404769997</c:v>
                </c:pt>
              </c:numCache>
            </c:numRef>
          </c:xVal>
          <c:yVal>
            <c:numRef>
              <c:f>'Laskenta poistopuoli 350'!$AC$6:$AC$12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380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C32-4E85-B19D-AAB0DF71EEBE}"/>
            </c:ext>
          </c:extLst>
        </c:ser>
        <c:ser>
          <c:idx val="2"/>
          <c:order val="2"/>
          <c:tx>
            <c:strRef>
              <c:f>'Laskenta poistopuoli 350'!$AE$4</c:f>
              <c:strCache>
                <c:ptCount val="1"/>
                <c:pt idx="0">
                  <c:v>6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350'!$AF$6:$AF$11</c:f>
              <c:numCache>
                <c:formatCode>0.0</c:formatCode>
                <c:ptCount val="6"/>
                <c:pt idx="0">
                  <c:v>231.45482058174542</c:v>
                </c:pt>
                <c:pt idx="1">
                  <c:v>211.56213987435652</c:v>
                </c:pt>
                <c:pt idx="2">
                  <c:v>189.11321368100411</c:v>
                </c:pt>
                <c:pt idx="3">
                  <c:v>162.761483860868</c:v>
                </c:pt>
                <c:pt idx="4">
                  <c:v>129.26947010597144</c:v>
                </c:pt>
                <c:pt idx="5">
                  <c:v>92.408694768599474</c:v>
                </c:pt>
              </c:numCache>
            </c:numRef>
          </c:xVal>
          <c:yVal>
            <c:numRef>
              <c:f>'Laskenta poistopuoli 350'!$AE$6:$AE$11</c:f>
              <c:numCache>
                <c:formatCode>0.0</c:formatCode>
                <c:ptCount val="6"/>
                <c:pt idx="0">
                  <c:v>10</c:v>
                </c:pt>
                <c:pt idx="1">
                  <c:v>50</c:v>
                </c:pt>
                <c:pt idx="2">
                  <c:v>90</c:v>
                </c:pt>
                <c:pt idx="3">
                  <c:v>130</c:v>
                </c:pt>
                <c:pt idx="4">
                  <c:v>170</c:v>
                </c:pt>
                <c:pt idx="5">
                  <c:v>200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C32-4E85-B19D-AAB0DF71EEBE}"/>
            </c:ext>
          </c:extLst>
        </c:ser>
        <c:ser>
          <c:idx val="3"/>
          <c:order val="3"/>
          <c:tx>
            <c:strRef>
              <c:f>'Laskenta poistopuoli 350'!$AG$4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350'!$AH$6:$AH$10</c:f>
              <c:numCache>
                <c:formatCode>0.0</c:formatCode>
                <c:ptCount val="5"/>
                <c:pt idx="0">
                  <c:v>137.79479127749656</c:v>
                </c:pt>
                <c:pt idx="1">
                  <c:v>129.5056281141523</c:v>
                </c:pt>
                <c:pt idx="2">
                  <c:v>110.92570358593754</c:v>
                </c:pt>
                <c:pt idx="3">
                  <c:v>88.098495554899614</c:v>
                </c:pt>
                <c:pt idx="4">
                  <c:v>55.102547399007342</c:v>
                </c:pt>
              </c:numCache>
            </c:numRef>
          </c:xVal>
          <c:yVal>
            <c:numRef>
              <c:f>'Laskenta poistopuoli 350'!$AG$6:$AG$10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40</c:v>
                </c:pt>
                <c:pt idx="3">
                  <c:v>60</c:v>
                </c:pt>
                <c:pt idx="4">
                  <c:v>80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C32-4E85-B19D-AAB0DF71EEB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350'!$L$3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C32-4E85-B19D-AAB0DF71EEB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xVal>
          <c:yVal>
            <c:numRef>
              <c:f>'Laskenta poistopuoli 350'!$AD$34:$AD$37</c:f>
              <c:numCache>
                <c:formatCode>0.0</c:formatCode>
                <c:ptCount val="4"/>
                <c:pt idx="0">
                  <c:v>617.85345511409162</c:v>
                </c:pt>
                <c:pt idx="1">
                  <c:v>404.71295130432816</c:v>
                </c:pt>
                <c:pt idx="2">
                  <c:v>206.19433375518921</c:v>
                </c:pt>
                <c:pt idx="3">
                  <c:v>81.697395079581668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C32-4E85-B19D-AAB0DF71E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Paine puhaltimen yli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350'!$AM$60</c:f>
              <c:strCache>
                <c:ptCount val="1"/>
                <c:pt idx="0">
                  <c:v>10V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7427404704644886"/>
                  <c:y val="0.1541320838894484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350'!$AN$60:$AN$67</c:f>
              <c:numCache>
                <c:formatCode>0.0</c:formatCode>
                <c:ptCount val="8"/>
                <c:pt idx="0">
                  <c:v>180.92175344436646</c:v>
                </c:pt>
                <c:pt idx="1">
                  <c:v>223.5792236627149</c:v>
                </c:pt>
                <c:pt idx="2">
                  <c:v>277.77636826296043</c:v>
                </c:pt>
                <c:pt idx="3">
                  <c:v>303.07324445507652</c:v>
                </c:pt>
                <c:pt idx="4">
                  <c:v>344.00846492037118</c:v>
                </c:pt>
                <c:pt idx="5">
                  <c:v>367.18361972524661</c:v>
                </c:pt>
                <c:pt idx="6">
                  <c:v>341.06998870275049</c:v>
                </c:pt>
                <c:pt idx="7">
                  <c:v>367.27606807457477</c:v>
                </c:pt>
              </c:numCache>
            </c:numRef>
          </c:xVal>
          <c:yVal>
            <c:numRef>
              <c:f>'Laskenta poistopuoli 350'!$AO$60:$AO$67</c:f>
              <c:numCache>
                <c:formatCode>0.0</c:formatCode>
                <c:ptCount val="8"/>
                <c:pt idx="0">
                  <c:v>721.34661173481254</c:v>
                </c:pt>
                <c:pt idx="1">
                  <c:v>715.9378701953035</c:v>
                </c:pt>
                <c:pt idx="2">
                  <c:v>682.75011971480819</c:v>
                </c:pt>
                <c:pt idx="3">
                  <c:v>645.18533974845593</c:v>
                </c:pt>
                <c:pt idx="4">
                  <c:v>586.03019621125861</c:v>
                </c:pt>
                <c:pt idx="5">
                  <c:v>518.51525144517996</c:v>
                </c:pt>
                <c:pt idx="6">
                  <c:v>579.62341036618864</c:v>
                </c:pt>
                <c:pt idx="7">
                  <c:v>514.97229930894991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E3-414C-A2A1-A767CD6BF176}"/>
            </c:ext>
          </c:extLst>
        </c:ser>
        <c:ser>
          <c:idx val="1"/>
          <c:order val="1"/>
          <c:tx>
            <c:strRef>
              <c:f>'Laskenta poistopuoli 350'!$AM$71</c:f>
              <c:strCache>
                <c:ptCount val="1"/>
                <c:pt idx="0">
                  <c:v>8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29855820119277049"/>
                  <c:y val="0.1210790837894320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350'!$AN$71:$AN$76</c:f>
              <c:numCache>
                <c:formatCode>0.0</c:formatCode>
                <c:ptCount val="6"/>
                <c:pt idx="0">
                  <c:v>142.54034990280852</c:v>
                </c:pt>
                <c:pt idx="1">
                  <c:v>179.97539914207314</c:v>
                </c:pt>
                <c:pt idx="2">
                  <c:v>225.68063250055866</c:v>
                </c:pt>
                <c:pt idx="3">
                  <c:v>247.99195567141854</c:v>
                </c:pt>
                <c:pt idx="4">
                  <c:v>284.00641090512107</c:v>
                </c:pt>
                <c:pt idx="5">
                  <c:v>305.11582722495291</c:v>
                </c:pt>
              </c:numCache>
            </c:numRef>
          </c:xVal>
          <c:yVal>
            <c:numRef>
              <c:f>'Laskenta poistopuoli 350'!$AO$71:$AO$76</c:f>
              <c:numCache>
                <c:formatCode>0.0</c:formatCode>
                <c:ptCount val="6"/>
                <c:pt idx="0">
                  <c:v>473.91392562092256</c:v>
                </c:pt>
                <c:pt idx="1">
                  <c:v>473.1384992406995</c:v>
                </c:pt>
                <c:pt idx="2">
                  <c:v>462.69713755706249</c:v>
                </c:pt>
                <c:pt idx="3">
                  <c:v>445.05159760438255</c:v>
                </c:pt>
                <c:pt idx="4">
                  <c:v>408.52036683816453</c:v>
                </c:pt>
                <c:pt idx="5">
                  <c:v>374.87627917763552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0E3-414C-A2A1-A767CD6BF176}"/>
            </c:ext>
          </c:extLst>
        </c:ser>
        <c:ser>
          <c:idx val="2"/>
          <c:order val="2"/>
          <c:tx>
            <c:strRef>
              <c:f>'Laskenta poistopuoli 350'!$AM$82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39913003746040648"/>
                  <c:y val="6.657948629006792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350'!$AN$82:$AN$87</c:f>
              <c:numCache>
                <c:formatCode>0.0</c:formatCode>
                <c:ptCount val="6"/>
                <c:pt idx="0">
                  <c:v>98.62537172384414</c:v>
                </c:pt>
                <c:pt idx="1">
                  <c:v>129.31721034610501</c:v>
                </c:pt>
                <c:pt idx="2">
                  <c:v>160.77952147934997</c:v>
                </c:pt>
                <c:pt idx="3">
                  <c:v>177.657613751502</c:v>
                </c:pt>
                <c:pt idx="4">
                  <c:v>203.34117912137015</c:v>
                </c:pt>
                <c:pt idx="5">
                  <c:v>222.79446560777538</c:v>
                </c:pt>
              </c:numCache>
            </c:numRef>
          </c:xVal>
          <c:yVal>
            <c:numRef>
              <c:f>'Laskenta poistopuoli 350'!$AO$82:$AO$87</c:f>
              <c:numCache>
                <c:formatCode>0.0</c:formatCode>
                <c:ptCount val="6"/>
                <c:pt idx="0">
                  <c:v>255.30068106481482</c:v>
                </c:pt>
                <c:pt idx="1">
                  <c:v>256.34269128011908</c:v>
                </c:pt>
                <c:pt idx="2">
                  <c:v>253.81558432274147</c:v>
                </c:pt>
                <c:pt idx="3">
                  <c:v>243.93185845736002</c:v>
                </c:pt>
                <c:pt idx="4">
                  <c:v>228.34086817976635</c:v>
                </c:pt>
                <c:pt idx="5">
                  <c:v>215.69856850350868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0E3-414C-A2A1-A767CD6BF176}"/>
            </c:ext>
          </c:extLst>
        </c:ser>
        <c:ser>
          <c:idx val="3"/>
          <c:order val="3"/>
          <c:tx>
            <c:strRef>
              <c:f>'Laskenta poistopuoli 350'!$AM$93</c:f>
              <c:strCache>
                <c:ptCount val="1"/>
                <c:pt idx="0">
                  <c:v>4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50741202068129376"/>
                  <c:y val="4.602479583721826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350'!$AN$93:$AN$98</c:f>
              <c:numCache>
                <c:formatCode>0.0</c:formatCode>
                <c:ptCount val="6"/>
                <c:pt idx="0">
                  <c:v>60.763954617523893</c:v>
                </c:pt>
                <c:pt idx="1">
                  <c:v>79.668407730229532</c:v>
                </c:pt>
                <c:pt idx="2">
                  <c:v>98.463521838786008</c:v>
                </c:pt>
                <c:pt idx="3">
                  <c:v>110.48203024842798</c:v>
                </c:pt>
                <c:pt idx="4">
                  <c:v>128.45544998656661</c:v>
                </c:pt>
                <c:pt idx="5">
                  <c:v>132.43201934330645</c:v>
                </c:pt>
              </c:numCache>
            </c:numRef>
          </c:xVal>
          <c:yVal>
            <c:numRef>
              <c:f>'Laskenta poistopuoli 350'!$AO$93:$AO$98</c:f>
              <c:numCache>
                <c:formatCode>0.0</c:formatCode>
                <c:ptCount val="6"/>
                <c:pt idx="0">
                  <c:v>109.31968624976143</c:v>
                </c:pt>
                <c:pt idx="1">
                  <c:v>111.65317186130773</c:v>
                </c:pt>
                <c:pt idx="2">
                  <c:v>110.42478023967983</c:v>
                </c:pt>
                <c:pt idx="3">
                  <c:v>110.02884818331296</c:v>
                </c:pt>
                <c:pt idx="4">
                  <c:v>102.35401122473381</c:v>
                </c:pt>
                <c:pt idx="5">
                  <c:v>100.48562347094051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0E3-414C-A2A1-A767CD6BF176}"/>
            </c:ext>
          </c:extLst>
        </c:ser>
        <c:ser>
          <c:idx val="4"/>
          <c:order val="4"/>
          <c:tx>
            <c:v>Mitoitus VK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-0.13349543700860472"/>
                  <c:y val="7.45084109573063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350'!$AC$34:$AC$37</c:f>
              <c:numCache>
                <c:formatCode>0.0</c:formatCode>
                <c:ptCount val="4"/>
                <c:pt idx="0">
                  <c:v>140.61049236686048</c:v>
                </c:pt>
                <c:pt idx="1">
                  <c:v>113.80164516270624</c:v>
                </c:pt>
                <c:pt idx="2">
                  <c:v>81.229420040808208</c:v>
                </c:pt>
                <c:pt idx="3">
                  <c:v>51.130388640676429</c:v>
                </c:pt>
              </c:numCache>
            </c:numRef>
          </c:xVal>
          <c:yVal>
            <c:numRef>
              <c:f>'Laskenta poistopuoli 350'!$AL$34:$AL$37</c:f>
              <c:numCache>
                <c:formatCode>General</c:formatCode>
                <c:ptCount val="4"/>
                <c:pt idx="0">
                  <c:v>692.1703690900581</c:v>
                </c:pt>
                <c:pt idx="1">
                  <c:v>457.40497487066557</c:v>
                </c:pt>
                <c:pt idx="2">
                  <c:v>250.22891770891647</c:v>
                </c:pt>
                <c:pt idx="3">
                  <c:v>106.2438431110663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0E3-414C-A2A1-A767CD6BF176}"/>
            </c:ext>
          </c:extLst>
        </c:ser>
        <c:ser>
          <c:idx val="5"/>
          <c:order val="5"/>
          <c:tx>
            <c:v>Mitotuspiste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350'!$J$3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350'!$W$2</c:f>
              <c:numCache>
                <c:formatCode>0.0</c:formatCode>
                <c:ptCount val="1"/>
                <c:pt idx="0">
                  <c:v>71.225569239318858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0E3-414C-A2A1-A767CD6BF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814496"/>
        <c:axId val="732813840"/>
      </c:scatterChart>
      <c:valAx>
        <c:axId val="732814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3840"/>
        <c:crosses val="autoZero"/>
        <c:crossBetween val="midCat"/>
      </c:valAx>
      <c:valAx>
        <c:axId val="732813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32814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vaipan läpi 130'!$N$15:$N$24</c:f>
              <c:numCache>
                <c:formatCode>General</c:formatCode>
                <c:ptCount val="10"/>
                <c:pt idx="5">
                  <c:v>500</c:v>
                </c:pt>
                <c:pt idx="6" formatCode="0.0">
                  <c:v>46.761998862738068</c:v>
                </c:pt>
                <c:pt idx="7" formatCode="0.0">
                  <c:v>42.07803596728656</c:v>
                </c:pt>
                <c:pt idx="8" formatCode="0.0">
                  <c:v>35.691045949143046</c:v>
                </c:pt>
                <c:pt idx="9" formatCode="0.0">
                  <c:v>29.02976791085376</c:v>
                </c:pt>
              </c:numCache>
            </c:numRef>
          </c:xVal>
          <c:yVal>
            <c:numRef>
              <c:f>'Laskenta vaipan läpi 130'!$Q$15:$Q$24</c:f>
              <c:numCache>
                <c:formatCode>General</c:formatCode>
                <c:ptCount val="10"/>
                <c:pt idx="5">
                  <c:v>4000</c:v>
                </c:pt>
                <c:pt idx="6" formatCode="0.0">
                  <c:v>28.38770669872595</c:v>
                </c:pt>
                <c:pt idx="7" formatCode="0.0">
                  <c:v>24.872746120590968</c:v>
                </c:pt>
                <c:pt idx="8" formatCode="0.0">
                  <c:v>17.577062138013034</c:v>
                </c:pt>
                <c:pt idx="9" formatCode="0.0">
                  <c:v>5.3019472550635438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91-4635-9B50-91E5FE98F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6274984"/>
        <c:axId val="886276952"/>
      </c:scatterChart>
      <c:valAx>
        <c:axId val="886274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6952"/>
        <c:crosses val="autoZero"/>
        <c:crossBetween val="midCat"/>
      </c:valAx>
      <c:valAx>
        <c:axId val="886276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86274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Okt korjaukset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350'!$AI$6:$AP$6</c:f>
              <c:numCache>
                <c:formatCode>0.0</c:formatCode>
                <c:ptCount val="8"/>
                <c:pt idx="0">
                  <c:v>15.892209228358126</c:v>
                </c:pt>
                <c:pt idx="1">
                  <c:v>12.390296852760258</c:v>
                </c:pt>
                <c:pt idx="2">
                  <c:v>4.112607902486495</c:v>
                </c:pt>
                <c:pt idx="3">
                  <c:v>-9.0182970698818679</c:v>
                </c:pt>
                <c:pt idx="4">
                  <c:v>-14.465242753896689</c:v>
                </c:pt>
                <c:pt idx="5">
                  <c:v>-15.779984741048047</c:v>
                </c:pt>
                <c:pt idx="6">
                  <c:v>-15.534678562698971</c:v>
                </c:pt>
                <c:pt idx="7">
                  <c:v>-16.525415074159966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3-4E62-84DE-EEA78C3F3641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350'!$AI$7:$AP$7</c:f>
              <c:numCache>
                <c:formatCode>0.0</c:formatCode>
                <c:ptCount val="8"/>
                <c:pt idx="0">
                  <c:v>16.15839781661937</c:v>
                </c:pt>
                <c:pt idx="1">
                  <c:v>12.237056867910411</c:v>
                </c:pt>
                <c:pt idx="2">
                  <c:v>4.3223541109163648</c:v>
                </c:pt>
                <c:pt idx="3">
                  <c:v>-9.6510265124299082</c:v>
                </c:pt>
                <c:pt idx="4">
                  <c:v>-14.212039846494221</c:v>
                </c:pt>
                <c:pt idx="5">
                  <c:v>-16.391966198860842</c:v>
                </c:pt>
                <c:pt idx="6">
                  <c:v>-15.616838605059066</c:v>
                </c:pt>
                <c:pt idx="7">
                  <c:v>-16.696777305981719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3-4E62-84DE-EEA78C3F3641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350'!$AI$8:$AP$8</c:f>
              <c:numCache>
                <c:formatCode>0.0</c:formatCode>
                <c:ptCount val="8"/>
                <c:pt idx="0">
                  <c:v>16.47614475441739</c:v>
                </c:pt>
                <c:pt idx="1">
                  <c:v>13.506505171812393</c:v>
                </c:pt>
                <c:pt idx="2">
                  <c:v>3.5305275760317159</c:v>
                </c:pt>
                <c:pt idx="3">
                  <c:v>-11.816875289243988</c:v>
                </c:pt>
                <c:pt idx="4">
                  <c:v>-15.81136627837985</c:v>
                </c:pt>
                <c:pt idx="5">
                  <c:v>-16.408441862324409</c:v>
                </c:pt>
                <c:pt idx="6">
                  <c:v>-17.829229980192622</c:v>
                </c:pt>
                <c:pt idx="7">
                  <c:v>-18.897640783128537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3-4E62-84DE-EEA78C3F3641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350'!$AI$9:$AP$9</c:f>
              <c:numCache>
                <c:formatCode>0.0</c:formatCode>
                <c:ptCount val="8"/>
                <c:pt idx="0">
                  <c:v>17.120820773013683</c:v>
                </c:pt>
                <c:pt idx="1">
                  <c:v>12.187913716943818</c:v>
                </c:pt>
                <c:pt idx="2">
                  <c:v>4.003202166531743</c:v>
                </c:pt>
                <c:pt idx="3">
                  <c:v>-9.2049934948282655</c:v>
                </c:pt>
                <c:pt idx="4">
                  <c:v>-13.221934040161486</c:v>
                </c:pt>
                <c:pt idx="5">
                  <c:v>-18.298214676881113</c:v>
                </c:pt>
                <c:pt idx="6">
                  <c:v>-16.526809077840689</c:v>
                </c:pt>
                <c:pt idx="7">
                  <c:v>-17.610055377026107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53-4E62-84DE-EEA78C3F3641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350'!$AI$10:$AP$10</c:f>
              <c:numCache>
                <c:formatCode>0.0</c:formatCode>
                <c:ptCount val="8"/>
                <c:pt idx="0">
                  <c:v>17.27959904904624</c:v>
                </c:pt>
                <c:pt idx="1">
                  <c:v>12.001819811878264</c:v>
                </c:pt>
                <c:pt idx="2">
                  <c:v>4.242918290410401</c:v>
                </c:pt>
                <c:pt idx="3">
                  <c:v>-9.5256621294263297</c:v>
                </c:pt>
                <c:pt idx="4">
                  <c:v>-13.499663314327584</c:v>
                </c:pt>
                <c:pt idx="5">
                  <c:v>-18.066973381583946</c:v>
                </c:pt>
                <c:pt idx="6">
                  <c:v>-16.617141908769781</c:v>
                </c:pt>
                <c:pt idx="7">
                  <c:v>-18.02686628889467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3-4E62-84DE-EEA78C3F3641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350'!$AI$11:$AP$11</c:f>
              <c:numCache>
                <c:formatCode>0.0</c:formatCode>
                <c:ptCount val="8"/>
                <c:pt idx="0">
                  <c:v>18.649137241509351</c:v>
                </c:pt>
                <c:pt idx="1">
                  <c:v>12.435987080883969</c:v>
                </c:pt>
                <c:pt idx="2">
                  <c:v>2.7968089202831052</c:v>
                </c:pt>
                <c:pt idx="3">
                  <c:v>-11.210120102424213</c:v>
                </c:pt>
                <c:pt idx="4">
                  <c:v>-14.655517805794382</c:v>
                </c:pt>
                <c:pt idx="5">
                  <c:v>-18.034362138387582</c:v>
                </c:pt>
                <c:pt idx="6">
                  <c:v>-19.848748611306853</c:v>
                </c:pt>
                <c:pt idx="7">
                  <c:v>-20.92987764070163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53-4E62-84DE-EEA78C3F3641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350'!$AI$12:$AP$12</c:f>
              <c:numCache>
                <c:formatCode>0.0</c:formatCode>
                <c:ptCount val="8"/>
                <c:pt idx="0">
                  <c:v>17.968871268612119</c:v>
                </c:pt>
                <c:pt idx="1">
                  <c:v>12.487033142273155</c:v>
                </c:pt>
                <c:pt idx="2">
                  <c:v>3.591233802437344</c:v>
                </c:pt>
                <c:pt idx="3">
                  <c:v>-8.4511014776597406</c:v>
                </c:pt>
                <c:pt idx="4">
                  <c:v>-12.675707610821242</c:v>
                </c:pt>
                <c:pt idx="5">
                  <c:v>-19.644585689622808</c:v>
                </c:pt>
                <c:pt idx="6">
                  <c:v>-17.94513656488375</c:v>
                </c:pt>
                <c:pt idx="7">
                  <c:v>-19.739901384291933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C53-4E62-84DE-EEA78C3F3641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350'!$AI$13:$AP$13</c:f>
              <c:numCache>
                <c:formatCode>0.0</c:formatCode>
                <c:ptCount val="8"/>
                <c:pt idx="0">
                  <c:v>18.658351448908689</c:v>
                </c:pt>
                <c:pt idx="1">
                  <c:v>12.259907698724888</c:v>
                </c:pt>
                <c:pt idx="2">
                  <c:v>2.9398314082594368</c:v>
                </c:pt>
                <c:pt idx="3">
                  <c:v>-8.576155223044303</c:v>
                </c:pt>
                <c:pt idx="4">
                  <c:v>-11.813090026091018</c:v>
                </c:pt>
                <c:pt idx="5">
                  <c:v>-18.843051095724537</c:v>
                </c:pt>
                <c:pt idx="6">
                  <c:v>-18.778569362834368</c:v>
                </c:pt>
                <c:pt idx="7">
                  <c:v>-20.396806059381596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53-4E62-84DE-EEA78C3F3641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'Laskenta vaipan läpi 350'!$AI$14:$AP$14</c:f>
              <c:numCache>
                <c:formatCode>0.0</c:formatCode>
                <c:ptCount val="8"/>
                <c:pt idx="0">
                  <c:v>19.753520924686597</c:v>
                </c:pt>
                <c:pt idx="1">
                  <c:v>12.730179522959567</c:v>
                </c:pt>
                <c:pt idx="2">
                  <c:v>1.7867648912759933</c:v>
                </c:pt>
                <c:pt idx="3">
                  <c:v>-9.8377006024524292</c:v>
                </c:pt>
                <c:pt idx="4">
                  <c:v>-15.909018141675478</c:v>
                </c:pt>
                <c:pt idx="5">
                  <c:v>-19.536977175345569</c:v>
                </c:pt>
                <c:pt idx="6">
                  <c:v>-20.665188281053517</c:v>
                </c:pt>
                <c:pt idx="7">
                  <c:v>-22.498505678172393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53-4E62-84DE-EEA78C3F3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51806408"/>
        <c:axId val="851813296"/>
      </c:lineChart>
      <c:catAx>
        <c:axId val="851806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13296"/>
        <c:crosses val="autoZero"/>
        <c:auto val="1"/>
        <c:lblAlgn val="ctr"/>
        <c:lblOffset val="100"/>
        <c:noMultiLvlLbl val="0"/>
      </c:catAx>
      <c:valAx>
        <c:axId val="85181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5180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50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51725896762904633"/>
                  <c:y val="4.43824730242053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350'!$N$8:$N$14</c:f>
              <c:numCache>
                <c:formatCode>0</c:formatCode>
                <c:ptCount val="7"/>
                <c:pt idx="0">
                  <c:v>4388.9688496702984</c:v>
                </c:pt>
                <c:pt idx="1">
                  <c:v>5309.2365116979418</c:v>
                </c:pt>
                <c:pt idx="2">
                  <c:v>8494.7784187167072</c:v>
                </c:pt>
                <c:pt idx="3">
                  <c:v>4388.9688496702984</c:v>
                </c:pt>
                <c:pt idx="4">
                  <c:v>3964.2299287344631</c:v>
                </c:pt>
                <c:pt idx="5">
                  <c:v>3539.4910077986274</c:v>
                </c:pt>
                <c:pt idx="6">
                  <c:v>3114.7520868627926</c:v>
                </c:pt>
              </c:numCache>
            </c:numRef>
          </c:xVal>
          <c:yVal>
            <c:numRef>
              <c:f>'Laskenta vesipatteri 350'!$O$8:$O$14</c:f>
              <c:numCache>
                <c:formatCode>0.0</c:formatCode>
                <c:ptCount val="7"/>
                <c:pt idx="0">
                  <c:v>0.29666666666665975</c:v>
                </c:pt>
                <c:pt idx="1">
                  <c:v>-0.4704301075268873</c:v>
                </c:pt>
                <c:pt idx="2">
                  <c:v>0.72365591397849016</c:v>
                </c:pt>
                <c:pt idx="3">
                  <c:v>0.29666666666665975</c:v>
                </c:pt>
                <c:pt idx="4">
                  <c:v>0.41311827956988623</c:v>
                </c:pt>
                <c:pt idx="5">
                  <c:v>-0.4704301075268873</c:v>
                </c:pt>
                <c:pt idx="6">
                  <c:v>-0.85397849462366082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5-4CB1-9131-0F6C6CC5AC0F}"/>
            </c:ext>
          </c:extLst>
        </c:ser>
        <c:ser>
          <c:idx val="1"/>
          <c:order val="1"/>
          <c:tx>
            <c:v>100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3798556430446199E-2"/>
                  <c:y val="0.3923749635462233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350'!$N$18:$N$22</c:f>
              <c:numCache>
                <c:formatCode>0</c:formatCode>
                <c:ptCount val="5"/>
                <c:pt idx="0">
                  <c:v>3822.6502884225179</c:v>
                </c:pt>
                <c:pt idx="1">
                  <c:v>7078.9820155972548</c:v>
                </c:pt>
                <c:pt idx="2">
                  <c:v>6512.6634543494738</c:v>
                </c:pt>
                <c:pt idx="3">
                  <c:v>5663.1856124778033</c:v>
                </c:pt>
                <c:pt idx="4">
                  <c:v>4955.2874109180793</c:v>
                </c:pt>
              </c:numCache>
            </c:numRef>
          </c:xVal>
          <c:yVal>
            <c:numRef>
              <c:f>'Laskenta vesipatteri 350'!$O$18:$O$22</c:f>
              <c:numCache>
                <c:formatCode>0.0</c:formatCode>
                <c:ptCount val="5"/>
                <c:pt idx="0">
                  <c:v>-4.9372606692935204</c:v>
                </c:pt>
                <c:pt idx="1">
                  <c:v>0.89649814085133528</c:v>
                </c:pt>
                <c:pt idx="2">
                  <c:v>1.1047782895832228</c:v>
                </c:pt>
                <c:pt idx="3">
                  <c:v>-0.58280148731893533</c:v>
                </c:pt>
                <c:pt idx="4">
                  <c:v>-1.0724513014040689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55-4CB1-9131-0F6C6CC5AC0F}"/>
            </c:ext>
          </c:extLst>
        </c:ser>
        <c:ser>
          <c:idx val="2"/>
          <c:order val="2"/>
          <c:tx>
            <c:v>200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350'!$N$26:$N$30</c:f>
              <c:numCache>
                <c:formatCode>0</c:formatCode>
                <c:ptCount val="5"/>
                <c:pt idx="0">
                  <c:v>6158.7143535696114</c:v>
                </c:pt>
                <c:pt idx="1">
                  <c:v>11184.791584643664</c:v>
                </c:pt>
                <c:pt idx="2">
                  <c:v>9910.5748218361587</c:v>
                </c:pt>
                <c:pt idx="3">
                  <c:v>8494.7784187167072</c:v>
                </c:pt>
                <c:pt idx="4">
                  <c:v>7503.72093653309</c:v>
                </c:pt>
              </c:numCache>
            </c:numRef>
          </c:xVal>
          <c:yVal>
            <c:numRef>
              <c:f>'Laskenta vesipatteri 350'!$O$26:$O$30</c:f>
              <c:numCache>
                <c:formatCode>0.0</c:formatCode>
                <c:ptCount val="5"/>
                <c:pt idx="0">
                  <c:v>-4.338843364415558</c:v>
                </c:pt>
                <c:pt idx="1">
                  <c:v>1.4390129038334791</c:v>
                </c:pt>
                <c:pt idx="2">
                  <c:v>-0.11100122445134986</c:v>
                </c:pt>
                <c:pt idx="3">
                  <c:v>-2.1665724781011555</c:v>
                </c:pt>
                <c:pt idx="4">
                  <c:v>-2.2054723556560205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55-4CB1-9131-0F6C6CC5AC0F}"/>
            </c:ext>
          </c:extLst>
        </c:ser>
        <c:ser>
          <c:idx val="3"/>
          <c:order val="3"/>
          <c:tx>
            <c:v>300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350'!$N$34:$N$38</c:f>
              <c:numCache>
                <c:formatCode>0</c:formatCode>
                <c:ptCount val="5"/>
                <c:pt idx="0">
                  <c:v>7645.3005768450357</c:v>
                </c:pt>
                <c:pt idx="1">
                  <c:v>14299.543671506455</c:v>
                </c:pt>
                <c:pt idx="2">
                  <c:v>12175.849066827279</c:v>
                </c:pt>
                <c:pt idx="3">
                  <c:v>10760.052663707826</c:v>
                </c:pt>
                <c:pt idx="4">
                  <c:v>9202.676620276432</c:v>
                </c:pt>
              </c:numCache>
            </c:numRef>
          </c:xVal>
          <c:yVal>
            <c:numRef>
              <c:f>'Laskenta vesipatteri 350'!$O$34:$O$38</c:f>
              <c:numCache>
                <c:formatCode>0.0</c:formatCode>
                <c:ptCount val="5"/>
                <c:pt idx="0">
                  <c:v>-4.4844630116410027</c:v>
                </c:pt>
                <c:pt idx="1">
                  <c:v>2.5297009951182972</c:v>
                </c:pt>
                <c:pt idx="2">
                  <c:v>-0.93510608336461587</c:v>
                </c:pt>
                <c:pt idx="3">
                  <c:v>-1.7449774690198936</c:v>
                </c:pt>
                <c:pt idx="4">
                  <c:v>-2.9858359932406984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455-4CB1-9131-0F6C6CC5A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86560"/>
        <c:axId val="630285904"/>
      </c:scatterChart>
      <c:valAx>
        <c:axId val="630286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5904"/>
        <c:crosses val="autoZero"/>
        <c:crossBetween val="midCat"/>
      </c:valAx>
      <c:valAx>
        <c:axId val="6302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0286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350'!$S$24:$S$27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350'!$T$24:$T$27</c:f>
              <c:numCache>
                <c:formatCode>0.00</c:formatCode>
                <c:ptCount val="4"/>
                <c:pt idx="0">
                  <c:v>0.3</c:v>
                </c:pt>
                <c:pt idx="1">
                  <c:v>-4.5</c:v>
                </c:pt>
                <c:pt idx="2">
                  <c:v>-4.5</c:v>
                </c:pt>
                <c:pt idx="3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5F-4391-8B20-E81BCD92C74D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'Laskenta vesipatteri 350'!$I$6</c:f>
              <c:numCache>
                <c:formatCode>0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vesipatteri 350'!$S$22</c:f>
              <c:numCache>
                <c:formatCode>0.00</c:formatCode>
                <c:ptCount val="1"/>
                <c:pt idx="0">
                  <c:v>0.3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4B-4F0A-A55B-35AD3D4E6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EN 308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'Kojeet ja kennon hyötysuhde'!$E$24:$E$30</c:f>
              <c:numCache>
                <c:formatCode>General</c:formatCode>
                <c:ptCount val="7"/>
                <c:pt idx="0">
                  <c:v>18</c:v>
                </c:pt>
                <c:pt idx="1">
                  <c:v>28</c:v>
                </c:pt>
                <c:pt idx="2">
                  <c:v>36</c:v>
                </c:pt>
                <c:pt idx="3">
                  <c:v>61.5</c:v>
                </c:pt>
                <c:pt idx="4">
                  <c:v>90</c:v>
                </c:pt>
                <c:pt idx="5">
                  <c:v>130</c:v>
                </c:pt>
                <c:pt idx="6">
                  <c:v>130</c:v>
                </c:pt>
              </c:numCache>
            </c:numRef>
          </c:xVal>
          <c:yVal>
            <c:numRef>
              <c:f>'Kojeet ja kennon hyötysuhde'!$H$24:$H$30</c:f>
              <c:numCache>
                <c:formatCode>General</c:formatCode>
                <c:ptCount val="7"/>
                <c:pt idx="0">
                  <c:v>81.75</c:v>
                </c:pt>
                <c:pt idx="1">
                  <c:v>81.5</c:v>
                </c:pt>
                <c:pt idx="2">
                  <c:v>81</c:v>
                </c:pt>
                <c:pt idx="3">
                  <c:v>80.3</c:v>
                </c:pt>
                <c:pt idx="4">
                  <c:v>79.5</c:v>
                </c:pt>
                <c:pt idx="5">
                  <c:v>78.2</c:v>
                </c:pt>
                <c:pt idx="6">
                  <c:v>78.2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49-456D-B212-A310A897648A}"/>
            </c:ext>
          </c:extLst>
        </c:ser>
        <c:ser>
          <c:idx val="1"/>
          <c:order val="1"/>
          <c:tx>
            <c:v>Mitoitus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'Kojeet ja kennon hyötysuhde'!$F$36</c:f>
              <c:numCache>
                <c:formatCode>0</c:formatCode>
                <c:ptCount val="1"/>
                <c:pt idx="0">
                  <c:v>40</c:v>
                </c:pt>
              </c:numCache>
            </c:numRef>
          </c:xVal>
          <c:yVal>
            <c:numRef>
              <c:f>'Kojeet ja kennon hyötysuhde'!$F$39</c:f>
              <c:numCache>
                <c:formatCode>0.0</c:formatCode>
                <c:ptCount val="1"/>
                <c:pt idx="0">
                  <c:v>80.890196078431373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49-456D-B212-A310A8976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477087"/>
        <c:axId val="740456447"/>
      </c:scatterChart>
      <c:valAx>
        <c:axId val="74047708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56447"/>
        <c:crosses val="autoZero"/>
        <c:crossBetween val="midCat"/>
      </c:valAx>
      <c:valAx>
        <c:axId val="740456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4047708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forward val="50"/>
            <c:dispRSqr val="1"/>
            <c:dispEq val="1"/>
            <c:trendlineLbl>
              <c:layout>
                <c:manualLayout>
                  <c:x val="-0.28496216097987753"/>
                  <c:y val="-2.3564814814814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vesipatteri 350'!$M$43:$M$46</c:f>
              <c:numCache>
                <c:formatCode>General</c:formatCode>
                <c:ptCount val="4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</c:numCache>
            </c:numRef>
          </c:xVal>
          <c:yVal>
            <c:numRef>
              <c:f>'Laskenta vesipatteri 350'!$N$43:$N$46</c:f>
              <c:numCache>
                <c:formatCode>0.000</c:formatCode>
                <c:ptCount val="4"/>
                <c:pt idx="0">
                  <c:v>0.10403848305179553</c:v>
                </c:pt>
                <c:pt idx="1">
                  <c:v>0.14328085241730276</c:v>
                </c:pt>
                <c:pt idx="2">
                  <c:v>0.19780158360503025</c:v>
                </c:pt>
                <c:pt idx="3">
                  <c:v>0.23202548533776235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D6E-4AF1-9637-8A42024A5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5206696"/>
        <c:axId val="635207024"/>
      </c:scatterChart>
      <c:valAx>
        <c:axId val="635206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7024"/>
        <c:crosses val="autoZero"/>
        <c:crossBetween val="midCat"/>
      </c:valAx>
      <c:valAx>
        <c:axId val="63520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35206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100'!$D$59:$D$62</c:f>
              <c:numCache>
                <c:formatCode>0.0</c:formatCode>
                <c:ptCount val="4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</c:numCache>
            </c:numRef>
          </c:xVal>
          <c:yVal>
            <c:numRef>
              <c:f>'Laskenta tulopuoli 100'!$E$59:$E$62</c:f>
              <c:numCache>
                <c:formatCode>0.0</c:formatCode>
                <c:ptCount val="4"/>
                <c:pt idx="0">
                  <c:v>60.180326897119542</c:v>
                </c:pt>
                <c:pt idx="1">
                  <c:v>61.456607403903462</c:v>
                </c:pt>
                <c:pt idx="2">
                  <c:v>62.50621121454131</c:v>
                </c:pt>
                <c:pt idx="3">
                  <c:v>62.149005233465246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98-435A-BF85-136F4F99A6D3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100'!$D$64:$D$67</c:f>
              <c:numCache>
                <c:formatCode>0.0</c:formatCode>
                <c:ptCount val="4"/>
                <c:pt idx="0">
                  <c:v>71.593636363636364</c:v>
                </c:pt>
                <c:pt idx="1">
                  <c:v>58.130909090909093</c:v>
                </c:pt>
                <c:pt idx="2">
                  <c:v>42.961818181818181</c:v>
                </c:pt>
                <c:pt idx="3">
                  <c:v>24.492727272727276</c:v>
                </c:pt>
              </c:numCache>
            </c:numRef>
          </c:xVal>
          <c:yVal>
            <c:numRef>
              <c:f>'Laskenta tulopuoli 100'!$E$64:$E$67</c:f>
              <c:numCache>
                <c:formatCode>0.0</c:formatCode>
                <c:ptCount val="4"/>
                <c:pt idx="0">
                  <c:v>55.838973854241011</c:v>
                </c:pt>
                <c:pt idx="1">
                  <c:v>56.980393615773181</c:v>
                </c:pt>
                <c:pt idx="2">
                  <c:v>56.813930556628023</c:v>
                </c:pt>
                <c:pt idx="3">
                  <c:v>56.538389487610488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098-435A-BF85-136F4F99A6D3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100'!$D$69:$D$72</c:f>
              <c:numCache>
                <c:formatCode>0.0</c:formatCode>
                <c:ptCount val="4"/>
                <c:pt idx="0">
                  <c:v>48.453636363636363</c:v>
                </c:pt>
                <c:pt idx="1">
                  <c:v>39.006666666666668</c:v>
                </c:pt>
                <c:pt idx="2">
                  <c:v>29.039090909090906</c:v>
                </c:pt>
                <c:pt idx="3">
                  <c:v>17.136363636363637</c:v>
                </c:pt>
              </c:numCache>
            </c:numRef>
          </c:xVal>
          <c:yVal>
            <c:numRef>
              <c:f>'Laskenta tulopuoli 100'!$E$69:$E$72</c:f>
              <c:numCache>
                <c:formatCode>0.0</c:formatCode>
                <c:ptCount val="4"/>
                <c:pt idx="0">
                  <c:v>49.799365980303392</c:v>
                </c:pt>
                <c:pt idx="1">
                  <c:v>50.541339372801886</c:v>
                </c:pt>
                <c:pt idx="2">
                  <c:v>50.173067772041257</c:v>
                </c:pt>
                <c:pt idx="3">
                  <c:v>49.774669272965056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098-435A-BF85-136F4F99A6D3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100'!$D$74:$D$77</c:f>
              <c:numCache>
                <c:formatCode>0.0</c:formatCode>
                <c:ptCount val="4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8.8800000000000008</c:v>
                </c:pt>
              </c:numCache>
            </c:numRef>
          </c:xVal>
          <c:yVal>
            <c:numRef>
              <c:f>'Laskenta tulopuoli 100'!$E$74:$E$77</c:f>
              <c:numCache>
                <c:formatCode>0.0</c:formatCode>
                <c:ptCount val="4"/>
                <c:pt idx="0">
                  <c:v>38.632326393106936</c:v>
                </c:pt>
                <c:pt idx="1">
                  <c:v>39.344215844681003</c:v>
                </c:pt>
                <c:pt idx="2">
                  <c:v>37.758734004584319</c:v>
                </c:pt>
                <c:pt idx="3">
                  <c:v>37.81432117265679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098-435A-BF85-136F4F99A6D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8-435A-BF85-136F4F99A6D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098-435A-BF85-136F4F99A6D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78.998758182979643</c:v>
                </c:pt>
                <c:pt idx="1">
                  <c:v>59.214582793261208</c:v>
                </c:pt>
                <c:pt idx="2">
                  <c:v>40.79830275672176</c:v>
                </c:pt>
                <c:pt idx="3">
                  <c:v>19.493537770924483</c:v>
                </c:pt>
              </c:numCache>
            </c:numRef>
          </c:xVal>
          <c:yVal>
            <c:numRef>
              <c:f>'Laskenta tulopuoli 100'!$AF$34:$AF$37</c:f>
              <c:numCache>
                <c:formatCode>0.0</c:formatCode>
                <c:ptCount val="4"/>
                <c:pt idx="0">
                  <c:v>61.512772573981714</c:v>
                </c:pt>
                <c:pt idx="1">
                  <c:v>56.691096828338281</c:v>
                </c:pt>
                <c:pt idx="2">
                  <c:v>50.28496561893057</c:v>
                </c:pt>
                <c:pt idx="3">
                  <c:v>38.661703756299488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098-435A-BF85-136F4F99A6D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100'!$W$5</c:f>
              <c:numCache>
                <c:formatCode>0.0</c:formatCode>
                <c:ptCount val="1"/>
                <c:pt idx="0">
                  <c:v>50.261760152608929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098-435A-BF85-136F4F99A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100'!$N$59:$N$62</c:f>
              <c:numCache>
                <c:formatCode>0.0</c:formatCode>
                <c:ptCount val="4"/>
                <c:pt idx="0">
                  <c:v>95.407272727272726</c:v>
                </c:pt>
                <c:pt idx="1">
                  <c:v>77.219090909090923</c:v>
                </c:pt>
                <c:pt idx="2">
                  <c:v>59.029999999999994</c:v>
                </c:pt>
                <c:pt idx="3">
                  <c:v>38.99818181818182</c:v>
                </c:pt>
              </c:numCache>
            </c:numRef>
          </c:xVal>
          <c:yVal>
            <c:numRef>
              <c:f>'Laskenta tulopuoli 100'!$O$59:$O$62</c:f>
              <c:numCache>
                <c:formatCode>0.0</c:formatCode>
                <c:ptCount val="4"/>
                <c:pt idx="0">
                  <c:v>72.434028068386084</c:v>
                </c:pt>
                <c:pt idx="1">
                  <c:v>73.081985525444978</c:v>
                </c:pt>
                <c:pt idx="2">
                  <c:v>73.639643529409511</c:v>
                </c:pt>
                <c:pt idx="3">
                  <c:v>74.143482700632447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91-4D4B-AE70-AB116E669A24}"/>
            </c:ext>
          </c:extLst>
        </c:ser>
        <c:ser>
          <c:idx val="1"/>
          <c:order val="1"/>
          <c:tx>
            <c:strRef>
              <c:f>'Laskenta tulopuoli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100'!$N$64:$N$67</c:f>
              <c:numCache>
                <c:formatCode>0.0</c:formatCode>
                <c:ptCount val="4"/>
                <c:pt idx="0">
                  <c:v>71.99636363636364</c:v>
                </c:pt>
                <c:pt idx="1">
                  <c:v>56.690000000000012</c:v>
                </c:pt>
                <c:pt idx="2">
                  <c:v>44.324545454545458</c:v>
                </c:pt>
                <c:pt idx="3">
                  <c:v>29.030909090909088</c:v>
                </c:pt>
              </c:numCache>
            </c:numRef>
          </c:xVal>
          <c:yVal>
            <c:numRef>
              <c:f>'Laskenta tulopuoli 100'!$O$64:$O$67</c:f>
              <c:numCache>
                <c:formatCode>0.0</c:formatCode>
                <c:ptCount val="4"/>
                <c:pt idx="0">
                  <c:v>67.703973728550324</c:v>
                </c:pt>
                <c:pt idx="1">
                  <c:v>67.260898795552592</c:v>
                </c:pt>
                <c:pt idx="2">
                  <c:v>67.765318576720148</c:v>
                </c:pt>
                <c:pt idx="3">
                  <c:v>67.64137602780049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91-4D4B-AE70-AB116E669A24}"/>
            </c:ext>
          </c:extLst>
        </c:ser>
        <c:ser>
          <c:idx val="2"/>
          <c:order val="2"/>
          <c:tx>
            <c:strRef>
              <c:f>'Laskenta tulopuoli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100'!$N$69:$N$72</c:f>
              <c:numCache>
                <c:formatCode>0.0</c:formatCode>
                <c:ptCount val="4"/>
                <c:pt idx="0">
                  <c:v>49.231818181818191</c:v>
                </c:pt>
                <c:pt idx="1">
                  <c:v>40.072727272727271</c:v>
                </c:pt>
                <c:pt idx="2">
                  <c:v>30.720000000000002</c:v>
                </c:pt>
                <c:pt idx="3">
                  <c:v>19.857272727272729</c:v>
                </c:pt>
              </c:numCache>
            </c:numRef>
          </c:xVal>
          <c:yVal>
            <c:numRef>
              <c:f>'Laskenta tulopuoli 100'!$O$69:$O$72</c:f>
              <c:numCache>
                <c:formatCode>0.0</c:formatCode>
                <c:ptCount val="4"/>
                <c:pt idx="0">
                  <c:v>60.990690037945541</c:v>
                </c:pt>
                <c:pt idx="1">
                  <c:v>60.942920884584417</c:v>
                </c:pt>
                <c:pt idx="2">
                  <c:v>61.016773499151313</c:v>
                </c:pt>
                <c:pt idx="3">
                  <c:v>60.158306495107098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91-4D4B-AE70-AB116E669A24}"/>
            </c:ext>
          </c:extLst>
        </c:ser>
        <c:ser>
          <c:idx val="3"/>
          <c:order val="3"/>
          <c:tx>
            <c:strRef>
              <c:f>'Laskenta tulopuoli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100'!$N$74:$N$77</c:f>
              <c:numCache>
                <c:formatCode>0.0</c:formatCode>
                <c:ptCount val="4"/>
                <c:pt idx="0">
                  <c:v>21.793636363636359</c:v>
                </c:pt>
                <c:pt idx="1">
                  <c:v>19.188181818181821</c:v>
                </c:pt>
                <c:pt idx="2">
                  <c:v>15.046363636363639</c:v>
                </c:pt>
                <c:pt idx="3">
                  <c:v>9.67090909090909</c:v>
                </c:pt>
              </c:numCache>
            </c:numRef>
          </c:xVal>
          <c:yVal>
            <c:numRef>
              <c:f>'Laskenta tulopuoli 100'!$O$74:$O$77</c:f>
              <c:numCache>
                <c:formatCode>0.0</c:formatCode>
                <c:ptCount val="4"/>
                <c:pt idx="0">
                  <c:v>49.813501297965026</c:v>
                </c:pt>
                <c:pt idx="1">
                  <c:v>50.04941091899903</c:v>
                </c:pt>
                <c:pt idx="2">
                  <c:v>49.468484079007489</c:v>
                </c:pt>
                <c:pt idx="3">
                  <c:v>48.329792466244619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91-4D4B-AE70-AB116E669A2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78.998758182979643</c:v>
                </c:pt>
                <c:pt idx="1">
                  <c:v>59.214582793261208</c:v>
                </c:pt>
                <c:pt idx="2">
                  <c:v>40.79830275672176</c:v>
                </c:pt>
                <c:pt idx="3">
                  <c:v>19.493537770924483</c:v>
                </c:pt>
              </c:numCache>
            </c:numRef>
          </c:xVal>
          <c:yVal>
            <c:numRef>
              <c:f>'Laskenta tulopuoli 100'!$AG$34:$AG$37</c:f>
              <c:numCache>
                <c:formatCode>0.0</c:formatCode>
                <c:ptCount val="4"/>
                <c:pt idx="0">
                  <c:v>73.023385814684843</c:v>
                </c:pt>
                <c:pt idx="1">
                  <c:v>67.511750782572008</c:v>
                </c:pt>
                <c:pt idx="2">
                  <c:v>61.088457965958341</c:v>
                </c:pt>
                <c:pt idx="3">
                  <c:v>49.924326005973697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91-4D4B-AE70-AB116E669A2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100'!$W$6</c:f>
              <c:numCache>
                <c:formatCode>0.0</c:formatCode>
                <c:ptCount val="1"/>
                <c:pt idx="0">
                  <c:v>61.357079658636088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0D91-4D4B-AE70-AB116E669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tulopuoli 100'!$AJ$36:$AJ$38</c:f>
              <c:numCache>
                <c:formatCode>0.0</c:formatCode>
                <c:ptCount val="3"/>
                <c:pt idx="0">
                  <c:v>59.214582793261208</c:v>
                </c:pt>
                <c:pt idx="1">
                  <c:v>40.79830275672176</c:v>
                </c:pt>
                <c:pt idx="2">
                  <c:v>19.493537770924483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0D-4833-9738-96F4AE9D674B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tulopuoli 100'!$AJ$34:$AJ$35</c:f>
              <c:numCache>
                <c:formatCode>0.0</c:formatCode>
                <c:ptCount val="2"/>
                <c:pt idx="0">
                  <c:v>78.998758182979643</c:v>
                </c:pt>
                <c:pt idx="1">
                  <c:v>69.998733194116141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0D-4833-9738-96F4AE9D674B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100'!$W$9</c:f>
              <c:numCache>
                <c:formatCode>0.0</c:formatCode>
                <c:ptCount val="1"/>
                <c:pt idx="0">
                  <c:v>4.8478786723976857</c:v>
                </c:pt>
              </c:numCache>
            </c:numRef>
          </c:xVal>
          <c:y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0D-4833-9738-96F4AE9D674B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100'!$AO$36</c:f>
              <c:numCache>
                <c:formatCode>0.0</c:formatCode>
                <c:ptCount val="1"/>
                <c:pt idx="0">
                  <c:v>5.555140891889673</c:v>
                </c:pt>
              </c:numCache>
            </c:numRef>
          </c:xVal>
          <c:yVal>
            <c:numRef>
              <c:f>'Laskenta tulopuoli 100'!$AL$36</c:f>
              <c:numCache>
                <c:formatCode>0.0</c:formatCode>
                <c:ptCount val="1"/>
                <c:pt idx="0">
                  <c:v>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9B-48AA-9D33-EB0437800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100'!$X$59:$X$66</c:f>
              <c:numCache>
                <c:formatCode>0.0</c:formatCode>
                <c:ptCount val="8"/>
                <c:pt idx="0">
                  <c:v>95.520909090909086</c:v>
                </c:pt>
                <c:pt idx="1">
                  <c:v>78.172727272727286</c:v>
                </c:pt>
                <c:pt idx="2">
                  <c:v>56.99727272727273</c:v>
                </c:pt>
                <c:pt idx="3">
                  <c:v>32.736363636363635</c:v>
                </c:pt>
                <c:pt idx="4">
                  <c:v>95.407272727272726</c:v>
                </c:pt>
                <c:pt idx="5">
                  <c:v>77.219090909090923</c:v>
                </c:pt>
                <c:pt idx="6">
                  <c:v>59.029999999999994</c:v>
                </c:pt>
                <c:pt idx="7">
                  <c:v>38.99818181818182</c:v>
                </c:pt>
              </c:numCache>
            </c:numRef>
          </c:xVal>
          <c:yVal>
            <c:numRef>
              <c:f>'Laskenta tulopuoli 100'!$Y$59:$Y$66</c:f>
              <c:numCache>
                <c:formatCode>0.0</c:formatCode>
                <c:ptCount val="8"/>
                <c:pt idx="0">
                  <c:v>106.65063291523533</c:v>
                </c:pt>
                <c:pt idx="1">
                  <c:v>95.448490538974724</c:v>
                </c:pt>
                <c:pt idx="2">
                  <c:v>80.537498818479889</c:v>
                </c:pt>
                <c:pt idx="3">
                  <c:v>66.133043858226713</c:v>
                </c:pt>
                <c:pt idx="4">
                  <c:v>106.19633938032837</c:v>
                </c:pt>
                <c:pt idx="5">
                  <c:v>91.725088498374021</c:v>
                </c:pt>
                <c:pt idx="6">
                  <c:v>82.855372720521331</c:v>
                </c:pt>
                <c:pt idx="7">
                  <c:v>69.415027502984827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8-4F95-8BEE-76DF2E312ED5}"/>
            </c:ext>
          </c:extLst>
        </c:ser>
        <c:ser>
          <c:idx val="1"/>
          <c:order val="1"/>
          <c:tx>
            <c:strRef>
              <c:f>'Laskenta tulopuoli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100'!$X$68:$X$74</c:f>
              <c:numCache>
                <c:formatCode>0.0</c:formatCode>
                <c:ptCount val="7"/>
                <c:pt idx="0">
                  <c:v>71.593636363636364</c:v>
                </c:pt>
                <c:pt idx="1">
                  <c:v>58.130909090909093</c:v>
                </c:pt>
                <c:pt idx="2">
                  <c:v>24.492727272727276</c:v>
                </c:pt>
                <c:pt idx="3">
                  <c:v>71.99636363636364</c:v>
                </c:pt>
                <c:pt idx="4">
                  <c:v>56.690000000000012</c:v>
                </c:pt>
                <c:pt idx="5">
                  <c:v>44.324545454545458</c:v>
                </c:pt>
                <c:pt idx="6">
                  <c:v>29.030909090909088</c:v>
                </c:pt>
              </c:numCache>
            </c:numRef>
          </c:xVal>
          <c:yVal>
            <c:numRef>
              <c:f>'Laskenta tulopuoli 100'!$Y$68:$Y$74</c:f>
              <c:numCache>
                <c:formatCode>0.0</c:formatCode>
                <c:ptCount val="7"/>
                <c:pt idx="0">
                  <c:v>52.194949899355123</c:v>
                </c:pt>
                <c:pt idx="1">
                  <c:v>45.464837323019012</c:v>
                </c:pt>
                <c:pt idx="2">
                  <c:v>32.090640557202242</c:v>
                </c:pt>
                <c:pt idx="3">
                  <c:v>52.536219188228884</c:v>
                </c:pt>
                <c:pt idx="4">
                  <c:v>43.668066011702436</c:v>
                </c:pt>
                <c:pt idx="5">
                  <c:v>38.977527480776331</c:v>
                </c:pt>
                <c:pt idx="6">
                  <c:v>33.518757421823459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48-4F95-8BEE-76DF2E312ED5}"/>
            </c:ext>
          </c:extLst>
        </c:ser>
        <c:ser>
          <c:idx val="2"/>
          <c:order val="2"/>
          <c:tx>
            <c:strRef>
              <c:f>'Laskenta tulopuoli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100'!$X$76:$X$82</c:f>
              <c:numCache>
                <c:formatCode>0.0</c:formatCode>
                <c:ptCount val="7"/>
                <c:pt idx="0">
                  <c:v>48.453636363636363</c:v>
                </c:pt>
                <c:pt idx="1">
                  <c:v>39.006666666666668</c:v>
                </c:pt>
                <c:pt idx="2">
                  <c:v>17.136363636363637</c:v>
                </c:pt>
                <c:pt idx="3">
                  <c:v>49.231818181818191</c:v>
                </c:pt>
                <c:pt idx="4">
                  <c:v>40.072727272727271</c:v>
                </c:pt>
                <c:pt idx="5">
                  <c:v>30.720000000000002</c:v>
                </c:pt>
                <c:pt idx="6">
                  <c:v>19.857272727272729</c:v>
                </c:pt>
              </c:numCache>
            </c:numRef>
          </c:xVal>
          <c:yVal>
            <c:numRef>
              <c:f>'Laskenta tulopuoli 100'!$Y$76:$Y$82</c:f>
              <c:numCache>
                <c:formatCode>0.0</c:formatCode>
                <c:ptCount val="7"/>
                <c:pt idx="0">
                  <c:v>22.084999954212599</c:v>
                </c:pt>
                <c:pt idx="1">
                  <c:v>20.340828016323975</c:v>
                </c:pt>
                <c:pt idx="2">
                  <c:v>15.776092335456077</c:v>
                </c:pt>
                <c:pt idx="3">
                  <c:v>23.249163831892666</c:v>
                </c:pt>
                <c:pt idx="4">
                  <c:v>20.640400917798857</c:v>
                </c:pt>
                <c:pt idx="5">
                  <c:v>18.90122564173631</c:v>
                </c:pt>
                <c:pt idx="6">
                  <c:v>16.28554460898053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48-4F95-8BEE-76DF2E312ED5}"/>
            </c:ext>
          </c:extLst>
        </c:ser>
        <c:ser>
          <c:idx val="3"/>
          <c:order val="3"/>
          <c:tx>
            <c:strRef>
              <c:f>'Laskenta tulopuoli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100'!$X$84:$X$90</c:f>
              <c:numCache>
                <c:formatCode>0.0</c:formatCode>
                <c:ptCount val="7"/>
                <c:pt idx="0">
                  <c:v>21.903636363636362</c:v>
                </c:pt>
                <c:pt idx="1">
                  <c:v>19.979090909090907</c:v>
                </c:pt>
                <c:pt idx="2">
                  <c:v>14.368181818181819</c:v>
                </c:pt>
                <c:pt idx="3">
                  <c:v>21.793636363636359</c:v>
                </c:pt>
                <c:pt idx="4">
                  <c:v>19.188181818181821</c:v>
                </c:pt>
                <c:pt idx="5">
                  <c:v>15.046363636363639</c:v>
                </c:pt>
                <c:pt idx="6">
                  <c:v>9.67090909090909</c:v>
                </c:pt>
              </c:numCache>
            </c:numRef>
          </c:xVal>
          <c:yVal>
            <c:numRef>
              <c:f>'Laskenta tulopuoli 100'!$Y$84:$Y$90</c:f>
              <c:numCache>
                <c:formatCode>0.0</c:formatCode>
                <c:ptCount val="7"/>
                <c:pt idx="0">
                  <c:v>6.6132263513281977</c:v>
                </c:pt>
                <c:pt idx="1">
                  <c:v>6.6144485250853018</c:v>
                </c:pt>
                <c:pt idx="2">
                  <c:v>6.0285714153053958</c:v>
                </c:pt>
                <c:pt idx="3">
                  <c:v>6.6531657966354825</c:v>
                </c:pt>
                <c:pt idx="4">
                  <c:v>6.4972963143468565</c:v>
                </c:pt>
                <c:pt idx="5">
                  <c:v>6.237904494197366</c:v>
                </c:pt>
                <c:pt idx="6">
                  <c:v>5.7652596451523648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48-4F95-8BEE-76DF2E312ED5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100'!$AC$34:$AC$38</c:f>
              <c:numCache>
                <c:formatCode>0.0</c:formatCode>
                <c:ptCount val="5"/>
                <c:pt idx="0">
                  <c:v>78.998758182979643</c:v>
                </c:pt>
                <c:pt idx="1">
                  <c:v>59.214582793261208</c:v>
                </c:pt>
                <c:pt idx="2">
                  <c:v>40.79830275672176</c:v>
                </c:pt>
                <c:pt idx="3">
                  <c:v>19.493537770924483</c:v>
                </c:pt>
              </c:numCache>
            </c:numRef>
          </c:xVal>
          <c:yVal>
            <c:numRef>
              <c:f>'Laskenta tulopuoli 100'!$AE$34:$AE$37</c:f>
              <c:numCache>
                <c:formatCode>0.0</c:formatCode>
                <c:ptCount val="4"/>
                <c:pt idx="0">
                  <c:v>94.902134985732559</c:v>
                </c:pt>
                <c:pt idx="1">
                  <c:v>45.538317258861738</c:v>
                </c:pt>
                <c:pt idx="2">
                  <c:v>20.863907078459182</c:v>
                </c:pt>
                <c:pt idx="3">
                  <c:v>6.5067356400237708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A48-4F95-8BEE-76DF2E312ED5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100'!$W$13</c:f>
              <c:numCache>
                <c:formatCode>0.0</c:formatCode>
                <c:ptCount val="1"/>
                <c:pt idx="0">
                  <c:v>18.524476463783195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A48-4F95-8BEE-76DF2E312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100'!$AB$6:$AB$12</c:f>
              <c:numCache>
                <c:formatCode>0.0</c:formatCode>
                <c:ptCount val="7"/>
                <c:pt idx="0">
                  <c:v>105.55992375280067</c:v>
                </c:pt>
                <c:pt idx="1">
                  <c:v>91.334084830633799</c:v>
                </c:pt>
                <c:pt idx="2">
                  <c:v>79.861474107511413</c:v>
                </c:pt>
                <c:pt idx="3">
                  <c:v>69.154705393973089</c:v>
                </c:pt>
                <c:pt idx="4">
                  <c:v>55.301465600422567</c:v>
                </c:pt>
                <c:pt idx="5">
                  <c:v>39.334311694441077</c:v>
                </c:pt>
                <c:pt idx="6">
                  <c:v>36.814967342900474</c:v>
                </c:pt>
              </c:numCache>
            </c:numRef>
          </c:xVal>
          <c:yVal>
            <c:numRef>
              <c:f>'Laskenta tulopuoli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03-42E2-AEA1-10E4BC74AC60}"/>
            </c:ext>
          </c:extLst>
        </c:ser>
        <c:ser>
          <c:idx val="1"/>
          <c:order val="1"/>
          <c:tx>
            <c:strRef>
              <c:f>'Laskenta tulopuoli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100'!$AD$6:$AD$12</c:f>
              <c:numCache>
                <c:formatCode>0.0</c:formatCode>
                <c:ptCount val="7"/>
                <c:pt idx="0">
                  <c:v>80.704641716435873</c:v>
                </c:pt>
                <c:pt idx="1">
                  <c:v>73.838694391688321</c:v>
                </c:pt>
                <c:pt idx="2">
                  <c:v>61.665564184927057</c:v>
                </c:pt>
                <c:pt idx="3">
                  <c:v>48.356228284154241</c:v>
                </c:pt>
                <c:pt idx="4">
                  <c:v>42.633564679818207</c:v>
                </c:pt>
                <c:pt idx="5">
                  <c:v>36.633999759441082</c:v>
                </c:pt>
                <c:pt idx="6">
                  <c:v>27.014459006801598</c:v>
                </c:pt>
              </c:numCache>
            </c:numRef>
          </c:xVal>
          <c:yVal>
            <c:numRef>
              <c:f>'Laskenta tulopuoli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03-42E2-AEA1-10E4BC74AC60}"/>
            </c:ext>
          </c:extLst>
        </c:ser>
        <c:ser>
          <c:idx val="2"/>
          <c:order val="2"/>
          <c:tx>
            <c:strRef>
              <c:f>'Laskenta tulopuoli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100'!$AF$6:$AF$11</c:f>
              <c:numCache>
                <c:formatCode>0.0</c:formatCode>
                <c:ptCount val="6"/>
                <c:pt idx="0">
                  <c:v>54.339001915022031</c:v>
                </c:pt>
                <c:pt idx="1">
                  <c:v>44.807769064929076</c:v>
                </c:pt>
                <c:pt idx="2">
                  <c:v>38.065608935044438</c:v>
                </c:pt>
                <c:pt idx="3">
                  <c:v>30.953738781884212</c:v>
                </c:pt>
                <c:pt idx="4">
                  <c:v>23.403717201633526</c:v>
                </c:pt>
                <c:pt idx="5">
                  <c:v>19.436728566723829</c:v>
                </c:pt>
              </c:numCache>
            </c:numRef>
          </c:xVal>
          <c:yVal>
            <c:numRef>
              <c:f>'Laskenta tulopuoli 100'!$AE$6:$AE$11</c:f>
              <c:numCache>
                <c:formatCode>0.0</c:formatCode>
                <c:ptCount val="6"/>
                <c:pt idx="0">
                  <c:v>10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03-42E2-AEA1-10E4BC74AC60}"/>
            </c:ext>
          </c:extLst>
        </c:ser>
        <c:ser>
          <c:idx val="3"/>
          <c:order val="3"/>
          <c:tx>
            <c:strRef>
              <c:f>'Laskenta tulopuoli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100'!$AH$6:$AH$10</c:f>
              <c:numCache>
                <c:formatCode>0.0</c:formatCode>
                <c:ptCount val="5"/>
                <c:pt idx="0">
                  <c:v>20.411043893478237</c:v>
                </c:pt>
                <c:pt idx="1">
                  <c:v>15.414623288200497</c:v>
                </c:pt>
                <c:pt idx="2">
                  <c:v>12.814599421780468</c:v>
                </c:pt>
                <c:pt idx="3">
                  <c:v>10.138839913756215</c:v>
                </c:pt>
                <c:pt idx="4">
                  <c:v>7.9390146933981729</c:v>
                </c:pt>
              </c:numCache>
            </c:numRef>
          </c:xVal>
          <c:yVal>
            <c:numRef>
              <c:f>'Laskenta tulopuoli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03-42E2-AEA1-10E4BC74AC60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100'!$L$3</c:f>
              <c:numCache>
                <c:formatCode>0.0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03-42E2-AEA1-10E4BC74AC60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100'!$AC$34:$AC$37</c:f>
              <c:numCache>
                <c:formatCode>0.0</c:formatCode>
                <c:ptCount val="4"/>
                <c:pt idx="0">
                  <c:v>78.998758182979643</c:v>
                </c:pt>
                <c:pt idx="1">
                  <c:v>59.214582793261208</c:v>
                </c:pt>
                <c:pt idx="2">
                  <c:v>40.79830275672176</c:v>
                </c:pt>
                <c:pt idx="3">
                  <c:v>19.493537770924483</c:v>
                </c:pt>
              </c:numCache>
            </c:numRef>
          </c:xVal>
          <c:yVal>
            <c:numRef>
              <c:f>'Laskenta tulopuoli 100'!$AD$34:$AD$37</c:f>
              <c:numCache>
                <c:formatCode>0.0</c:formatCode>
                <c:ptCount val="4"/>
                <c:pt idx="0">
                  <c:v>195.02511857665303</c:v>
                </c:pt>
                <c:pt idx="1">
                  <c:v>109.57396298062446</c:v>
                </c:pt>
                <c:pt idx="2">
                  <c:v>52.015672119660366</c:v>
                </c:pt>
                <c:pt idx="3">
                  <c:v>11.874937963326857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03-42E2-AEA1-10E4BC74A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100'!$D$59:$D$62</c:f>
              <c:numCache>
                <c:formatCode>0.0</c:formatCode>
                <c:ptCount val="4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</c:numCache>
            </c:numRef>
          </c:xVal>
          <c:yVal>
            <c:numRef>
              <c:f>'Laskenta poistopuoli 100'!$E$59:$E$62</c:f>
              <c:numCache>
                <c:formatCode>0.0</c:formatCode>
                <c:ptCount val="4"/>
                <c:pt idx="0">
                  <c:v>61.13403135247551</c:v>
                </c:pt>
                <c:pt idx="1">
                  <c:v>61.463135764555233</c:v>
                </c:pt>
                <c:pt idx="2">
                  <c:v>62.476142119666449</c:v>
                </c:pt>
                <c:pt idx="3">
                  <c:v>62.786941941504857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006-4267-B883-3A99CC58EBC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100'!$D$64:$D$67</c:f>
              <c:numCache>
                <c:formatCode>0.0</c:formatCode>
                <c:ptCount val="4"/>
                <c:pt idx="0">
                  <c:v>85.219390909090919</c:v>
                </c:pt>
                <c:pt idx="1">
                  <c:v>75.308918181818171</c:v>
                </c:pt>
                <c:pt idx="2">
                  <c:v>59.091099999999997</c:v>
                </c:pt>
                <c:pt idx="3">
                  <c:v>42.177563636363637</c:v>
                </c:pt>
              </c:numCache>
            </c:numRef>
          </c:xVal>
          <c:yVal>
            <c:numRef>
              <c:f>'Laskenta poistopuoli 100'!$E$64:$E$67</c:f>
              <c:numCache>
                <c:formatCode>0.0</c:formatCode>
                <c:ptCount val="4"/>
                <c:pt idx="0">
                  <c:v>56.226832789947956</c:v>
                </c:pt>
                <c:pt idx="1">
                  <c:v>56.986921976424952</c:v>
                </c:pt>
                <c:pt idx="2">
                  <c:v>56.387195431614472</c:v>
                </c:pt>
                <c:pt idx="3">
                  <c:v>56.610398713632122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006-4267-B883-3A99CC58EBC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100'!$D$69:$D$72</c:f>
              <c:numCache>
                <c:formatCode>0.0</c:formatCode>
                <c:ptCount val="4"/>
                <c:pt idx="0">
                  <c:v>59.232490909090913</c:v>
                </c:pt>
                <c:pt idx="1">
                  <c:v>52.589927272727273</c:v>
                </c:pt>
                <c:pt idx="2">
                  <c:v>42.68132727272728</c:v>
                </c:pt>
                <c:pt idx="3">
                  <c:v>31.091018181818189</c:v>
                </c:pt>
              </c:numCache>
            </c:numRef>
          </c:xVal>
          <c:yVal>
            <c:numRef>
              <c:f>'Laskenta poistopuoli 100'!$E$69:$E$72</c:f>
              <c:numCache>
                <c:formatCode>0.0</c:formatCode>
                <c:ptCount val="4"/>
                <c:pt idx="0">
                  <c:v>49.375419806217764</c:v>
                </c:pt>
                <c:pt idx="1">
                  <c:v>50.547867733453664</c:v>
                </c:pt>
                <c:pt idx="2">
                  <c:v>49.836422150407898</c:v>
                </c:pt>
                <c:pt idx="3">
                  <c:v>49.141774046972884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006-4267-B883-3A99CC58EBC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100'!$D$74:$D$77</c:f>
              <c:numCache>
                <c:formatCode>0.0</c:formatCode>
                <c:ptCount val="4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16.087663636363636</c:v>
                </c:pt>
              </c:numCache>
            </c:numRef>
          </c:xVal>
          <c:yVal>
            <c:numRef>
              <c:f>'Laskenta poistopuoli 100'!$E$74:$E$77</c:f>
              <c:numCache>
                <c:formatCode>0.0</c:formatCode>
                <c:ptCount val="4"/>
                <c:pt idx="0">
                  <c:v>38.574210349979992</c:v>
                </c:pt>
                <c:pt idx="1">
                  <c:v>39.350744205332788</c:v>
                </c:pt>
                <c:pt idx="2">
                  <c:v>37.7927756489185</c:v>
                </c:pt>
                <c:pt idx="3">
                  <c:v>37.346744413222602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006-4267-B883-3A99CC58EBC3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06-4267-B883-3A99CC58EBC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006-4267-B883-3A99CC58EBC3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86.445747016968241</c:v>
                </c:pt>
                <c:pt idx="1">
                  <c:v>66.731308572164934</c:v>
                </c:pt>
                <c:pt idx="2">
                  <c:v>47.646247018257952</c:v>
                </c:pt>
                <c:pt idx="3">
                  <c:v>23.951173748430193</c:v>
                </c:pt>
              </c:numCache>
            </c:numRef>
          </c:xVal>
          <c:yVal>
            <c:numRef>
              <c:f>'Laskenta poistopuoli 100'!$AF$34:$AF$37</c:f>
              <c:numCache>
                <c:formatCode>0.0</c:formatCode>
                <c:ptCount val="4"/>
                <c:pt idx="0">
                  <c:v>62.073441138446078</c:v>
                </c:pt>
                <c:pt idx="1">
                  <c:v>56.668534577796571</c:v>
                </c:pt>
                <c:pt idx="2">
                  <c:v>50.2506964951342</c:v>
                </c:pt>
                <c:pt idx="3">
                  <c:v>38.643858094709387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9006-4267-B883-3A99CC58EBC3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100'!$W$5</c:f>
              <c:numCache>
                <c:formatCode>0.0</c:formatCode>
                <c:ptCount val="1"/>
                <c:pt idx="0">
                  <c:v>47.631801710170095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9006-4267-B883-3A99CC58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100'!$N$59:$N$62</c:f>
              <c:numCache>
                <c:formatCode>0.0</c:formatCode>
                <c:ptCount val="4"/>
                <c:pt idx="0">
                  <c:v>104.62084545454545</c:v>
                </c:pt>
                <c:pt idx="1">
                  <c:v>87.716672727272737</c:v>
                </c:pt>
                <c:pt idx="2">
                  <c:v>60.068663636363638</c:v>
                </c:pt>
                <c:pt idx="3">
                  <c:v>38.46300909090909</c:v>
                </c:pt>
              </c:numCache>
            </c:numRef>
          </c:xVal>
          <c:yVal>
            <c:numRef>
              <c:f>'Laskenta poistopuoli 100'!$O$59:$O$62</c:f>
              <c:numCache>
                <c:formatCode>0.0</c:formatCode>
                <c:ptCount val="4"/>
                <c:pt idx="0">
                  <c:v>73.349403929077283</c:v>
                </c:pt>
                <c:pt idx="1">
                  <c:v>73.586568674570273</c:v>
                </c:pt>
                <c:pt idx="2">
                  <c:v>74.903691388935115</c:v>
                </c:pt>
                <c:pt idx="3">
                  <c:v>74.98237026058645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40-4FFC-BBD7-595AC3914FD3}"/>
            </c:ext>
          </c:extLst>
        </c:ser>
        <c:ser>
          <c:idx val="1"/>
          <c:order val="1"/>
          <c:tx>
            <c:strRef>
              <c:f>'Laskenta poistopuoli 100'!$C$64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100'!$N$64:$N$67</c:f>
              <c:numCache>
                <c:formatCode>0.0</c:formatCode>
                <c:ptCount val="4"/>
                <c:pt idx="0">
                  <c:v>81.794172727272723</c:v>
                </c:pt>
                <c:pt idx="1">
                  <c:v>68.961309090909083</c:v>
                </c:pt>
                <c:pt idx="2">
                  <c:v>46.599072727272727</c:v>
                </c:pt>
                <c:pt idx="3">
                  <c:v>29.631227272727273</c:v>
                </c:pt>
              </c:numCache>
            </c:numRef>
          </c:xVal>
          <c:yVal>
            <c:numRef>
              <c:f>'Laskenta poistopuoli 100'!$O$64:$O$67</c:f>
              <c:numCache>
                <c:formatCode>0.0</c:formatCode>
                <c:ptCount val="4"/>
                <c:pt idx="0">
                  <c:v>68.625830013402279</c:v>
                </c:pt>
                <c:pt idx="1">
                  <c:v>68.692809828117717</c:v>
                </c:pt>
                <c:pt idx="2">
                  <c:v>69.362565246831508</c:v>
                </c:pt>
                <c:pt idx="3">
                  <c:v>69.325721365716447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640-4FFC-BBD7-595AC3914FD3}"/>
            </c:ext>
          </c:extLst>
        </c:ser>
        <c:ser>
          <c:idx val="2"/>
          <c:order val="2"/>
          <c:tx>
            <c:strRef>
              <c:f>'Laskenta poistopuoli 100'!$C$69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100'!$N$69:$N$72</c:f>
              <c:numCache>
                <c:formatCode>0.0</c:formatCode>
                <c:ptCount val="4"/>
                <c:pt idx="0">
                  <c:v>57.921581818181828</c:v>
                </c:pt>
                <c:pt idx="1">
                  <c:v>49.687200000000004</c:v>
                </c:pt>
                <c:pt idx="2">
                  <c:v>33.798045454545452</c:v>
                </c:pt>
                <c:pt idx="3">
                  <c:v>21.24609090909091</c:v>
                </c:pt>
              </c:numCache>
            </c:numRef>
          </c:xVal>
          <c:yVal>
            <c:numRef>
              <c:f>'Laskenta poistopuoli 100'!$O$69:$O$72</c:f>
              <c:numCache>
                <c:formatCode>0.0</c:formatCode>
                <c:ptCount val="4"/>
                <c:pt idx="0">
                  <c:v>62.212651636773103</c:v>
                </c:pt>
                <c:pt idx="1">
                  <c:v>62.579738505250276</c:v>
                </c:pt>
                <c:pt idx="2">
                  <c:v>62.978561224871314</c:v>
                </c:pt>
                <c:pt idx="3">
                  <c:v>62.520601425604632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640-4FFC-BBD7-595AC3914FD3}"/>
            </c:ext>
          </c:extLst>
        </c:ser>
        <c:ser>
          <c:idx val="3"/>
          <c:order val="3"/>
          <c:tx>
            <c:strRef>
              <c:f>'Laskenta poistopuoli 100'!$C$74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100'!$N$74:$N$77</c:f>
              <c:numCache>
                <c:formatCode>0.0</c:formatCode>
                <c:ptCount val="4"/>
                <c:pt idx="0">
                  <c:v>28.261327272727272</c:v>
                </c:pt>
                <c:pt idx="1">
                  <c:v>23.704045454545458</c:v>
                </c:pt>
                <c:pt idx="2">
                  <c:v>16.993127272727271</c:v>
                </c:pt>
                <c:pt idx="3">
                  <c:v>11.464836363636362</c:v>
                </c:pt>
              </c:numCache>
            </c:numRef>
          </c:xVal>
          <c:yVal>
            <c:numRef>
              <c:f>'Laskenta poistopuoli 100'!$O$74:$O$77</c:f>
              <c:numCache>
                <c:formatCode>0.0</c:formatCode>
                <c:ptCount val="4"/>
                <c:pt idx="0">
                  <c:v>50.304556178333428</c:v>
                </c:pt>
                <c:pt idx="1">
                  <c:v>50.910345390046182</c:v>
                </c:pt>
                <c:pt idx="2">
                  <c:v>50.609911956999383</c:v>
                </c:pt>
                <c:pt idx="3">
                  <c:v>49.874271233326027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640-4FFC-BBD7-595AC3914FD3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86.445747016968241</c:v>
                </c:pt>
                <c:pt idx="1">
                  <c:v>66.731308572164934</c:v>
                </c:pt>
                <c:pt idx="2">
                  <c:v>47.646247018257952</c:v>
                </c:pt>
                <c:pt idx="3">
                  <c:v>23.951173748430193</c:v>
                </c:pt>
              </c:numCache>
            </c:numRef>
          </c:xVal>
          <c:yVal>
            <c:numRef>
              <c:f>'Laskenta poistopuoli 100'!$AG$34:$AG$37</c:f>
              <c:numCache>
                <c:formatCode>0.0</c:formatCode>
                <c:ptCount val="4"/>
                <c:pt idx="0">
                  <c:v>73.907323295975957</c:v>
                </c:pt>
                <c:pt idx="1">
                  <c:v>68.899459441935534</c:v>
                </c:pt>
                <c:pt idx="2">
                  <c:v>62.733186531654965</c:v>
                </c:pt>
                <c:pt idx="3">
                  <c:v>50.805378260511887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640-4FFC-BBD7-595AC3914FD3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100'!$W$6</c:f>
              <c:numCache>
                <c:formatCode>0.0</c:formatCode>
                <c:ptCount val="1"/>
                <c:pt idx="0">
                  <c:v>59.853771795434739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6640-4FFC-BBD7-595AC3914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1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100'!$AI$36:$AI$38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xVal>
          <c:yVal>
            <c:numRef>
              <c:f>'Laskenta poistopuoli 100'!$AJ$36:$AJ$38</c:f>
              <c:numCache>
                <c:formatCode>0.0</c:formatCode>
                <c:ptCount val="3"/>
                <c:pt idx="0">
                  <c:v>66.731308572164934</c:v>
                </c:pt>
                <c:pt idx="1">
                  <c:v>47.646247018257952</c:v>
                </c:pt>
                <c:pt idx="2">
                  <c:v>23.951173748430193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7F4-4086-B70B-48B6A95595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7.5</c:v>
                </c:pt>
              </c:numCache>
            </c:numRef>
          </c:xVal>
          <c:yVal>
            <c:numRef>
              <c:f>'Laskenta poistopuoli 100'!$AJ$34:$AJ$35</c:f>
              <c:numCache>
                <c:formatCode>0.0</c:formatCode>
                <c:ptCount val="2"/>
                <c:pt idx="0">
                  <c:v>86.445747016968241</c:v>
                </c:pt>
                <c:pt idx="1">
                  <c:v>78.649859077432126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7F4-4086-B70B-48B6A95595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100'!$W$9</c:f>
              <c:numCache>
                <c:formatCode>0.0</c:formatCode>
                <c:ptCount val="1"/>
                <c:pt idx="0">
                  <c:v>4.3326553262786769</c:v>
                </c:pt>
              </c:numCache>
            </c:numRef>
          </c:xVal>
          <c:yVal>
            <c:numRef>
              <c:f>'Laskenta poistopuoli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7F4-4086-B70B-48B6A95595E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100'!$AO$36</c:f>
              <c:numCache>
                <c:formatCode>0.0</c:formatCode>
                <c:ptCount val="1"/>
                <c:pt idx="0">
                  <c:v>4.9882529919520833</c:v>
                </c:pt>
              </c:numCache>
            </c:numRef>
          </c:xVal>
          <c:yVal>
            <c:numRef>
              <c:f>'Laskenta poistopuoli 100'!$AL$36</c:f>
              <c:numCache>
                <c:formatCode>0.0</c:formatCode>
                <c:ptCount val="1"/>
                <c:pt idx="0">
                  <c:v>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13-47BD-89CA-C7C014A4A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100'!$X$59:$X$66</c:f>
              <c:numCache>
                <c:formatCode>0.0</c:formatCode>
                <c:ptCount val="8"/>
                <c:pt idx="0">
                  <c:v>107.47020000000001</c:v>
                </c:pt>
                <c:pt idx="1">
                  <c:v>97.16458181818183</c:v>
                </c:pt>
                <c:pt idx="2">
                  <c:v>77.45038181818181</c:v>
                </c:pt>
                <c:pt idx="3">
                  <c:v>55.766072727272736</c:v>
                </c:pt>
                <c:pt idx="4">
                  <c:v>104.62084545454545</c:v>
                </c:pt>
                <c:pt idx="5">
                  <c:v>87.716672727272737</c:v>
                </c:pt>
                <c:pt idx="6">
                  <c:v>60.068663636363638</c:v>
                </c:pt>
                <c:pt idx="7">
                  <c:v>38.46300909090909</c:v>
                </c:pt>
              </c:numCache>
            </c:numRef>
          </c:xVal>
          <c:yVal>
            <c:numRef>
              <c:f>'Laskenta poistopuoli 100'!$Y$59:$Y$66</c:f>
              <c:numCache>
                <c:formatCode>0.0</c:formatCode>
                <c:ptCount val="8"/>
                <c:pt idx="0">
                  <c:v>116.62868994636517</c:v>
                </c:pt>
                <c:pt idx="1">
                  <c:v>107.89046746765455</c:v>
                </c:pt>
                <c:pt idx="2">
                  <c:v>92.233101144109327</c:v>
                </c:pt>
                <c:pt idx="3">
                  <c:v>76.472486133861551</c:v>
                </c:pt>
                <c:pt idx="4">
                  <c:v>117.15166181231858</c:v>
                </c:pt>
                <c:pt idx="5">
                  <c:v>108.25149905730171</c:v>
                </c:pt>
                <c:pt idx="6">
                  <c:v>88.100138396815751</c:v>
                </c:pt>
                <c:pt idx="7">
                  <c:v>75.666190479058542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9F-4CAF-95DA-E7FE3F5C1057}"/>
            </c:ext>
          </c:extLst>
        </c:ser>
        <c:ser>
          <c:idx val="1"/>
          <c:order val="1"/>
          <c:tx>
            <c:strRef>
              <c:f>'Laskenta poistopuoli 100'!$W$68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100'!$X$68:$X$74</c:f>
              <c:numCache>
                <c:formatCode>0.0</c:formatCode>
                <c:ptCount val="7"/>
                <c:pt idx="0">
                  <c:v>85.219390909090919</c:v>
                </c:pt>
                <c:pt idx="1">
                  <c:v>75.308918181818171</c:v>
                </c:pt>
                <c:pt idx="2">
                  <c:v>42.177563636363637</c:v>
                </c:pt>
                <c:pt idx="3">
                  <c:v>81.794172727272723</c:v>
                </c:pt>
                <c:pt idx="4">
                  <c:v>68.961309090909083</c:v>
                </c:pt>
                <c:pt idx="5">
                  <c:v>46.599072727272727</c:v>
                </c:pt>
                <c:pt idx="6">
                  <c:v>29.631227272727273</c:v>
                </c:pt>
              </c:numCache>
            </c:numRef>
          </c:xVal>
          <c:yVal>
            <c:numRef>
              <c:f>'Laskenta poistopuoli 100'!$Y$68:$Y$74</c:f>
              <c:numCache>
                <c:formatCode>0.0</c:formatCode>
                <c:ptCount val="7"/>
                <c:pt idx="0">
                  <c:v>60.577810396612868</c:v>
                </c:pt>
                <c:pt idx="1">
                  <c:v>55.527582956445499</c:v>
                </c:pt>
                <c:pt idx="2">
                  <c:v>37.764911609904139</c:v>
                </c:pt>
                <c:pt idx="3">
                  <c:v>61.609359236476912</c:v>
                </c:pt>
                <c:pt idx="4">
                  <c:v>55.253225557202001</c:v>
                </c:pt>
                <c:pt idx="5">
                  <c:v>44.871075383176873</c:v>
                </c:pt>
                <c:pt idx="6">
                  <c:v>37.472218612103255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9F-4CAF-95DA-E7FE3F5C1057}"/>
            </c:ext>
          </c:extLst>
        </c:ser>
        <c:ser>
          <c:idx val="2"/>
          <c:order val="2"/>
          <c:tx>
            <c:strRef>
              <c:f>'Laskenta poistopuoli 100'!$W$76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100'!$X$76:$X$82</c:f>
              <c:numCache>
                <c:formatCode>0.0</c:formatCode>
                <c:ptCount val="7"/>
                <c:pt idx="0">
                  <c:v>59.232490909090913</c:v>
                </c:pt>
                <c:pt idx="1">
                  <c:v>52.589927272727273</c:v>
                </c:pt>
                <c:pt idx="2">
                  <c:v>31.091018181818189</c:v>
                </c:pt>
                <c:pt idx="3">
                  <c:v>57.921581818181828</c:v>
                </c:pt>
                <c:pt idx="4">
                  <c:v>49.687200000000004</c:v>
                </c:pt>
                <c:pt idx="5">
                  <c:v>33.798045454545452</c:v>
                </c:pt>
                <c:pt idx="6">
                  <c:v>21.24609090909091</c:v>
                </c:pt>
              </c:numCache>
            </c:numRef>
          </c:xVal>
          <c:yVal>
            <c:numRef>
              <c:f>'Laskenta poistopuoli 100'!$Y$76:$Y$82</c:f>
              <c:numCache>
                <c:formatCode>0.0</c:formatCode>
                <c:ptCount val="7"/>
                <c:pt idx="0">
                  <c:v>25.417263103473928</c:v>
                </c:pt>
                <c:pt idx="1">
                  <c:v>24.344285214676759</c:v>
                </c:pt>
                <c:pt idx="2">
                  <c:v>18.071598855872615</c:v>
                </c:pt>
                <c:pt idx="3">
                  <c:v>26.864447987055424</c:v>
                </c:pt>
                <c:pt idx="4">
                  <c:v>24.610628081174507</c:v>
                </c:pt>
                <c:pt idx="5">
                  <c:v>20.989449770999862</c:v>
                </c:pt>
                <c:pt idx="6">
                  <c:v>17.303475403537568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9F-4CAF-95DA-E7FE3F5C1057}"/>
            </c:ext>
          </c:extLst>
        </c:ser>
        <c:ser>
          <c:idx val="3"/>
          <c:order val="3"/>
          <c:tx>
            <c:strRef>
              <c:f>'Laskenta poistopuoli 100'!$W$84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100'!$X$84:$X$90</c:f>
              <c:numCache>
                <c:formatCode>0.0</c:formatCode>
                <c:ptCount val="7"/>
                <c:pt idx="0">
                  <c:v>31.706209090909095</c:v>
                </c:pt>
                <c:pt idx="1">
                  <c:v>26.826818181818176</c:v>
                </c:pt>
                <c:pt idx="2">
                  <c:v>21.224554545454549</c:v>
                </c:pt>
                <c:pt idx="3">
                  <c:v>28.261327272727272</c:v>
                </c:pt>
                <c:pt idx="4">
                  <c:v>23.704045454545458</c:v>
                </c:pt>
                <c:pt idx="5">
                  <c:v>16.993127272727271</c:v>
                </c:pt>
                <c:pt idx="6">
                  <c:v>11.464836363636362</c:v>
                </c:pt>
              </c:numCache>
            </c:numRef>
          </c:xVal>
          <c:yVal>
            <c:numRef>
              <c:f>'Laskenta poistopuoli 100'!$Y$84:$Y$90</c:f>
              <c:numCache>
                <c:formatCode>0.0</c:formatCode>
                <c:ptCount val="7"/>
                <c:pt idx="0">
                  <c:v>7.6542509640036691</c:v>
                </c:pt>
                <c:pt idx="1">
                  <c:v>7.0952373016298811</c:v>
                </c:pt>
                <c:pt idx="2">
                  <c:v>6.4091373237387206</c:v>
                </c:pt>
                <c:pt idx="3">
                  <c:v>7.4176728977971926</c:v>
                </c:pt>
                <c:pt idx="4">
                  <c:v>6.9120341052630758</c:v>
                </c:pt>
                <c:pt idx="5">
                  <c:v>6.4396716809091377</c:v>
                </c:pt>
                <c:pt idx="6">
                  <c:v>6.1312138558419154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9F-4CAF-95DA-E7FE3F5C1057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100'!$AC$34:$AC$38</c:f>
              <c:numCache>
                <c:formatCode>0.0</c:formatCode>
                <c:ptCount val="5"/>
                <c:pt idx="0">
                  <c:v>86.445747016968241</c:v>
                </c:pt>
                <c:pt idx="1">
                  <c:v>66.731308572164934</c:v>
                </c:pt>
                <c:pt idx="2">
                  <c:v>47.646247018257952</c:v>
                </c:pt>
                <c:pt idx="3">
                  <c:v>23.951173748430193</c:v>
                </c:pt>
              </c:numCache>
            </c:numRef>
          </c:xVal>
          <c:yVal>
            <c:numRef>
              <c:f>'Laskenta poistopuoli 100'!$AE$34:$AE$37</c:f>
              <c:numCache>
                <c:formatCode>0.0</c:formatCode>
                <c:ptCount val="4"/>
                <c:pt idx="0">
                  <c:v>101.47987664741848</c:v>
                </c:pt>
                <c:pt idx="1">
                  <c:v>52.448590238206712</c:v>
                </c:pt>
                <c:pt idx="2">
                  <c:v>23.549560276980234</c:v>
                </c:pt>
                <c:pt idx="3">
                  <c:v>6.8449370838503816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9F-4CAF-95DA-E7FE3F5C1057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100'!$W$13</c:f>
              <c:numCache>
                <c:formatCode>0.0</c:formatCode>
                <c:ptCount val="1"/>
                <c:pt idx="0">
                  <c:v>15.076573926310481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769F-4CAF-95DA-E7FE3F5C1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3.7706396433266814E-2"/>
                  <c:y val="0.1562394113771013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130'!$D$59:$D$62</c:f>
              <c:numCache>
                <c:formatCode>0.0</c:formatCode>
                <c:ptCount val="4"/>
                <c:pt idx="0">
                  <c:v>124.45552078709319</c:v>
                </c:pt>
                <c:pt idx="1">
                  <c:v>116.51720534386456</c:v>
                </c:pt>
                <c:pt idx="2">
                  <c:v>101.70534454841015</c:v>
                </c:pt>
                <c:pt idx="3">
                  <c:v>82.365017043939588</c:v>
                </c:pt>
              </c:numCache>
            </c:numRef>
          </c:xVal>
          <c:yVal>
            <c:numRef>
              <c:f>'Laskenta tulopuoli 130'!$E$59:$E$62</c:f>
              <c:numCache>
                <c:formatCode>0.0</c:formatCode>
                <c:ptCount val="4"/>
                <c:pt idx="0">
                  <c:v>59.464218542298468</c:v>
                </c:pt>
                <c:pt idx="1">
                  <c:v>59.36196924526331</c:v>
                </c:pt>
                <c:pt idx="2">
                  <c:v>60.027949452160676</c:v>
                </c:pt>
                <c:pt idx="3">
                  <c:v>60.608228329655951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0D-4C62-97E7-29CB7ABB9461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130'!$D$64:$D$67</c:f>
              <c:numCache>
                <c:formatCode>0.0</c:formatCode>
                <c:ptCount val="4"/>
                <c:pt idx="0">
                  <c:v>108.61605915705071</c:v>
                </c:pt>
                <c:pt idx="1">
                  <c:v>98.281498327194029</c:v>
                </c:pt>
                <c:pt idx="2">
                  <c:v>84.237915047166098</c:v>
                </c:pt>
                <c:pt idx="3">
                  <c:v>68.226231139270695</c:v>
                </c:pt>
              </c:numCache>
            </c:numRef>
          </c:xVal>
          <c:yVal>
            <c:numRef>
              <c:f>'Laskenta tulopuoli 130'!$E$64:$E$67</c:f>
              <c:numCache>
                <c:formatCode>0.0</c:formatCode>
                <c:ptCount val="4"/>
                <c:pt idx="0">
                  <c:v>56.814264092463056</c:v>
                </c:pt>
                <c:pt idx="1">
                  <c:v>56.095905975041596</c:v>
                </c:pt>
                <c:pt idx="2">
                  <c:v>55.812437707556704</c:v>
                </c:pt>
                <c:pt idx="3">
                  <c:v>56.113551475189496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70D-4C62-97E7-29CB7ABB9461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130'!$D$69:$D$72</c:f>
              <c:numCache>
                <c:formatCode>0.0</c:formatCode>
                <c:ptCount val="4"/>
                <c:pt idx="0">
                  <c:v>78.91869125446334</c:v>
                </c:pt>
                <c:pt idx="1">
                  <c:v>70.580249223838763</c:v>
                </c:pt>
                <c:pt idx="2">
                  <c:v>61.003247611336789</c:v>
                </c:pt>
                <c:pt idx="3">
                  <c:v>50.009324712830463</c:v>
                </c:pt>
              </c:numCache>
            </c:numRef>
          </c:xVal>
          <c:yVal>
            <c:numRef>
              <c:f>'Laskenta tulopuoli 130'!$E$69:$E$72</c:f>
              <c:numCache>
                <c:formatCode>0.0</c:formatCode>
                <c:ptCount val="4"/>
                <c:pt idx="0">
                  <c:v>50.35449179308835</c:v>
                </c:pt>
                <c:pt idx="1">
                  <c:v>49.716367440911277</c:v>
                </c:pt>
                <c:pt idx="2">
                  <c:v>49.303164455402957</c:v>
                </c:pt>
                <c:pt idx="3">
                  <c:v>49.591899884279549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70D-4C62-97E7-29CB7ABB9461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500076915261491"/>
                  <c:y val="0.1349770961328006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130'!$D$74:$D$77</c:f>
              <c:numCache>
                <c:formatCode>0.0</c:formatCode>
                <c:ptCount val="4"/>
                <c:pt idx="0">
                  <c:v>47.209584540076754</c:v>
                </c:pt>
                <c:pt idx="1">
                  <c:v>42.465356495567598</c:v>
                </c:pt>
                <c:pt idx="2">
                  <c:v>37.102816665150158</c:v>
                </c:pt>
                <c:pt idx="3">
                  <c:v>29.182562373170153</c:v>
                </c:pt>
              </c:numCache>
            </c:numRef>
          </c:xVal>
          <c:yVal>
            <c:numRef>
              <c:f>'Laskenta tulopuoli 130'!$E$74:$E$77</c:f>
              <c:numCache>
                <c:formatCode>0.0</c:formatCode>
                <c:ptCount val="4"/>
                <c:pt idx="0">
                  <c:v>41.263554965594018</c:v>
                </c:pt>
                <c:pt idx="1">
                  <c:v>40.752210874042227</c:v>
                </c:pt>
                <c:pt idx="2">
                  <c:v>40.829184240359169</c:v>
                </c:pt>
                <c:pt idx="3">
                  <c:v>40.707367893087195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70D-4C62-97E7-29CB7ABB9461}"/>
            </c:ext>
          </c:extLst>
        </c:ser>
        <c:ser>
          <c:idx val="4"/>
          <c:order val="4"/>
          <c:tx>
            <c:v>verkkokäyrän pisteet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0D-4C62-97E7-29CB7ABB9461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870D-4C62-97E7-29CB7ABB9461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33545236575157833"/>
                  <c:y val="-5.659847766905901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99.72861757132172</c:v>
                </c:pt>
                <c:pt idx="1">
                  <c:v>82.531273004241669</c:v>
                </c:pt>
                <c:pt idx="2">
                  <c:v>59.77342771579147</c:v>
                </c:pt>
                <c:pt idx="3">
                  <c:v>36.214720979239374</c:v>
                </c:pt>
              </c:numCache>
            </c:numRef>
          </c:xVal>
          <c:yVal>
            <c:numRef>
              <c:f>'Laskenta tulopuoli 130'!$AF$34:$AF$37</c:f>
              <c:numCache>
                <c:formatCode>0.0</c:formatCode>
                <c:ptCount val="4"/>
                <c:pt idx="0">
                  <c:v>59.985878217689297</c:v>
                </c:pt>
                <c:pt idx="1">
                  <c:v>55.777477787785024</c:v>
                </c:pt>
                <c:pt idx="2">
                  <c:v>49.335069347654695</c:v>
                </c:pt>
                <c:pt idx="3">
                  <c:v>40.696621535644582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70D-4C62-97E7-29CB7ABB9461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130'!$W$5</c:f>
              <c:numCache>
                <c:formatCode>0.0</c:formatCode>
                <c:ptCount val="1"/>
                <c:pt idx="0">
                  <c:v>42.269750836614307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870D-4C62-97E7-29CB7ABB9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100'!$AA$4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100'!$AB$6:$AB$12</c:f>
              <c:numCache>
                <c:formatCode>0.0</c:formatCode>
                <c:ptCount val="7"/>
                <c:pt idx="0">
                  <c:v>115.67880715777122</c:v>
                </c:pt>
                <c:pt idx="1">
                  <c:v>103.49402125954791</c:v>
                </c:pt>
                <c:pt idx="2">
                  <c:v>93.392194792281046</c:v>
                </c:pt>
                <c:pt idx="3">
                  <c:v>83.647531933078071</c:v>
                </c:pt>
                <c:pt idx="4">
                  <c:v>70.340226812771604</c:v>
                </c:pt>
                <c:pt idx="5">
                  <c:v>53.15774384679068</c:v>
                </c:pt>
                <c:pt idx="6">
                  <c:v>41.2632427578814</c:v>
                </c:pt>
              </c:numCache>
            </c:numRef>
          </c:xVal>
          <c:yVal>
            <c:numRef>
              <c:f>'Laskenta poistopuoli 100'!$AA$6:$AA$12</c:f>
              <c:numCache>
                <c:formatCode>0.0</c:formatCode>
                <c:ptCount val="7"/>
                <c:pt idx="0">
                  <c:v>25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70-44C0-86AA-450BA420F56E}"/>
            </c:ext>
          </c:extLst>
        </c:ser>
        <c:ser>
          <c:idx val="1"/>
          <c:order val="1"/>
          <c:tx>
            <c:strRef>
              <c:f>'Laskenta poistopuoli 100'!$AC$4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100'!$AD$6:$AD$12</c:f>
              <c:numCache>
                <c:formatCode>0.0</c:formatCode>
                <c:ptCount val="7"/>
                <c:pt idx="0">
                  <c:v>91.988373586551461</c:v>
                </c:pt>
                <c:pt idx="1">
                  <c:v>86.286536155517794</c:v>
                </c:pt>
                <c:pt idx="2">
                  <c:v>75.900637350102883</c:v>
                </c:pt>
                <c:pt idx="3">
                  <c:v>63.979035472792781</c:v>
                </c:pt>
                <c:pt idx="4">
                  <c:v>58.592403493552204</c:v>
                </c:pt>
                <c:pt idx="5">
                  <c:v>52.709351379206979</c:v>
                </c:pt>
                <c:pt idx="6">
                  <c:v>32.044849239800861</c:v>
                </c:pt>
              </c:numCache>
            </c:numRef>
          </c:xVal>
          <c:yVal>
            <c:numRef>
              <c:f>'Laskenta poistopuoli 100'!$AC$6:$AC$12</c:f>
              <c:numCache>
                <c:formatCode>0.0</c:formatCode>
                <c:ptCount val="7"/>
                <c:pt idx="0">
                  <c:v>20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70-44C0-86AA-450BA420F56E}"/>
            </c:ext>
          </c:extLst>
        </c:ser>
        <c:ser>
          <c:idx val="2"/>
          <c:order val="2"/>
          <c:tx>
            <c:strRef>
              <c:f>'Laskenta poistopuoli 100'!$AE$4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100'!$AF$6:$AF$11</c:f>
              <c:numCache>
                <c:formatCode>0.0</c:formatCode>
                <c:ptCount val="6"/>
                <c:pt idx="0">
                  <c:v>63.494874015749062</c:v>
                </c:pt>
                <c:pt idx="1">
                  <c:v>56.973770904089747</c:v>
                </c:pt>
                <c:pt idx="2">
                  <c:v>51.145153604780376</c:v>
                </c:pt>
                <c:pt idx="3">
                  <c:v>44.536021272153903</c:v>
                </c:pt>
                <c:pt idx="4">
                  <c:v>36.710790610696051</c:v>
                </c:pt>
                <c:pt idx="5">
                  <c:v>23.297949159489587</c:v>
                </c:pt>
              </c:numCache>
            </c:numRef>
          </c:xVal>
          <c:yVal>
            <c:numRef>
              <c:f>'Laskenta poistopuoli 100'!$AE$6:$AE$11</c:f>
              <c:numCache>
                <c:formatCode>0.0</c:formatCode>
                <c:ptCount val="6"/>
                <c:pt idx="0">
                  <c:v>15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770-44C0-86AA-450BA420F56E}"/>
            </c:ext>
          </c:extLst>
        </c:ser>
        <c:ser>
          <c:idx val="3"/>
          <c:order val="3"/>
          <c:tx>
            <c:strRef>
              <c:f>'Laskenta poistopuoli 100'!$AG$4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100'!$AH$6:$AH$10</c:f>
              <c:numCache>
                <c:formatCode>0.0</c:formatCode>
                <c:ptCount val="5"/>
                <c:pt idx="0">
                  <c:v>29.670491870313402</c:v>
                </c:pt>
                <c:pt idx="1">
                  <c:v>22.578901953211147</c:v>
                </c:pt>
                <c:pt idx="2">
                  <c:v>16.488965411522997</c:v>
                </c:pt>
                <c:pt idx="3">
                  <c:v>13.708304384736721</c:v>
                </c:pt>
                <c:pt idx="4">
                  <c:v>11.06772203702376</c:v>
                </c:pt>
              </c:numCache>
            </c:numRef>
          </c:xVal>
          <c:yVal>
            <c:numRef>
              <c:f>'Laskenta poistopuoli 100'!$AG$6:$AG$10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35</c:v>
                </c:pt>
                <c:pt idx="4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770-44C0-86AA-450BA420F56E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100'!$J$3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100'!$L$3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770-44C0-86AA-450BA420F56E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100'!$AC$34:$AC$37</c:f>
              <c:numCache>
                <c:formatCode>0.0</c:formatCode>
                <c:ptCount val="4"/>
                <c:pt idx="0">
                  <c:v>86.445747016968241</c:v>
                </c:pt>
                <c:pt idx="1">
                  <c:v>66.731308572164934</c:v>
                </c:pt>
                <c:pt idx="2">
                  <c:v>47.646247018257952</c:v>
                </c:pt>
                <c:pt idx="3">
                  <c:v>23.951173748430193</c:v>
                </c:pt>
              </c:numCache>
            </c:numRef>
          </c:xVal>
          <c:yVal>
            <c:numRef>
              <c:f>'Laskenta poistopuoli 100'!$AD$34:$AD$37</c:f>
              <c:numCache>
                <c:formatCode>0.0</c:formatCode>
                <c:ptCount val="4"/>
                <c:pt idx="0">
                  <c:v>233.52709929130225</c:v>
                </c:pt>
                <c:pt idx="1">
                  <c:v>139.15836074229659</c:v>
                </c:pt>
                <c:pt idx="2">
                  <c:v>70.942651716401741</c:v>
                </c:pt>
                <c:pt idx="3">
                  <c:v>17.926835122734104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770-44C0-86AA-450BA420F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Ulkokanava: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6.2929313323014116E-2"/>
                  <c:y val="0.4243521211656084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150'!$D$59:$D$62</c:f>
              <c:numCache>
                <c:formatCode>0.0</c:formatCode>
                <c:ptCount val="4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</c:numCache>
            </c:numRef>
          </c:xVal>
          <c:yVal>
            <c:numRef>
              <c:f>'Laskenta tulopuoli 150'!$E$59:$E$62</c:f>
              <c:numCache>
                <c:formatCode>0.0</c:formatCode>
                <c:ptCount val="4"/>
                <c:pt idx="0">
                  <c:v>59.584121033260161</c:v>
                </c:pt>
                <c:pt idx="1">
                  <c:v>59.034665171222933</c:v>
                </c:pt>
                <c:pt idx="2">
                  <c:v>58.616529819458627</c:v>
                </c:pt>
                <c:pt idx="3">
                  <c:v>57.87243224523074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C9-4A1D-9D99-9F4BF7E02D84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928025663458737"/>
                  <c:y val="0.2214258982520012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150'!$D$64:$D$67</c:f>
              <c:numCache>
                <c:formatCode>0.0</c:formatCode>
                <c:ptCount val="4"/>
                <c:pt idx="0">
                  <c:v>115.79564526412705</c:v>
                </c:pt>
                <c:pt idx="1">
                  <c:v>106.97675022173922</c:v>
                </c:pt>
                <c:pt idx="2">
                  <c:v>98.206572415924612</c:v>
                </c:pt>
                <c:pt idx="3">
                  <c:v>88.917966582246621</c:v>
                </c:pt>
              </c:numCache>
            </c:numRef>
          </c:xVal>
          <c:yVal>
            <c:numRef>
              <c:f>'Laskenta tulopuoli 150'!$E$64:$E$67</c:f>
              <c:numCache>
                <c:formatCode>0.0</c:formatCode>
                <c:ptCount val="4"/>
                <c:pt idx="0">
                  <c:v>56.197280887668541</c:v>
                </c:pt>
                <c:pt idx="1">
                  <c:v>55.237406763421937</c:v>
                </c:pt>
                <c:pt idx="2">
                  <c:v>54.74149561639608</c:v>
                </c:pt>
                <c:pt idx="3">
                  <c:v>55.175030795562357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6C9-4A1D-9D99-9F4BF7E02D84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150'!$D$69:$D$72</c:f>
              <c:numCache>
                <c:formatCode>0.0</c:formatCode>
                <c:ptCount val="4"/>
                <c:pt idx="0">
                  <c:v>84.357257896408399</c:v>
                </c:pt>
                <c:pt idx="1">
                  <c:v>78.503845274925567</c:v>
                </c:pt>
                <c:pt idx="2">
                  <c:v>72.383196337283366</c:v>
                </c:pt>
                <c:pt idx="3">
                  <c:v>65.600686333526227</c:v>
                </c:pt>
              </c:numCache>
            </c:numRef>
          </c:xVal>
          <c:yVal>
            <c:numRef>
              <c:f>'Laskenta tulopuoli 150'!$E$69:$E$72</c:f>
              <c:numCache>
                <c:formatCode>0.0</c:formatCode>
                <c:ptCount val="4"/>
                <c:pt idx="0">
                  <c:v>51.396877204560091</c:v>
                </c:pt>
                <c:pt idx="1">
                  <c:v>50.687179139252699</c:v>
                </c:pt>
                <c:pt idx="2">
                  <c:v>50.612475302246779</c:v>
                </c:pt>
                <c:pt idx="3">
                  <c:v>49.639499165934055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6C9-4A1D-9D99-9F4BF7E02D84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60398860398860399"/>
                  <c:y val="7.995492679376614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150'!$D$74:$D$77</c:f>
              <c:numCache>
                <c:formatCode>0.0</c:formatCode>
                <c:ptCount val="4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36.701633625452011</c:v>
                </c:pt>
              </c:numCache>
            </c:numRef>
          </c:xVal>
          <c:yVal>
            <c:numRef>
              <c:f>'Laskenta tulopuoli 150'!$E$74:$E$77</c:f>
              <c:numCache>
                <c:formatCode>0.0</c:formatCode>
                <c:ptCount val="4"/>
                <c:pt idx="0">
                  <c:v>38.857851553991033</c:v>
                </c:pt>
                <c:pt idx="1">
                  <c:v>38.771970649710418</c:v>
                </c:pt>
                <c:pt idx="2">
                  <c:v>38.312133032218668</c:v>
                </c:pt>
                <c:pt idx="3">
                  <c:v>38.385869540907585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6C9-4A1D-9D99-9F4BF7E02D84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C9-4A1D-9D99-9F4BF7E02D84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46C9-4A1D-9D99-9F4BF7E02D84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114.76341027305519</c:v>
                </c:pt>
                <c:pt idx="1">
                  <c:v>84.584239894694008</c:v>
                </c:pt>
                <c:pt idx="2">
                  <c:v>62.868423519515112</c:v>
                </c:pt>
              </c:numCache>
            </c:numRef>
          </c:xVal>
          <c:yVal>
            <c:numRef>
              <c:f>'Laskenta tulopuoli 150'!$AF$34:$AF$36</c:f>
              <c:numCache>
                <c:formatCode>0.0</c:formatCode>
                <c:ptCount val="3"/>
                <c:pt idx="0">
                  <c:v>57.414798783819847</c:v>
                </c:pt>
                <c:pt idx="1">
                  <c:v>55.576253253235848</c:v>
                </c:pt>
                <c:pt idx="2">
                  <c:v>49.388642048660827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46C9-4A1D-9D99-9F4BF7E02D84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150'!$W$5</c:f>
              <c:numCache>
                <c:formatCode>0.0</c:formatCode>
                <c:ptCount val="1"/>
                <c:pt idx="0">
                  <c:v>40.858202443542446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46C9-4A1D-9D99-9F4BF7E02D84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84.584239894694008</c:v>
                </c:pt>
                <c:pt idx="1">
                  <c:v>62.868423519515112</c:v>
                </c:pt>
                <c:pt idx="2">
                  <c:v>35.11101833828733</c:v>
                </c:pt>
              </c:numCache>
            </c:numRef>
          </c:xVal>
          <c:yVal>
            <c:numRef>
              <c:f>'Laskenta tulopuoli 150'!$AF$35:$AF$37</c:f>
              <c:numCache>
                <c:formatCode>0.0</c:formatCode>
                <c:ptCount val="3"/>
                <c:pt idx="0">
                  <c:v>55.576253253235848</c:v>
                </c:pt>
                <c:pt idx="1">
                  <c:v>49.388642048660827</c:v>
                </c:pt>
                <c:pt idx="2">
                  <c:v>38.411280934164061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46C9-4A1D-9D99-9F4BF7E02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150'!$N$59:$N$62</c:f>
              <c:numCache>
                <c:formatCode>0.0</c:formatCode>
                <c:ptCount val="4"/>
                <c:pt idx="0">
                  <c:v>157.12388402585512</c:v>
                </c:pt>
                <c:pt idx="1">
                  <c:v>146.40382196258597</c:v>
                </c:pt>
                <c:pt idx="2">
                  <c:v>134.62489122030723</c:v>
                </c:pt>
                <c:pt idx="3">
                  <c:v>122.81318999787912</c:v>
                </c:pt>
              </c:numCache>
            </c:numRef>
          </c:xVal>
          <c:yVal>
            <c:numRef>
              <c:f>'Laskenta tulopuoli 150'!$O$59:$O$62</c:f>
              <c:numCache>
                <c:formatCode>0.0</c:formatCode>
                <c:ptCount val="4"/>
                <c:pt idx="0">
                  <c:v>73.586266756288396</c:v>
                </c:pt>
                <c:pt idx="1">
                  <c:v>72.598590028138631</c:v>
                </c:pt>
                <c:pt idx="2">
                  <c:v>71.643458641188545</c:v>
                </c:pt>
                <c:pt idx="3">
                  <c:v>71.624683220101119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A3-4D36-87DB-1290152AB286}"/>
            </c:ext>
          </c:extLst>
        </c:ser>
        <c:ser>
          <c:idx val="1"/>
          <c:order val="1"/>
          <c:tx>
            <c:strRef>
              <c:f>'Laskenta tulopuoli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150'!$N$64:$N$67</c:f>
              <c:numCache>
                <c:formatCode>0.0</c:formatCode>
                <c:ptCount val="4"/>
                <c:pt idx="0">
                  <c:v>115.7527395118049</c:v>
                </c:pt>
                <c:pt idx="1">
                  <c:v>106.91665501286138</c:v>
                </c:pt>
                <c:pt idx="2">
                  <c:v>97.668417506006648</c:v>
                </c:pt>
                <c:pt idx="3">
                  <c:v>88.471240528681378</c:v>
                </c:pt>
              </c:numCache>
            </c:numRef>
          </c:xVal>
          <c:yVal>
            <c:numRef>
              <c:f>'Laskenta tulopuoli 150'!$O$64:$O$67</c:f>
              <c:numCache>
                <c:formatCode>0.0</c:formatCode>
                <c:ptCount val="4"/>
                <c:pt idx="0">
                  <c:v>69.410422694236928</c:v>
                </c:pt>
                <c:pt idx="1">
                  <c:v>68.273831250714295</c:v>
                </c:pt>
                <c:pt idx="2">
                  <c:v>68.062176855408353</c:v>
                </c:pt>
                <c:pt idx="3">
                  <c:v>66.721187940680181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A3-4D36-87DB-1290152AB286}"/>
            </c:ext>
          </c:extLst>
        </c:ser>
        <c:ser>
          <c:idx val="2"/>
          <c:order val="2"/>
          <c:tx>
            <c:strRef>
              <c:f>'Laskenta tulopuoli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150'!$N$69:$N$72</c:f>
              <c:numCache>
                <c:formatCode>0.0</c:formatCode>
                <c:ptCount val="4"/>
                <c:pt idx="0">
                  <c:v>84.276112176172617</c:v>
                </c:pt>
                <c:pt idx="1">
                  <c:v>78.366665869479021</c:v>
                </c:pt>
                <c:pt idx="2">
                  <c:v>71.9434750225589</c:v>
                </c:pt>
                <c:pt idx="3">
                  <c:v>65.492862624326236</c:v>
                </c:pt>
              </c:numCache>
            </c:numRef>
          </c:xVal>
          <c:yVal>
            <c:numRef>
              <c:f>'Laskenta tulopuoli 150'!$O$69:$O$72</c:f>
              <c:numCache>
                <c:formatCode>0.0</c:formatCode>
                <c:ptCount val="4"/>
                <c:pt idx="0">
                  <c:v>62.221587821743327</c:v>
                </c:pt>
                <c:pt idx="1">
                  <c:v>61.769751245014781</c:v>
                </c:pt>
                <c:pt idx="2">
                  <c:v>61.518377533862719</c:v>
                </c:pt>
                <c:pt idx="3">
                  <c:v>60.996208646351839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A3-4D36-87DB-1290152AB286}"/>
            </c:ext>
          </c:extLst>
        </c:ser>
        <c:ser>
          <c:idx val="3"/>
          <c:order val="3"/>
          <c:tx>
            <c:strRef>
              <c:f>'Laskenta tulopuoli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150'!$N$74:$N$77</c:f>
              <c:numCache>
                <c:formatCode>0.0</c:formatCode>
                <c:ptCount val="4"/>
                <c:pt idx="0">
                  <c:v>45.056263579141628</c:v>
                </c:pt>
                <c:pt idx="1">
                  <c:v>42.835910101814022</c:v>
                </c:pt>
                <c:pt idx="2">
                  <c:v>40.04683467591375</c:v>
                </c:pt>
                <c:pt idx="3">
                  <c:v>36.610447186451644</c:v>
                </c:pt>
              </c:numCache>
            </c:numRef>
          </c:xVal>
          <c:yVal>
            <c:numRef>
              <c:f>'Laskenta tulopuoli 150'!$O$74:$O$77</c:f>
              <c:numCache>
                <c:formatCode>0.0</c:formatCode>
                <c:ptCount val="4"/>
                <c:pt idx="0">
                  <c:v>51.172241569318196</c:v>
                </c:pt>
                <c:pt idx="1">
                  <c:v>51.491026615654533</c:v>
                </c:pt>
                <c:pt idx="2">
                  <c:v>51.101913029693968</c:v>
                </c:pt>
                <c:pt idx="3">
                  <c:v>50.408682683836055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6A3-4D36-87DB-1290152AB286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150'!$AC$34:$AC$36</c:f>
              <c:numCache>
                <c:formatCode>0.0</c:formatCode>
                <c:ptCount val="3"/>
                <c:pt idx="0">
                  <c:v>114.76341027305519</c:v>
                </c:pt>
                <c:pt idx="1">
                  <c:v>84.584239894694008</c:v>
                </c:pt>
                <c:pt idx="2">
                  <c:v>62.868423519515112</c:v>
                </c:pt>
              </c:numCache>
            </c:numRef>
          </c:xVal>
          <c:yVal>
            <c:numRef>
              <c:f>'Laskenta tulopuoli 150'!$AG$34:$AG$36</c:f>
              <c:numCache>
                <c:formatCode>0.0</c:formatCode>
                <c:ptCount val="3"/>
                <c:pt idx="0">
                  <c:v>71.796634316383717</c:v>
                </c:pt>
                <c:pt idx="1">
                  <c:v>66.403471419243758</c:v>
                </c:pt>
                <c:pt idx="2">
                  <c:v>60.840450361330213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6A3-4D36-87DB-1290152AB286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150'!$W$8</c:f>
              <c:numCache>
                <c:formatCode>0.0</c:formatCode>
                <c:ptCount val="1"/>
                <c:pt idx="0">
                  <c:v>52.294183204364593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6A3-4D36-87DB-1290152AB286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84.584239894694008</c:v>
                </c:pt>
                <c:pt idx="1">
                  <c:v>62.868423519515112</c:v>
                </c:pt>
                <c:pt idx="2">
                  <c:v>35.11101833828733</c:v>
                </c:pt>
              </c:numCache>
            </c:numRef>
          </c:xVal>
          <c:yVal>
            <c:numRef>
              <c:f>'Laskenta tulopuoli 150'!$AG$35:$AG$37</c:f>
              <c:numCache>
                <c:formatCode>0.0</c:formatCode>
                <c:ptCount val="3"/>
                <c:pt idx="0">
                  <c:v>66.403471419243758</c:v>
                </c:pt>
                <c:pt idx="1">
                  <c:v>60.840450361330213</c:v>
                </c:pt>
                <c:pt idx="2">
                  <c:v>49.829240028815313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26A3-4D36-87DB-1290152AB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150'!$AJ$34:$AJ$35</c:f>
              <c:numCache>
                <c:formatCode>0.0</c:formatCode>
                <c:ptCount val="2"/>
                <c:pt idx="0">
                  <c:v>114.76341027305519</c:v>
                </c:pt>
                <c:pt idx="1">
                  <c:v>84.584239894694008</c:v>
                </c:pt>
              </c:numCache>
            </c:numRef>
          </c:xVal>
          <c:yVal>
            <c:numRef>
              <c:f>'Laskenta tulopuoli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ED-4E85-BC0A-ABF8E6013DA4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150'!$W$12</c:f>
              <c:numCache>
                <c:formatCode>0.0</c:formatCode>
                <c:ptCount val="1"/>
                <c:pt idx="0">
                  <c:v>3.3567309697840533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AED-4E85-BC0A-ABF8E6013DA4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tulopuoli 150'!$AC$35:$AC$37</c:f>
              <c:numCache>
                <c:formatCode>0.0</c:formatCode>
                <c:ptCount val="3"/>
                <c:pt idx="0">
                  <c:v>84.584239894694008</c:v>
                </c:pt>
                <c:pt idx="1">
                  <c:v>62.868423519515112</c:v>
                </c:pt>
                <c:pt idx="2">
                  <c:v>35.11101833828733</c:v>
                </c:pt>
              </c:numCache>
            </c:numRef>
          </c:xVal>
          <c:yVal>
            <c:numRef>
              <c:f>'Laskenta tulopuoli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9AED-4E85-BC0A-ABF8E6013DA4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tulopuoli 150'!$AL$36</c:f>
              <c:numCache>
                <c:formatCode>0.0</c:formatCode>
                <c:ptCount val="1"/>
                <c:pt idx="0">
                  <c:v>48</c:v>
                </c:pt>
              </c:numCache>
            </c:numRef>
          </c:xVal>
          <c:yVal>
            <c:numRef>
              <c:f>'Laskenta tulopuoli 150'!$AO$36</c:f>
              <c:numCache>
                <c:formatCode>0.0</c:formatCode>
                <c:ptCount val="1"/>
                <c:pt idx="0">
                  <c:v>3.9231691289924289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EFB-4CAA-A9B8-9713E4713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150'!$X$59:$X$66</c:f>
              <c:numCache>
                <c:formatCode>0.0</c:formatCode>
                <c:ptCount val="8"/>
                <c:pt idx="0">
                  <c:v>157.28305069533172</c:v>
                </c:pt>
                <c:pt idx="1">
                  <c:v>146.55078601347955</c:v>
                </c:pt>
                <c:pt idx="2">
                  <c:v>135.16967854746008</c:v>
                </c:pt>
                <c:pt idx="3">
                  <c:v>122.87386253386013</c:v>
                </c:pt>
                <c:pt idx="4">
                  <c:v>157.12388402585512</c:v>
                </c:pt>
                <c:pt idx="5">
                  <c:v>146.40382196258597</c:v>
                </c:pt>
                <c:pt idx="6">
                  <c:v>134.62489122030723</c:v>
                </c:pt>
                <c:pt idx="7">
                  <c:v>122.81318999787912</c:v>
                </c:pt>
              </c:numCache>
            </c:numRef>
          </c:xVal>
          <c:yVal>
            <c:numRef>
              <c:f>'Laskenta tulopuoli 150'!$Y$59:$Y$66</c:f>
              <c:numCache>
                <c:formatCode>0.0</c:formatCode>
                <c:ptCount val="8"/>
                <c:pt idx="0">
                  <c:v>166.48112332133923</c:v>
                </c:pt>
                <c:pt idx="1">
                  <c:v>166.42923332157457</c:v>
                </c:pt>
                <c:pt idx="2">
                  <c:v>166.52729894333069</c:v>
                </c:pt>
                <c:pt idx="3">
                  <c:v>166.32352391719792</c:v>
                </c:pt>
                <c:pt idx="4">
                  <c:v>168.36896936050229</c:v>
                </c:pt>
                <c:pt idx="5">
                  <c:v>168.14315376683695</c:v>
                </c:pt>
                <c:pt idx="6">
                  <c:v>168.27049338091555</c:v>
                </c:pt>
                <c:pt idx="7">
                  <c:v>168.09244462004463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BBB-4A80-8794-06C2EF2D9B02}"/>
            </c:ext>
          </c:extLst>
        </c:ser>
        <c:ser>
          <c:idx val="1"/>
          <c:order val="1"/>
          <c:tx>
            <c:strRef>
              <c:f>'Laskenta tulopuoli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150'!$X$68:$X$74</c:f>
              <c:numCache>
                <c:formatCode>0.0</c:formatCode>
                <c:ptCount val="7"/>
                <c:pt idx="0">
                  <c:v>115.79564526412705</c:v>
                </c:pt>
                <c:pt idx="1">
                  <c:v>106.97675022173922</c:v>
                </c:pt>
                <c:pt idx="2">
                  <c:v>88.917966582246621</c:v>
                </c:pt>
                <c:pt idx="3">
                  <c:v>115.7527395118049</c:v>
                </c:pt>
                <c:pt idx="4">
                  <c:v>106.91665501286138</c:v>
                </c:pt>
                <c:pt idx="5">
                  <c:v>97.668417506006648</c:v>
                </c:pt>
                <c:pt idx="6">
                  <c:v>88.471240528681378</c:v>
                </c:pt>
              </c:numCache>
            </c:numRef>
          </c:xVal>
          <c:yVal>
            <c:numRef>
              <c:f>'Laskenta tulopuoli 150'!$Y$68:$Y$74</c:f>
              <c:numCache>
                <c:formatCode>0.0</c:formatCode>
                <c:ptCount val="7"/>
                <c:pt idx="0">
                  <c:v>80.608112872381284</c:v>
                </c:pt>
                <c:pt idx="1">
                  <c:v>80.694248796772087</c:v>
                </c:pt>
                <c:pt idx="2">
                  <c:v>78.903619549585414</c:v>
                </c:pt>
                <c:pt idx="3">
                  <c:v>81.524141516906852</c:v>
                </c:pt>
                <c:pt idx="4">
                  <c:v>81.530004886189204</c:v>
                </c:pt>
                <c:pt idx="5">
                  <c:v>80.071634336582761</c:v>
                </c:pt>
                <c:pt idx="6">
                  <c:v>79.731279286309771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BBB-4A80-8794-06C2EF2D9B02}"/>
            </c:ext>
          </c:extLst>
        </c:ser>
        <c:ser>
          <c:idx val="2"/>
          <c:order val="2"/>
          <c:tx>
            <c:strRef>
              <c:f>'Laskenta tulopuoli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150'!$X$76:$X$82</c:f>
              <c:numCache>
                <c:formatCode>0.0</c:formatCode>
                <c:ptCount val="7"/>
                <c:pt idx="0">
                  <c:v>84.357257896408399</c:v>
                </c:pt>
                <c:pt idx="1">
                  <c:v>78.503845274925567</c:v>
                </c:pt>
                <c:pt idx="2">
                  <c:v>65.600686333526227</c:v>
                </c:pt>
                <c:pt idx="3">
                  <c:v>84.276112176172617</c:v>
                </c:pt>
                <c:pt idx="4">
                  <c:v>78.366665869479021</c:v>
                </c:pt>
                <c:pt idx="5">
                  <c:v>71.9434750225589</c:v>
                </c:pt>
                <c:pt idx="6">
                  <c:v>65.492862624326236</c:v>
                </c:pt>
              </c:numCache>
            </c:numRef>
          </c:xVal>
          <c:yVal>
            <c:numRef>
              <c:f>'Laskenta tulopuoli 150'!$Y$76:$Y$82</c:f>
              <c:numCache>
                <c:formatCode>0.0</c:formatCode>
                <c:ptCount val="7"/>
                <c:pt idx="0">
                  <c:v>39.263936860617122</c:v>
                </c:pt>
                <c:pt idx="1">
                  <c:v>39.205095983284998</c:v>
                </c:pt>
                <c:pt idx="2">
                  <c:v>38.567327276797485</c:v>
                </c:pt>
                <c:pt idx="3">
                  <c:v>39.708361053428277</c:v>
                </c:pt>
                <c:pt idx="4">
                  <c:v>39.612367593859325</c:v>
                </c:pt>
                <c:pt idx="5">
                  <c:v>39.564974448031926</c:v>
                </c:pt>
                <c:pt idx="6">
                  <c:v>38.97346583117239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BBB-4A80-8794-06C2EF2D9B02}"/>
            </c:ext>
          </c:extLst>
        </c:ser>
        <c:ser>
          <c:idx val="3"/>
          <c:order val="3"/>
          <c:tx>
            <c:strRef>
              <c:f>'Laskenta tulopuoli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150'!$X$84:$X$90</c:f>
              <c:numCache>
                <c:formatCode>0.0</c:formatCode>
                <c:ptCount val="7"/>
                <c:pt idx="0">
                  <c:v>45.043697488606703</c:v>
                </c:pt>
                <c:pt idx="1">
                  <c:v>42.867192759507176</c:v>
                </c:pt>
                <c:pt idx="2">
                  <c:v>40.200875313800047</c:v>
                </c:pt>
                <c:pt idx="3">
                  <c:v>45.056263579141628</c:v>
                </c:pt>
                <c:pt idx="4">
                  <c:v>42.835910101814022</c:v>
                </c:pt>
                <c:pt idx="5">
                  <c:v>40.04683467591375</c:v>
                </c:pt>
                <c:pt idx="6">
                  <c:v>36.610447186451644</c:v>
                </c:pt>
              </c:numCache>
            </c:numRef>
          </c:xVal>
          <c:yVal>
            <c:numRef>
              <c:f>'Laskenta tulopuoli 150'!$Y$84:$Y$90</c:f>
              <c:numCache>
                <c:formatCode>0.0</c:formatCode>
                <c:ptCount val="7"/>
                <c:pt idx="0">
                  <c:v>12.340574913574338</c:v>
                </c:pt>
                <c:pt idx="1">
                  <c:v>12.170740859137242</c:v>
                </c:pt>
                <c:pt idx="2">
                  <c:v>12.068060072659554</c:v>
                </c:pt>
                <c:pt idx="3">
                  <c:v>12.47957178325729</c:v>
                </c:pt>
                <c:pt idx="4">
                  <c:v>12.297721047662893</c:v>
                </c:pt>
                <c:pt idx="5">
                  <c:v>12.206532294709383</c:v>
                </c:pt>
                <c:pt idx="6">
                  <c:v>12.062555970967841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BBB-4A80-8794-06C2EF2D9B0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150'!$AC$34:$AC$38</c:f>
              <c:numCache>
                <c:formatCode>0.0</c:formatCode>
                <c:ptCount val="5"/>
                <c:pt idx="0">
                  <c:v>114.76341027305519</c:v>
                </c:pt>
                <c:pt idx="1">
                  <c:v>84.584239894694008</c:v>
                </c:pt>
                <c:pt idx="2">
                  <c:v>62.868423519515112</c:v>
                </c:pt>
                <c:pt idx="3">
                  <c:v>35.11101833828733</c:v>
                </c:pt>
              </c:numCache>
            </c:numRef>
          </c:xVal>
          <c:yVal>
            <c:numRef>
              <c:f>'Laskenta tulopuoli 150'!$AE$34:$AE$37</c:f>
              <c:numCache>
                <c:formatCode>0.0</c:formatCode>
                <c:ptCount val="4"/>
                <c:pt idx="0">
                  <c:v>167.17425415769452</c:v>
                </c:pt>
                <c:pt idx="1">
                  <c:v>78.649240678363086</c:v>
                </c:pt>
                <c:pt idx="2">
                  <c:v>38.501566877280268</c:v>
                </c:pt>
                <c:pt idx="3">
                  <c:v>12.084424539445212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BBB-4A80-8794-06C2EF2D9B0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150'!$W$16</c:f>
              <c:numCache>
                <c:formatCode>0.0</c:formatCode>
                <c:ptCount val="1"/>
                <c:pt idx="0">
                  <c:v>14.57939135094486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3BBB-4A80-8794-06C2EF2D9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tulopuoli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150'!$AB$6:$AB$12</c:f>
              <c:numCache>
                <c:formatCode>0.0</c:formatCode>
                <c:ptCount val="7"/>
                <c:pt idx="0">
                  <c:v>163.27621827727629</c:v>
                </c:pt>
                <c:pt idx="1">
                  <c:v>155.01781265788924</c:v>
                </c:pt>
                <c:pt idx="2">
                  <c:v>145.37230967576792</c:v>
                </c:pt>
                <c:pt idx="3">
                  <c:v>137.09553750932855</c:v>
                </c:pt>
                <c:pt idx="4">
                  <c:v>127.42853528220249</c:v>
                </c:pt>
                <c:pt idx="5">
                  <c:v>123.28197466777817</c:v>
                </c:pt>
                <c:pt idx="6">
                  <c:v>113.59833638037064</c:v>
                </c:pt>
              </c:numCache>
            </c:numRef>
          </c:xVal>
          <c:yVal>
            <c:numRef>
              <c:f>'Laskenta tulopuoli 150'!$AA$6:$AA$12</c:f>
              <c:numCache>
                <c:formatCode>0.0</c:formatCode>
                <c:ptCount val="7"/>
                <c:pt idx="0">
                  <c:v>60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350</c:v>
                </c:pt>
                <c:pt idx="6">
                  <c:v>420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66-40DA-964B-E50AD46D480B}"/>
            </c:ext>
          </c:extLst>
        </c:ser>
        <c:ser>
          <c:idx val="1"/>
          <c:order val="1"/>
          <c:tx>
            <c:strRef>
              <c:f>'Laskenta tulopuoli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150'!$AD$6:$AD$12</c:f>
              <c:numCache>
                <c:formatCode>0.0</c:formatCode>
                <c:ptCount val="7"/>
                <c:pt idx="0">
                  <c:v>119.61125525000722</c:v>
                </c:pt>
                <c:pt idx="1">
                  <c:v>117.54420481108893</c:v>
                </c:pt>
                <c:pt idx="2">
                  <c:v>107.51569663316263</c:v>
                </c:pt>
                <c:pt idx="3">
                  <c:v>97.947292697105993</c:v>
                </c:pt>
                <c:pt idx="4">
                  <c:v>94.235341332553887</c:v>
                </c:pt>
                <c:pt idx="5">
                  <c:v>90.584425650551594</c:v>
                </c:pt>
                <c:pt idx="6">
                  <c:v>81.705583352655495</c:v>
                </c:pt>
              </c:numCache>
            </c:numRef>
          </c:xVal>
          <c:yVal>
            <c:numRef>
              <c:f>'Laskenta tulopuoli 150'!$AC$6:$AC$12</c:f>
              <c:numCache>
                <c:formatCode>0.0</c:formatCode>
                <c:ptCount val="7"/>
                <c:pt idx="0">
                  <c:v>40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766-40DA-964B-E50AD46D480B}"/>
            </c:ext>
          </c:extLst>
        </c:ser>
        <c:ser>
          <c:idx val="2"/>
          <c:order val="2"/>
          <c:tx>
            <c:strRef>
              <c:f>'Laskenta tulopuoli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150'!$AF$6:$AF$11</c:f>
              <c:numCache>
                <c:formatCode>0.0</c:formatCode>
                <c:ptCount val="6"/>
                <c:pt idx="0">
                  <c:v>85.871546877565663</c:v>
                </c:pt>
                <c:pt idx="1">
                  <c:v>82.320877538980454</c:v>
                </c:pt>
                <c:pt idx="2">
                  <c:v>77.614114597794</c:v>
                </c:pt>
                <c:pt idx="3">
                  <c:v>72.938172794171322</c:v>
                </c:pt>
                <c:pt idx="4">
                  <c:v>68.292454467686269</c:v>
                </c:pt>
                <c:pt idx="5">
                  <c:v>61.379285336312044</c:v>
                </c:pt>
              </c:numCache>
            </c:numRef>
          </c:xVal>
          <c:yVal>
            <c:numRef>
              <c:f>'Laskenta tulopuoli 150'!$AE$6:$AE$11</c:f>
              <c:numCache>
                <c:formatCode>0.0</c:formatCode>
                <c:ptCount val="6"/>
                <c:pt idx="0">
                  <c:v>25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766-40DA-964B-E50AD46D480B}"/>
            </c:ext>
          </c:extLst>
        </c:ser>
        <c:ser>
          <c:idx val="3"/>
          <c:order val="3"/>
          <c:tx>
            <c:strRef>
              <c:f>'Laskenta tulopuoli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150'!$AH$6:$AH$10</c:f>
              <c:numCache>
                <c:formatCode>0.0</c:formatCode>
                <c:ptCount val="5"/>
                <c:pt idx="0">
                  <c:v>45.102913284775056</c:v>
                </c:pt>
                <c:pt idx="1">
                  <c:v>41.773612621820391</c:v>
                </c:pt>
                <c:pt idx="2">
                  <c:v>40.043863570173315</c:v>
                </c:pt>
                <c:pt idx="3">
                  <c:v>38.265905843604642</c:v>
                </c:pt>
                <c:pt idx="4">
                  <c:v>30.575525636930571</c:v>
                </c:pt>
              </c:numCache>
            </c:numRef>
          </c:xVal>
          <c:yVal>
            <c:numRef>
              <c:f>'Laskenta tulopuoli 150'!$AG$6:$AG$10</c:f>
              <c:numCache>
                <c:formatCode>0.0</c:formatCode>
                <c:ptCount val="5"/>
                <c:pt idx="0">
                  <c:v>10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766-40DA-964B-E50AD46D480B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150'!$L$3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766-40DA-964B-E50AD46D480B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tulopuoli 150'!$AC$34:$AC$37</c:f>
              <c:numCache>
                <c:formatCode>0.0</c:formatCode>
                <c:ptCount val="4"/>
                <c:pt idx="0">
                  <c:v>114.76341027305519</c:v>
                </c:pt>
                <c:pt idx="1">
                  <c:v>84.584239894694008</c:v>
                </c:pt>
                <c:pt idx="2">
                  <c:v>62.868423519515112</c:v>
                </c:pt>
                <c:pt idx="3">
                  <c:v>35.11101833828733</c:v>
                </c:pt>
              </c:numCache>
            </c:numRef>
          </c:xVal>
          <c:yVal>
            <c:numRef>
              <c:f>'Laskenta tulopuoli 150'!$AD$34:$AD$37</c:f>
              <c:numCache>
                <c:formatCode>0.0</c:formatCode>
                <c:ptCount val="4"/>
                <c:pt idx="0">
                  <c:v>411.5825105469246</c:v>
                </c:pt>
                <c:pt idx="1">
                  <c:v>223.57792620509827</c:v>
                </c:pt>
                <c:pt idx="2">
                  <c:v>123.51370861966018</c:v>
                </c:pt>
                <c:pt idx="3">
                  <c:v>38.524487773485902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C766-40DA-964B-E50AD46D4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('Laskenta tulopuoli 150'!$X$59,'Laskenta tulopuoli 150'!$X$68,'Laskenta tulopuoli 150'!$X$76,'Laskenta tulopuoli 150'!$X$84)</c:f>
              <c:numCache>
                <c:formatCode>0.0</c:formatCode>
                <c:ptCount val="4"/>
                <c:pt idx="0">
                  <c:v>157.28305069533172</c:v>
                </c:pt>
                <c:pt idx="1">
                  <c:v>115.79564526412705</c:v>
                </c:pt>
                <c:pt idx="2">
                  <c:v>84.357257896408399</c:v>
                </c:pt>
                <c:pt idx="3">
                  <c:v>45.043697488606703</c:v>
                </c:pt>
              </c:numCache>
            </c:numRef>
          </c:xVal>
          <c:yVal>
            <c:numRef>
              <c:f>('Laskenta tulopuoli 150'!$Y$59,'Laskenta tulopuoli 150'!$Y$68,'Laskenta tulopuoli 150'!$Y$76,'Laskenta tulopuoli 150'!$Y$84)</c:f>
              <c:numCache>
                <c:formatCode>0.0</c:formatCode>
                <c:ptCount val="4"/>
                <c:pt idx="0">
                  <c:v>166.48112332133923</c:v>
                </c:pt>
                <c:pt idx="1">
                  <c:v>80.608112872381284</c:v>
                </c:pt>
                <c:pt idx="2">
                  <c:v>39.263936860617122</c:v>
                </c:pt>
                <c:pt idx="3">
                  <c:v>12.340574913574338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8A-4BA9-AC19-2AA248B21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0751088"/>
        <c:axId val="660751416"/>
      </c:scatterChart>
      <c:valAx>
        <c:axId val="660751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416"/>
        <c:crosses val="autoZero"/>
        <c:crossBetween val="midCat"/>
      </c:valAx>
      <c:valAx>
        <c:axId val="660751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660751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Poistokanava: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2.4864297368234377E-2"/>
                  <c:y val="0.2004117123075636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150'!$D$59:$D$62</c:f>
              <c:numCache>
                <c:formatCode>0.0</c:formatCode>
                <c:ptCount val="4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</c:numCache>
            </c:numRef>
          </c:xVal>
          <c:yVal>
            <c:numRef>
              <c:f>'Laskenta poistopuoli 150'!$E$59:$E$62</c:f>
              <c:numCache>
                <c:formatCode>0.0</c:formatCode>
                <c:ptCount val="4"/>
                <c:pt idx="0">
                  <c:v>59.060591218014309</c:v>
                </c:pt>
                <c:pt idx="1">
                  <c:v>58.487634881019723</c:v>
                </c:pt>
                <c:pt idx="2">
                  <c:v>58.850988893487546</c:v>
                </c:pt>
                <c:pt idx="3">
                  <c:v>57.67195124759094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20-4250-95A4-78DAB15A76A7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2813232129767563"/>
                  <c:y val="0.1843685568899401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150'!$D$64:$D$67</c:f>
              <c:numCache>
                <c:formatCode>0.0</c:formatCode>
                <c:ptCount val="4"/>
                <c:pt idx="0">
                  <c:v>128.90693428688564</c:v>
                </c:pt>
                <c:pt idx="1">
                  <c:v>118.92053609192801</c:v>
                </c:pt>
                <c:pt idx="2">
                  <c:v>108.09236183775965</c:v>
                </c:pt>
                <c:pt idx="3">
                  <c:v>97.637725898629455</c:v>
                </c:pt>
              </c:numCache>
            </c:numRef>
          </c:xVal>
          <c:yVal>
            <c:numRef>
              <c:f>'Laskenta poistopuoli 150'!$E$64:$E$67</c:f>
              <c:numCache>
                <c:formatCode>0.0</c:formatCode>
                <c:ptCount val="4"/>
                <c:pt idx="0">
                  <c:v>54.451504598514305</c:v>
                </c:pt>
                <c:pt idx="1">
                  <c:v>54.067114966227088</c:v>
                </c:pt>
                <c:pt idx="2">
                  <c:v>55.01792182177379</c:v>
                </c:pt>
                <c:pt idx="3">
                  <c:v>54.297349049625566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20-4250-95A4-78DAB15A76A7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forward val="10"/>
            <c:backward val="10"/>
            <c:dispRSqr val="1"/>
            <c:dispEq val="1"/>
            <c:trendlineLbl>
              <c:layout>
                <c:manualLayout>
                  <c:x val="9.0959684093542409E-2"/>
                  <c:y val="0.1950959713504456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150'!$D$69:$D$72</c:f>
              <c:numCache>
                <c:formatCode>0.0</c:formatCode>
                <c:ptCount val="4"/>
                <c:pt idx="0">
                  <c:v>96.446026922929775</c:v>
                </c:pt>
                <c:pt idx="1">
                  <c:v>89.482984390049424</c:v>
                </c:pt>
                <c:pt idx="2">
                  <c:v>81.913305263117934</c:v>
                </c:pt>
                <c:pt idx="3">
                  <c:v>74.605066551746319</c:v>
                </c:pt>
              </c:numCache>
            </c:numRef>
          </c:xVal>
          <c:yVal>
            <c:numRef>
              <c:f>'Laskenta poistopuoli 150'!$E$69:$E$72</c:f>
              <c:numCache>
                <c:formatCode>0.0</c:formatCode>
                <c:ptCount val="4"/>
                <c:pt idx="0">
                  <c:v>50.705217763769895</c:v>
                </c:pt>
                <c:pt idx="1">
                  <c:v>49.862182652532596</c:v>
                </c:pt>
                <c:pt idx="2">
                  <c:v>49.69054596207009</c:v>
                </c:pt>
                <c:pt idx="3">
                  <c:v>49.842714107243317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20-4250-95A4-78DAB15A76A7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forward val="5"/>
            <c:backward val="5"/>
            <c:dispRSqr val="1"/>
            <c:dispEq val="1"/>
            <c:trendlineLbl>
              <c:layout>
                <c:manualLayout>
                  <c:x val="0.23805178406753211"/>
                  <c:y val="9.542787640266317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150'!$D$74:$D$77</c:f>
              <c:numCache>
                <c:formatCode>0.0</c:formatCode>
                <c:ptCount val="4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43.955253994144648</c:v>
                </c:pt>
              </c:numCache>
            </c:numRef>
          </c:xVal>
          <c:yVal>
            <c:numRef>
              <c:f>'Laskenta poistopuoli 150'!$E$74:$E$77</c:f>
              <c:numCache>
                <c:formatCode>0.0</c:formatCode>
                <c:ptCount val="4"/>
                <c:pt idx="0">
                  <c:v>41.380052436275669</c:v>
                </c:pt>
                <c:pt idx="1">
                  <c:v>41.607142667549759</c:v>
                </c:pt>
                <c:pt idx="2">
                  <c:v>42.11228816912228</c:v>
                </c:pt>
                <c:pt idx="3">
                  <c:v>41.40651007171919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20-4250-95A4-78DAB15A76A7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20-4250-95A4-78DAB15A76A7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tx1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6F20-4250-95A4-78DAB15A76A7}"/>
              </c:ext>
            </c:extLst>
          </c:dPt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7356411529639876"/>
                  <c:y val="-8.6423367357409742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124.84437951911316</c:v>
                </c:pt>
                <c:pt idx="1">
                  <c:v>87.897109277921501</c:v>
                </c:pt>
                <c:pt idx="2">
                  <c:v>67.051058185264878</c:v>
                </c:pt>
              </c:numCache>
            </c:numRef>
          </c:xVal>
          <c:yVal>
            <c:numRef>
              <c:f>'Laskenta poistopuoli 150'!$AF$34:$AF$36</c:f>
              <c:numCache>
                <c:formatCode>0.0</c:formatCode>
                <c:ptCount val="3"/>
                <c:pt idx="0">
                  <c:v>56.687193562136542</c:v>
                </c:pt>
                <c:pt idx="1">
                  <c:v>54.161190292853824</c:v>
                </c:pt>
                <c:pt idx="2">
                  <c:v>49.331710898002278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6F20-4250-95A4-78DAB15A76A7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150'!$W$5</c:f>
              <c:numCache>
                <c:formatCode>0.0</c:formatCode>
                <c:ptCount val="1"/>
                <c:pt idx="0">
                  <c:v>41.955462215584269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6F20-4250-95A4-78DAB15A76A7}"/>
            </c:ext>
          </c:extLst>
        </c:ser>
        <c:ser>
          <c:idx val="6"/>
          <c:order val="6"/>
          <c:tx>
            <c:v>3-5V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1.7861767279090113E-2"/>
                  <c:y val="-0.14231798038923177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87.897109277921501</c:v>
                </c:pt>
                <c:pt idx="1">
                  <c:v>67.051058185264878</c:v>
                </c:pt>
                <c:pt idx="2">
                  <c:v>39.096721218366483</c:v>
                </c:pt>
              </c:numCache>
            </c:numRef>
          </c:xVal>
          <c:yVal>
            <c:numRef>
              <c:f>'Laskenta poistopuoli 150'!$AF$35:$AF$37</c:f>
              <c:numCache>
                <c:formatCode>0.0</c:formatCode>
                <c:ptCount val="3"/>
                <c:pt idx="0">
                  <c:v>54.161190292853824</c:v>
                </c:pt>
                <c:pt idx="1">
                  <c:v>49.331710898002278</c:v>
                </c:pt>
                <c:pt idx="2">
                  <c:v>41.756940570104469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6F20-4250-95A4-78DAB15A7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20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Jätekanava: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8.6096276494048666E-4"/>
                  <c:y val="0.21036261209017401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150'!$N$59:$N$62</c:f>
              <c:numCache>
                <c:formatCode>0.0</c:formatCode>
                <c:ptCount val="4"/>
                <c:pt idx="0">
                  <c:v>177.73570182908642</c:v>
                </c:pt>
                <c:pt idx="1">
                  <c:v>163.49986992681139</c:v>
                </c:pt>
                <c:pt idx="2">
                  <c:v>150.93715952891725</c:v>
                </c:pt>
                <c:pt idx="3">
                  <c:v>139.8137012360778</c:v>
                </c:pt>
              </c:numCache>
            </c:numRef>
          </c:xVal>
          <c:yVal>
            <c:numRef>
              <c:f>'Laskenta poistopuoli 150'!$O$59:$O$62</c:f>
              <c:numCache>
                <c:formatCode>0.0</c:formatCode>
                <c:ptCount val="4"/>
                <c:pt idx="0">
                  <c:v>75.33438936131401</c:v>
                </c:pt>
                <c:pt idx="1">
                  <c:v>74.723775090917528</c:v>
                </c:pt>
                <c:pt idx="2">
                  <c:v>74.042236453158083</c:v>
                </c:pt>
                <c:pt idx="3">
                  <c:v>73.327605236408132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83B-4646-ABDE-B17CA8A22455}"/>
            </c:ext>
          </c:extLst>
        </c:ser>
        <c:ser>
          <c:idx val="1"/>
          <c:order val="1"/>
          <c:tx>
            <c:strRef>
              <c:f>'Laskenta poistopuoli 150'!$C$64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150'!$N$64:$N$67</c:f>
              <c:numCache>
                <c:formatCode>0.0</c:formatCode>
                <c:ptCount val="4"/>
                <c:pt idx="0">
                  <c:v>129.19990627446921</c:v>
                </c:pt>
                <c:pt idx="1">
                  <c:v>118.49379513279769</c:v>
                </c:pt>
                <c:pt idx="2">
                  <c:v>107.73788615282413</c:v>
                </c:pt>
                <c:pt idx="3">
                  <c:v>96.456384991227822</c:v>
                </c:pt>
              </c:numCache>
            </c:numRef>
          </c:xVal>
          <c:yVal>
            <c:numRef>
              <c:f>'Laskenta poistopuoli 150'!$O$64:$O$67</c:f>
              <c:numCache>
                <c:formatCode>0.0</c:formatCode>
                <c:ptCount val="4"/>
                <c:pt idx="0">
                  <c:v>71.015258117342043</c:v>
                </c:pt>
                <c:pt idx="1">
                  <c:v>69.207392594698533</c:v>
                </c:pt>
                <c:pt idx="2">
                  <c:v>69.667473858703929</c:v>
                </c:pt>
                <c:pt idx="3">
                  <c:v>68.747405149388015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83B-4646-ABDE-B17CA8A22455}"/>
            </c:ext>
          </c:extLst>
        </c:ser>
        <c:ser>
          <c:idx val="2"/>
          <c:order val="2"/>
          <c:tx>
            <c:strRef>
              <c:f>'Laskenta poistopuoli 150'!$C$69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150'!$N$69:$N$72</c:f>
              <c:numCache>
                <c:formatCode>0.0</c:formatCode>
                <c:ptCount val="4"/>
                <c:pt idx="0">
                  <c:v>96.677155462994648</c:v>
                </c:pt>
                <c:pt idx="1">
                  <c:v>89.050003982355406</c:v>
                </c:pt>
                <c:pt idx="2">
                  <c:v>81.113386537818101</c:v>
                </c:pt>
                <c:pt idx="3">
                  <c:v>73.662533531132837</c:v>
                </c:pt>
              </c:numCache>
            </c:numRef>
          </c:xVal>
          <c:yVal>
            <c:numRef>
              <c:f>'Laskenta poistopuoli 150'!$O$69:$O$72</c:f>
              <c:numCache>
                <c:formatCode>0.0</c:formatCode>
                <c:ptCount val="4"/>
                <c:pt idx="0">
                  <c:v>63.474654182224072</c:v>
                </c:pt>
                <c:pt idx="1">
                  <c:v>63.121110432341567</c:v>
                </c:pt>
                <c:pt idx="2">
                  <c:v>62.964148018821327</c:v>
                </c:pt>
                <c:pt idx="3">
                  <c:v>62.499440267629495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83B-4646-ABDE-B17CA8A22455}"/>
            </c:ext>
          </c:extLst>
        </c:ser>
        <c:ser>
          <c:idx val="3"/>
          <c:order val="3"/>
          <c:tx>
            <c:strRef>
              <c:f>'Laskenta poistopuoli 150'!$C$74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150'!$N$74:$N$77</c:f>
              <c:numCache>
                <c:formatCode>0.0</c:formatCode>
                <c:ptCount val="4"/>
                <c:pt idx="0">
                  <c:v>52.674432772712962</c:v>
                </c:pt>
                <c:pt idx="1">
                  <c:v>50.314053190972899</c:v>
                </c:pt>
                <c:pt idx="2">
                  <c:v>47.062148526651839</c:v>
                </c:pt>
                <c:pt idx="3">
                  <c:v>43.017634077035808</c:v>
                </c:pt>
              </c:numCache>
            </c:numRef>
          </c:xVal>
          <c:yVal>
            <c:numRef>
              <c:f>'Laskenta poistopuoli 150'!$O$74:$O$77</c:f>
              <c:numCache>
                <c:formatCode>0.0</c:formatCode>
                <c:ptCount val="4"/>
                <c:pt idx="0">
                  <c:v>52.459873209173018</c:v>
                </c:pt>
                <c:pt idx="1">
                  <c:v>51.838959953428834</c:v>
                </c:pt>
                <c:pt idx="2">
                  <c:v>51.742817256488848</c:v>
                </c:pt>
                <c:pt idx="3">
                  <c:v>51.013721065119356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83B-4646-ABDE-B17CA8A22455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27733499720590898"/>
                  <c:y val="-7.7567392074807548E-2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150'!$AC$34:$AC$36</c:f>
              <c:numCache>
                <c:formatCode>0.0</c:formatCode>
                <c:ptCount val="3"/>
                <c:pt idx="0">
                  <c:v>124.84437951911316</c:v>
                </c:pt>
                <c:pt idx="1">
                  <c:v>87.897109277921501</c:v>
                </c:pt>
                <c:pt idx="2">
                  <c:v>67.051058185264878</c:v>
                </c:pt>
              </c:numCache>
            </c:numRef>
          </c:xVal>
          <c:yVal>
            <c:numRef>
              <c:f>'Laskenta poistopuoli 150'!$AG$34:$AG$36</c:f>
              <c:numCache>
                <c:formatCode>0.0</c:formatCode>
                <c:ptCount val="3"/>
                <c:pt idx="0">
                  <c:v>72.200454360502121</c:v>
                </c:pt>
                <c:pt idx="1">
                  <c:v>69.082574617891424</c:v>
                </c:pt>
                <c:pt idx="2">
                  <c:v>62.165845235438134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83B-4646-ABDE-B17CA8A22455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150'!$W$8</c:f>
              <c:numCache>
                <c:formatCode>0.0</c:formatCode>
                <c:ptCount val="1"/>
                <c:pt idx="0">
                  <c:v>50.913714689912339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83B-4646-ABDE-B17CA8A22455}"/>
            </c:ext>
          </c:extLst>
        </c:ser>
        <c:ser>
          <c:idx val="6"/>
          <c:order val="6"/>
          <c:tx>
            <c:v>3-6,5 sovite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>
                    <a:lumMod val="60000"/>
                  </a:schemeClr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0.1707132560351225"/>
                  <c:y val="3.7450341433633216E-3"/>
                </c:manualLayout>
              </c:layout>
              <c:numFmt formatCode="General" sourceLinked="0"/>
              <c:spPr>
                <a:noFill/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87.897109277921501</c:v>
                </c:pt>
                <c:pt idx="1">
                  <c:v>67.051058185264878</c:v>
                </c:pt>
                <c:pt idx="2">
                  <c:v>39.096721218366483</c:v>
                </c:pt>
              </c:numCache>
            </c:numRef>
          </c:xVal>
          <c:yVal>
            <c:numRef>
              <c:f>'Laskenta poistopuoli 150'!$AG$35:$AG$37</c:f>
              <c:numCache>
                <c:formatCode>0.0</c:formatCode>
                <c:ptCount val="3"/>
                <c:pt idx="0">
                  <c:v>69.082574617891424</c:v>
                </c:pt>
                <c:pt idx="1">
                  <c:v>62.165845235438134</c:v>
                </c:pt>
                <c:pt idx="2">
                  <c:v>50.551242778207993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E83B-4646-ABDE-B17CA8A22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8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17455366704954692"/>
                  <c:y val="6.151879713920518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150'!$AJ$34:$AJ$35</c:f>
              <c:numCache>
                <c:formatCode>0.0</c:formatCode>
                <c:ptCount val="2"/>
                <c:pt idx="0">
                  <c:v>124.84437951911316</c:v>
                </c:pt>
                <c:pt idx="1">
                  <c:v>87.897109277921501</c:v>
                </c:pt>
              </c:numCache>
            </c:numRef>
          </c:xVal>
          <c:yVal>
            <c:numRef>
              <c:f>'Laskenta poistopuoli 150'!$AI$34:$AI$35</c:f>
              <c:numCache>
                <c:formatCode>General</c:formatCode>
                <c:ptCount val="2"/>
                <c:pt idx="0">
                  <c:v>10</c:v>
                </c:pt>
                <c:pt idx="1">
                  <c:v>6.5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94-43F7-8FFB-AA87D7162021}"/>
            </c:ext>
          </c:extLst>
        </c:ser>
        <c:ser>
          <c:idx val="1"/>
          <c:order val="1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150'!$W$12</c:f>
              <c:numCache>
                <c:formatCode>0.0</c:formatCode>
                <c:ptCount val="1"/>
                <c:pt idx="0">
                  <c:v>3.0633878157795436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494-43F7-8FFB-AA87D7162021}"/>
            </c:ext>
          </c:extLst>
        </c:ser>
        <c:ser>
          <c:idx val="2"/>
          <c:order val="2"/>
          <c:tx>
            <c:v>3-6,5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'Laskenta poistopuoli 150'!$AC$35:$AC$37</c:f>
              <c:numCache>
                <c:formatCode>0.0</c:formatCode>
                <c:ptCount val="3"/>
                <c:pt idx="0">
                  <c:v>87.897109277921501</c:v>
                </c:pt>
                <c:pt idx="1">
                  <c:v>67.051058185264878</c:v>
                </c:pt>
                <c:pt idx="2">
                  <c:v>39.096721218366483</c:v>
                </c:pt>
              </c:numCache>
            </c:numRef>
          </c:xVal>
          <c:yVal>
            <c:numRef>
              <c:f>'Laskenta poistopuoli 150'!$U$35:$U$37</c:f>
              <c:numCache>
                <c:formatCode>General</c:formatCode>
                <c:ptCount val="3"/>
                <c:pt idx="0">
                  <c:v>6.5</c:v>
                </c:pt>
                <c:pt idx="1">
                  <c:v>5</c:v>
                </c:pt>
                <c:pt idx="2">
                  <c:v>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494-43F7-8FFB-AA87D7162021}"/>
            </c:ext>
          </c:extLst>
        </c:ser>
        <c:ser>
          <c:idx val="3"/>
          <c:order val="3"/>
          <c:tx>
            <c:v>Tehostuspiste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'Laskenta poistopuoli 150'!$AL$36</c:f>
              <c:numCache>
                <c:formatCode>0.0</c:formatCode>
                <c:ptCount val="1"/>
                <c:pt idx="0">
                  <c:v>48</c:v>
                </c:pt>
              </c:numCache>
            </c:numRef>
          </c:xVal>
          <c:yVal>
            <c:numRef>
              <c:f>'Laskenta poistopuoli 150'!$AO$36</c:f>
              <c:numCache>
                <c:formatCode>0.0</c:formatCode>
                <c:ptCount val="1"/>
                <c:pt idx="0">
                  <c:v>3.6370761982954569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342-4A4C-A912-64808724B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Tulokanava: LwA vs tilavuusvirta</a:t>
            </a:r>
          </a:p>
        </c:rich>
      </c:tx>
      <c:layout>
        <c:manualLayout>
          <c:xMode val="edge"/>
          <c:yMode val="edge"/>
          <c:x val="0.2415042735042735"/>
          <c:y val="1.642710118145781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20"/>
            <c:backward val="20"/>
            <c:dispRSqr val="1"/>
            <c:dispEq val="1"/>
            <c:trendlineLbl>
              <c:layout>
                <c:manualLayout>
                  <c:x val="0.17196764481830068"/>
                  <c:y val="6.23182132142878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130'!$N$59:$N$62</c:f>
              <c:numCache>
                <c:formatCode>0.0</c:formatCode>
                <c:ptCount val="4"/>
                <c:pt idx="0">
                  <c:v>124.49829752500722</c:v>
                </c:pt>
                <c:pt idx="1">
                  <c:v>116.22872893281689</c:v>
                </c:pt>
                <c:pt idx="2">
                  <c:v>102.73164382577521</c:v>
                </c:pt>
                <c:pt idx="3">
                  <c:v>82.099032137491747</c:v>
                </c:pt>
              </c:numCache>
            </c:numRef>
          </c:xVal>
          <c:yVal>
            <c:numRef>
              <c:f>'Laskenta tulopuoli 130'!$O$59:$O$62</c:f>
              <c:numCache>
                <c:formatCode>0.0</c:formatCode>
                <c:ptCount val="4"/>
                <c:pt idx="0">
                  <c:v>74.843704730864445</c:v>
                </c:pt>
                <c:pt idx="1">
                  <c:v>74.987135559894881</c:v>
                </c:pt>
                <c:pt idx="2">
                  <c:v>75.708977921572853</c:v>
                </c:pt>
                <c:pt idx="3">
                  <c:v>76.464934909676941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6F-4B01-8A62-43BAA0BD180B}"/>
            </c:ext>
          </c:extLst>
        </c:ser>
        <c:ser>
          <c:idx val="1"/>
          <c:order val="1"/>
          <c:tx>
            <c:strRef>
              <c:f>'Laskenta tulopuoli 130'!$C$64</c:f>
              <c:strCache>
                <c:ptCount val="1"/>
                <c:pt idx="0">
                  <c:v>8V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25455158228597041"/>
                  <c:y val="0.186766008231659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130'!$N$64:$N$67</c:f>
              <c:numCache>
                <c:formatCode>0.0</c:formatCode>
                <c:ptCount val="4"/>
                <c:pt idx="0">
                  <c:v>108.79901687814959</c:v>
                </c:pt>
                <c:pt idx="1">
                  <c:v>97.159742938215373</c:v>
                </c:pt>
                <c:pt idx="2">
                  <c:v>85.227725522189502</c:v>
                </c:pt>
                <c:pt idx="3">
                  <c:v>67.119168106658208</c:v>
                </c:pt>
              </c:numCache>
            </c:numRef>
          </c:xVal>
          <c:yVal>
            <c:numRef>
              <c:f>'Laskenta tulopuoli 130'!$O$64:$O$67</c:f>
              <c:numCache>
                <c:formatCode>0.0</c:formatCode>
                <c:ptCount val="4"/>
                <c:pt idx="0">
                  <c:v>72.000070714917115</c:v>
                </c:pt>
                <c:pt idx="1">
                  <c:v>71.638832438309009</c:v>
                </c:pt>
                <c:pt idx="2">
                  <c:v>71.781837965876733</c:v>
                </c:pt>
                <c:pt idx="3">
                  <c:v>72.155935238638762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6F-4B01-8A62-43BAA0BD180B}"/>
            </c:ext>
          </c:extLst>
        </c:ser>
        <c:ser>
          <c:idx val="2"/>
          <c:order val="2"/>
          <c:tx>
            <c:strRef>
              <c:f>'Laskenta tulopuoli 130'!$C$69</c:f>
              <c:strCache>
                <c:ptCount val="1"/>
                <c:pt idx="0">
                  <c:v>6V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10"/>
            <c:backward val="10"/>
            <c:dispRSqr val="1"/>
            <c:dispEq val="1"/>
            <c:trendlineLbl>
              <c:layout>
                <c:manualLayout>
                  <c:x val="0.45511685398299573"/>
                  <c:y val="0.1531436987623192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130'!$N$69:$N$72</c:f>
              <c:numCache>
                <c:formatCode>0.0</c:formatCode>
                <c:ptCount val="4"/>
                <c:pt idx="0">
                  <c:v>79.189925082805274</c:v>
                </c:pt>
                <c:pt idx="1">
                  <c:v>69.29180640070085</c:v>
                </c:pt>
                <c:pt idx="2">
                  <c:v>61.072161700876308</c:v>
                </c:pt>
                <c:pt idx="3">
                  <c:v>48.975695956645126</c:v>
                </c:pt>
              </c:numCache>
            </c:numRef>
          </c:xVal>
          <c:yVal>
            <c:numRef>
              <c:f>'Laskenta tulopuoli 130'!$O$69:$O$72</c:f>
              <c:numCache>
                <c:formatCode>0.0</c:formatCode>
                <c:ptCount val="4"/>
                <c:pt idx="0">
                  <c:v>65.344965804359333</c:v>
                </c:pt>
                <c:pt idx="1">
                  <c:v>65.19105994578031</c:v>
                </c:pt>
                <c:pt idx="2">
                  <c:v>65.221443421121307</c:v>
                </c:pt>
                <c:pt idx="3">
                  <c:v>65.532160154792763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6F-4B01-8A62-43BAA0BD180B}"/>
            </c:ext>
          </c:extLst>
        </c:ser>
        <c:ser>
          <c:idx val="3"/>
          <c:order val="3"/>
          <c:tx>
            <c:strRef>
              <c:f>'Laskenta tulopuoli 130'!$C$74</c:f>
              <c:strCache>
                <c:ptCount val="1"/>
                <c:pt idx="0">
                  <c:v>4V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898306134313116"/>
                  <c:y val="7.567159249751437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130'!$N$74:$N$77</c:f>
              <c:numCache>
                <c:formatCode>0.0</c:formatCode>
                <c:ptCount val="4"/>
                <c:pt idx="0">
                  <c:v>47.482793089946028</c:v>
                </c:pt>
                <c:pt idx="1">
                  <c:v>41.228509340499677</c:v>
                </c:pt>
                <c:pt idx="2">
                  <c:v>36.475191125897595</c:v>
                </c:pt>
                <c:pt idx="3">
                  <c:v>27.664795652547159</c:v>
                </c:pt>
              </c:numCache>
            </c:numRef>
          </c:xVal>
          <c:yVal>
            <c:numRef>
              <c:f>'Laskenta tulopuoli 130'!$O$74:$O$77</c:f>
              <c:numCache>
                <c:formatCode>0.0</c:formatCode>
                <c:ptCount val="4"/>
                <c:pt idx="0">
                  <c:v>55.826600262242778</c:v>
                </c:pt>
                <c:pt idx="1">
                  <c:v>55.930075733390261</c:v>
                </c:pt>
                <c:pt idx="2">
                  <c:v>55.788583914062073</c:v>
                </c:pt>
                <c:pt idx="3">
                  <c:v>55.713078457982796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6F-4B01-8A62-43BAA0BD180B}"/>
            </c:ext>
          </c:extLst>
        </c:ser>
        <c:ser>
          <c:idx val="4"/>
          <c:order val="4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-9.952009805880864E-2"/>
                  <c:y val="0.49666413433488349"/>
                </c:manualLayout>
              </c:layout>
              <c:numFmt formatCode="General" sourceLinked="0"/>
              <c:spPr>
                <a:solidFill>
                  <a:schemeClr val="bg1">
                    <a:lumMod val="95000"/>
                  </a:schemeClr>
                </a:solidFill>
                <a:ln>
                  <a:solidFill>
                    <a:schemeClr val="tx1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130'!$AC$34:$AC$37</c:f>
              <c:numCache>
                <c:formatCode>0.0</c:formatCode>
                <c:ptCount val="4"/>
                <c:pt idx="0">
                  <c:v>99.72861757132172</c:v>
                </c:pt>
                <c:pt idx="1">
                  <c:v>82.531273004241669</c:v>
                </c:pt>
                <c:pt idx="2">
                  <c:v>59.77342771579147</c:v>
                </c:pt>
                <c:pt idx="3">
                  <c:v>36.214720979239374</c:v>
                </c:pt>
              </c:numCache>
            </c:numRef>
          </c:xVal>
          <c:yVal>
            <c:numRef>
              <c:f>'Laskenta tulopuoli 130'!$AG$34:$AG$37</c:f>
              <c:numCache>
                <c:formatCode>0.0</c:formatCode>
                <c:ptCount val="4"/>
                <c:pt idx="0">
                  <c:v>75.756281152701021</c:v>
                </c:pt>
                <c:pt idx="1">
                  <c:v>71.74544046237483</c:v>
                </c:pt>
                <c:pt idx="2">
                  <c:v>65.240191998288708</c:v>
                </c:pt>
                <c:pt idx="3">
                  <c:v>55.840780483818968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C6F-4B01-8A62-43BAA0BD180B}"/>
            </c:ext>
          </c:extLst>
        </c:ser>
        <c:ser>
          <c:idx val="5"/>
          <c:order val="5"/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5400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tulopuoli 130'!$W$6</c:f>
              <c:numCache>
                <c:formatCode>0.0</c:formatCode>
                <c:ptCount val="1"/>
                <c:pt idx="0">
                  <c:v>57.635817492778415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C6F-4B01-8A62-43BAA0BD1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24768"/>
        <c:axId val="740823784"/>
      </c:scatterChart>
      <c:valAx>
        <c:axId val="740824768"/>
        <c:scaling>
          <c:orientation val="minMax"/>
          <c:max val="140"/>
          <c:min val="2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3784"/>
        <c:crosses val="autoZero"/>
        <c:crossBetween val="midCat"/>
      </c:valAx>
      <c:valAx>
        <c:axId val="740823784"/>
        <c:scaling>
          <c:orientation val="minMax"/>
          <c:max val="8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LwA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24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/>
              <a:t>Teho vs tilavuusvirta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10V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20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150'!$X$59:$X$66</c:f>
              <c:numCache>
                <c:formatCode>0.0</c:formatCode>
                <c:ptCount val="8"/>
                <c:pt idx="0">
                  <c:v>177.37307385653068</c:v>
                </c:pt>
                <c:pt idx="1">
                  <c:v>163.0789877970802</c:v>
                </c:pt>
                <c:pt idx="2">
                  <c:v>150.05253955002848</c:v>
                </c:pt>
                <c:pt idx="3">
                  <c:v>139.45609818368541</c:v>
                </c:pt>
                <c:pt idx="4">
                  <c:v>177.73570182908642</c:v>
                </c:pt>
                <c:pt idx="5">
                  <c:v>163.49986992681139</c:v>
                </c:pt>
                <c:pt idx="6">
                  <c:v>150.93715952891725</c:v>
                </c:pt>
                <c:pt idx="7">
                  <c:v>139.8137012360778</c:v>
                </c:pt>
              </c:numCache>
            </c:numRef>
          </c:xVal>
          <c:yVal>
            <c:numRef>
              <c:f>'Laskenta poistopuoli 150'!$Y$59:$Y$66</c:f>
              <c:numCache>
                <c:formatCode>0.0</c:formatCode>
                <c:ptCount val="8"/>
                <c:pt idx="0">
                  <c:v>168.54259322528048</c:v>
                </c:pt>
                <c:pt idx="1">
                  <c:v>167.59942656948792</c:v>
                </c:pt>
                <c:pt idx="2">
                  <c:v>169.17807377970442</c:v>
                </c:pt>
                <c:pt idx="3">
                  <c:v>169.16904544949875</c:v>
                </c:pt>
                <c:pt idx="4">
                  <c:v>166.12773047785547</c:v>
                </c:pt>
                <c:pt idx="5">
                  <c:v>166.43802423984073</c:v>
                </c:pt>
                <c:pt idx="6">
                  <c:v>167.04225955146646</c:v>
                </c:pt>
                <c:pt idx="7">
                  <c:v>166.27144487679067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175-46BD-B7C2-3EABC6167FF2}"/>
            </c:ext>
          </c:extLst>
        </c:ser>
        <c:ser>
          <c:idx val="1"/>
          <c:order val="1"/>
          <c:tx>
            <c:strRef>
              <c:f>'Laskenta poistopuoli 150'!$W$68</c:f>
              <c:strCache>
                <c:ptCount val="1"/>
                <c:pt idx="0">
                  <c:v>6,5V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21783552055993"/>
                  <c:y val="0.123118620589093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150'!$X$68:$X$74</c:f>
              <c:numCache>
                <c:formatCode>0.0</c:formatCode>
                <c:ptCount val="7"/>
                <c:pt idx="0">
                  <c:v>128.90693428688564</c:v>
                </c:pt>
                <c:pt idx="1">
                  <c:v>118.92053609192801</c:v>
                </c:pt>
                <c:pt idx="2">
                  <c:v>97.637725898629455</c:v>
                </c:pt>
                <c:pt idx="3">
                  <c:v>129.19990627446921</c:v>
                </c:pt>
                <c:pt idx="4">
                  <c:v>118.49379513279769</c:v>
                </c:pt>
                <c:pt idx="5">
                  <c:v>107.73788615282413</c:v>
                </c:pt>
                <c:pt idx="6">
                  <c:v>96.456384991227822</c:v>
                </c:pt>
              </c:numCache>
            </c:numRef>
          </c:xVal>
          <c:yVal>
            <c:numRef>
              <c:f>'Laskenta poistopuoli 150'!$Y$68:$Y$74</c:f>
              <c:numCache>
                <c:formatCode>0.0</c:formatCode>
                <c:ptCount val="7"/>
                <c:pt idx="0">
                  <c:v>74.820392141737685</c:v>
                </c:pt>
                <c:pt idx="1">
                  <c:v>75.833334962098107</c:v>
                </c:pt>
                <c:pt idx="2">
                  <c:v>75.029888520884157</c:v>
                </c:pt>
                <c:pt idx="3">
                  <c:v>74.664735053247043</c:v>
                </c:pt>
                <c:pt idx="4">
                  <c:v>75.607005937099942</c:v>
                </c:pt>
                <c:pt idx="5">
                  <c:v>75.008544459619515</c:v>
                </c:pt>
                <c:pt idx="6">
                  <c:v>76.147690977104276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175-46BD-B7C2-3EABC6167FF2}"/>
            </c:ext>
          </c:extLst>
        </c:ser>
        <c:ser>
          <c:idx val="2"/>
          <c:order val="2"/>
          <c:tx>
            <c:strRef>
              <c:f>'Laskenta poistopuoli 150'!$W$76</c:f>
              <c:strCache>
                <c:ptCount val="1"/>
                <c:pt idx="0">
                  <c:v>5V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-1.4437445319335083E-2"/>
                  <c:y val="-0.362563794109069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150'!$X$76:$X$82</c:f>
              <c:numCache>
                <c:formatCode>0.0</c:formatCode>
                <c:ptCount val="7"/>
                <c:pt idx="0">
                  <c:v>96.446026922929775</c:v>
                </c:pt>
                <c:pt idx="1">
                  <c:v>89.482984390049424</c:v>
                </c:pt>
                <c:pt idx="2">
                  <c:v>74.605066551746319</c:v>
                </c:pt>
                <c:pt idx="3">
                  <c:v>96.677155462994648</c:v>
                </c:pt>
                <c:pt idx="4">
                  <c:v>89.050003982355406</c:v>
                </c:pt>
                <c:pt idx="5">
                  <c:v>81.113386537818101</c:v>
                </c:pt>
                <c:pt idx="6">
                  <c:v>73.662533531132837</c:v>
                </c:pt>
              </c:numCache>
            </c:numRef>
          </c:xVal>
          <c:yVal>
            <c:numRef>
              <c:f>'Laskenta poistopuoli 150'!$Y$76:$Y$82</c:f>
              <c:numCache>
                <c:formatCode>0.0</c:formatCode>
                <c:ptCount val="7"/>
                <c:pt idx="0">
                  <c:v>37.521574862086936</c:v>
                </c:pt>
                <c:pt idx="1">
                  <c:v>38.03015416313044</c:v>
                </c:pt>
                <c:pt idx="2">
                  <c:v>37.553374474480925</c:v>
                </c:pt>
                <c:pt idx="3">
                  <c:v>37.671500566760479</c:v>
                </c:pt>
                <c:pt idx="4">
                  <c:v>38.131443787846948</c:v>
                </c:pt>
                <c:pt idx="5">
                  <c:v>38.111301196784787</c:v>
                </c:pt>
                <c:pt idx="6">
                  <c:v>37.03115401994468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175-46BD-B7C2-3EABC6167FF2}"/>
            </c:ext>
          </c:extLst>
        </c:ser>
        <c:ser>
          <c:idx val="3"/>
          <c:order val="3"/>
          <c:tx>
            <c:strRef>
              <c:f>'Laskenta poistopuoli 150'!$W$84</c:f>
              <c:strCache>
                <c:ptCount val="1"/>
                <c:pt idx="0">
                  <c:v>3V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poly"/>
            <c:order val="2"/>
            <c:forward val="5"/>
            <c:backward val="5"/>
            <c:dispRSqr val="1"/>
            <c:dispEq val="1"/>
            <c:trendlineLbl>
              <c:layout>
                <c:manualLayout>
                  <c:x val="0.5083333333333333"/>
                  <c:y val="-4.088764946048402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150'!$X$84:$X$90</c:f>
              <c:numCache>
                <c:formatCode>0.0</c:formatCode>
                <c:ptCount val="7"/>
                <c:pt idx="0">
                  <c:v>52.691549157468963</c:v>
                </c:pt>
                <c:pt idx="1">
                  <c:v>50.633657357814492</c:v>
                </c:pt>
                <c:pt idx="2">
                  <c:v>47.425486734660552</c:v>
                </c:pt>
                <c:pt idx="3">
                  <c:v>52.674432772712962</c:v>
                </c:pt>
                <c:pt idx="4">
                  <c:v>50.314053190972899</c:v>
                </c:pt>
                <c:pt idx="5">
                  <c:v>47.062148526651839</c:v>
                </c:pt>
                <c:pt idx="6">
                  <c:v>43.017634077035808</c:v>
                </c:pt>
              </c:numCache>
            </c:numRef>
          </c:xVal>
          <c:yVal>
            <c:numRef>
              <c:f>'Laskenta poistopuoli 150'!$Y$84:$Y$90</c:f>
              <c:numCache>
                <c:formatCode>0.0</c:formatCode>
                <c:ptCount val="7"/>
                <c:pt idx="0">
                  <c:v>12.146003600193032</c:v>
                </c:pt>
                <c:pt idx="1">
                  <c:v>12.05591376347108</c:v>
                </c:pt>
                <c:pt idx="2">
                  <c:v>12.128112153149525</c:v>
                </c:pt>
                <c:pt idx="3">
                  <c:v>12.163996986693864</c:v>
                </c:pt>
                <c:pt idx="4">
                  <c:v>12.018930654554175</c:v>
                </c:pt>
                <c:pt idx="5">
                  <c:v>12.057302090130493</c:v>
                </c:pt>
                <c:pt idx="6">
                  <c:v>11.924120066096666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175-46BD-B7C2-3EABC6167FF2}"/>
            </c:ext>
          </c:extLst>
        </c:ser>
        <c:ser>
          <c:idx val="4"/>
          <c:order val="4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1"/>
            <c:dispEq val="1"/>
            <c:trendlineLbl>
              <c:layout>
                <c:manualLayout>
                  <c:x val="0.12234490490668865"/>
                  <c:y val="0.343957488617964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150'!$AC$34:$AC$38</c:f>
              <c:numCache>
                <c:formatCode>0.0</c:formatCode>
                <c:ptCount val="5"/>
                <c:pt idx="0">
                  <c:v>124.84437951911316</c:v>
                </c:pt>
                <c:pt idx="1">
                  <c:v>87.897109277921501</c:v>
                </c:pt>
                <c:pt idx="2">
                  <c:v>67.051058185264878</c:v>
                </c:pt>
                <c:pt idx="3">
                  <c:v>39.096721218366483</c:v>
                </c:pt>
              </c:numCache>
            </c:numRef>
          </c:xVal>
          <c:yVal>
            <c:numRef>
              <c:f>'Laskenta poistopuoli 150'!$AE$34:$AE$37</c:f>
              <c:numCache>
                <c:formatCode>0.0</c:formatCode>
                <c:ptCount val="4"/>
                <c:pt idx="0">
                  <c:v>168.41417432346273</c:v>
                </c:pt>
                <c:pt idx="1">
                  <c:v>75.206574194558485</c:v>
                </c:pt>
                <c:pt idx="2">
                  <c:v>35.972820257631433</c:v>
                </c:pt>
                <c:pt idx="3">
                  <c:v>11.819449519982106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175-46BD-B7C2-3EABC6167FF2}"/>
            </c:ext>
          </c:extLst>
        </c:ser>
        <c:ser>
          <c:idx val="5"/>
          <c:order val="5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222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150'!$W$16</c:f>
              <c:numCache>
                <c:formatCode>0.0</c:formatCode>
                <c:ptCount val="1"/>
                <c:pt idx="0">
                  <c:v>11.734752495286632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175-46BD-B7C2-3EABC6167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0807712"/>
        <c:axId val="740801152"/>
      </c:scatterChart>
      <c:valAx>
        <c:axId val="740807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qV</a:t>
                </a:r>
              </a:p>
            </c:rich>
          </c:tx>
          <c:layout>
            <c:manualLayout>
              <c:xMode val="edge"/>
              <c:yMode val="edge"/>
              <c:x val="0.46999357753548132"/>
              <c:y val="0.938476767732680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1152"/>
        <c:crosses val="autoZero"/>
        <c:crossBetween val="midCat"/>
      </c:valAx>
      <c:valAx>
        <c:axId val="74080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40807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'Laskenta poistopuoli 150'!$AA$4</c:f>
              <c:strCache>
                <c:ptCount val="1"/>
                <c:pt idx="0">
                  <c:v>10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548053368328959E-2"/>
                  <c:y val="-0.738821178456866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150'!$AB$6:$AB$12</c:f>
              <c:numCache>
                <c:formatCode>0.0</c:formatCode>
                <c:ptCount val="7"/>
                <c:pt idx="0">
                  <c:v>179.11691580328477</c:v>
                </c:pt>
                <c:pt idx="1">
                  <c:v>174.89861666422897</c:v>
                </c:pt>
                <c:pt idx="2">
                  <c:v>162.27597672313368</c:v>
                </c:pt>
                <c:pt idx="3">
                  <c:v>153.16260121404989</c:v>
                </c:pt>
                <c:pt idx="4">
                  <c:v>143.78770801919913</c:v>
                </c:pt>
                <c:pt idx="5">
                  <c:v>135.37071942904149</c:v>
                </c:pt>
                <c:pt idx="6">
                  <c:v>128.73037088287538</c:v>
                </c:pt>
              </c:numCache>
            </c:numRef>
          </c:xVal>
          <c:yVal>
            <c:numRef>
              <c:f>'Laskenta poistopuoli 150'!$AA$6:$AA$12</c:f>
              <c:numCache>
                <c:formatCode>0.0</c:formatCode>
                <c:ptCount val="7"/>
                <c:pt idx="0">
                  <c:v>100</c:v>
                </c:pt>
                <c:pt idx="1">
                  <c:v>120</c:v>
                </c:pt>
                <c:pt idx="2">
                  <c:v>190</c:v>
                </c:pt>
                <c:pt idx="3">
                  <c:v>250</c:v>
                </c:pt>
                <c:pt idx="4">
                  <c:v>320</c:v>
                </c:pt>
                <c:pt idx="5">
                  <c:v>390</c:v>
                </c:pt>
                <c:pt idx="6">
                  <c:v>450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5-4347-8B0D-8302E9688005}"/>
            </c:ext>
          </c:extLst>
        </c:ser>
        <c:ser>
          <c:idx val="1"/>
          <c:order val="1"/>
          <c:tx>
            <c:strRef>
              <c:f>'Laskenta poistopuoli 150'!$AC$4</c:f>
              <c:strCache>
                <c:ptCount val="1"/>
                <c:pt idx="0">
                  <c:v>6,5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18307130358705162"/>
                  <c:y val="-0.6266547539105112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150'!$AD$6:$AD$12</c:f>
              <c:numCache>
                <c:formatCode>0.0</c:formatCode>
                <c:ptCount val="7"/>
                <c:pt idx="0">
                  <c:v>131.14254504164199</c:v>
                </c:pt>
                <c:pt idx="1">
                  <c:v>131.14254504164199</c:v>
                </c:pt>
                <c:pt idx="2">
                  <c:v>119.35417996021101</c:v>
                </c:pt>
                <c:pt idx="3">
                  <c:v>107.93377609376739</c:v>
                </c:pt>
                <c:pt idx="4">
                  <c:v>103.46121449007943</c:v>
                </c:pt>
                <c:pt idx="5">
                  <c:v>99.040422729184755</c:v>
                </c:pt>
                <c:pt idx="6">
                  <c:v>89.273980043178298</c:v>
                </c:pt>
              </c:numCache>
            </c:numRef>
          </c:xVal>
          <c:yVal>
            <c:numRef>
              <c:f>'Laskenta poistopuoli 150'!$AC$6:$AC$12</c:f>
              <c:numCache>
                <c:formatCode>0.0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170</c:v>
                </c:pt>
                <c:pt idx="5">
                  <c:v>190</c:v>
                </c:pt>
                <c:pt idx="6">
                  <c:v>235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B5-4347-8B0D-8302E9688005}"/>
            </c:ext>
          </c:extLst>
        </c:ser>
        <c:ser>
          <c:idx val="2"/>
          <c:order val="2"/>
          <c:tx>
            <c:strRef>
              <c:f>'Laskenta poistopuoli 150'!$AE$4</c:f>
              <c:strCache>
                <c:ptCount val="1"/>
                <c:pt idx="0">
                  <c:v>5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42890354330708663"/>
                  <c:y val="-0.5470527752001944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150'!$AF$6:$AF$11</c:f>
              <c:numCache>
                <c:formatCode>0.0</c:formatCode>
                <c:ptCount val="6"/>
                <c:pt idx="0">
                  <c:v>96.216817804800328</c:v>
                </c:pt>
                <c:pt idx="1">
                  <c:v>94.729294500929157</c:v>
                </c:pt>
                <c:pt idx="2">
                  <c:v>88.896594856540219</c:v>
                </c:pt>
                <c:pt idx="3">
                  <c:v>83.239100699553205</c:v>
                </c:pt>
                <c:pt idx="4">
                  <c:v>77.741912106746298</c:v>
                </c:pt>
                <c:pt idx="5">
                  <c:v>67.694020441116294</c:v>
                </c:pt>
              </c:numCache>
            </c:numRef>
          </c:xVal>
          <c:yVal>
            <c:numRef>
              <c:f>'Laskenta poistopuoli 150'!$AE$6:$AE$11</c:f>
              <c:numCache>
                <c:formatCode>0.0</c:formatCode>
                <c:ptCount val="6"/>
                <c:pt idx="0">
                  <c:v>35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100</c:v>
                </c:pt>
                <c:pt idx="5">
                  <c:v>138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B5-4347-8B0D-8302E9688005}"/>
            </c:ext>
          </c:extLst>
        </c:ser>
        <c:ser>
          <c:idx val="3"/>
          <c:order val="3"/>
          <c:tx>
            <c:strRef>
              <c:f>'Laskenta poistopuoli 150'!$AG$4</c:f>
              <c:strCache>
                <c:ptCount val="1"/>
                <c:pt idx="0">
                  <c:v>3 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tx1"/>
                </a:solidFill>
                <a:prstDash val="solid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0.6166666666666667"/>
                  <c:y val="-0.4565959812111979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poistopuoli 150'!$AH$6:$AH$10</c:f>
              <c:numCache>
                <c:formatCode>0.0</c:formatCode>
                <c:ptCount val="5"/>
                <c:pt idx="0">
                  <c:v>52.354855059834129</c:v>
                </c:pt>
                <c:pt idx="1">
                  <c:v>50.492611628762866</c:v>
                </c:pt>
                <c:pt idx="2">
                  <c:v>48.580002546231498</c:v>
                </c:pt>
                <c:pt idx="3">
                  <c:v>46.612705838811827</c:v>
                </c:pt>
                <c:pt idx="4">
                  <c:v>35.748954672957019</c:v>
                </c:pt>
              </c:numCache>
            </c:numRef>
          </c:xVal>
          <c:yVal>
            <c:numRef>
              <c:f>'Laskenta poistopuoli 150'!$AG$6:$AG$10</c:f>
              <c:numCache>
                <c:formatCode>0.0</c:formatCode>
                <c:ptCount val="5"/>
                <c:pt idx="0">
                  <c:v>15</c:v>
                </c:pt>
                <c:pt idx="1">
                  <c:v>20</c:v>
                </c:pt>
                <c:pt idx="2">
                  <c:v>25</c:v>
                </c:pt>
                <c:pt idx="3">
                  <c:v>30</c:v>
                </c:pt>
                <c:pt idx="4">
                  <c:v>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B5-4347-8B0D-8302E9688005}"/>
            </c:ext>
          </c:extLst>
        </c:ser>
        <c:ser>
          <c:idx val="4"/>
          <c:order val="4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7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poistopuoli 150'!$J$3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xVal>
          <c:yVal>
            <c:numRef>
              <c:f>'Laskenta poistopuoli 150'!$L$3</c:f>
              <c:numCache>
                <c:formatCode>General</c:formatCode>
                <c:ptCount val="1"/>
                <c:pt idx="0">
                  <c:v>50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AB5-4347-8B0D-8302E9688005}"/>
            </c:ext>
          </c:extLst>
        </c:ser>
        <c:ser>
          <c:idx val="5"/>
          <c:order val="5"/>
          <c:tx>
            <c:v>Verkkokäyrä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trendline>
            <c:spPr>
              <a:ln w="19050" cap="rnd">
                <a:solidFill>
                  <a:srgbClr val="C00000"/>
                </a:solidFill>
                <a:prstDash val="sysDot"/>
              </a:ln>
              <a:effectLst/>
            </c:spPr>
            <c:trendlineType val="power"/>
            <c:dispRSqr val="0"/>
            <c:dispEq val="0"/>
          </c:trendline>
          <c:xVal>
            <c:numRef>
              <c:f>'Laskenta poistopuoli 150'!$AC$34:$AC$37</c:f>
              <c:numCache>
                <c:formatCode>0.0</c:formatCode>
                <c:ptCount val="4"/>
                <c:pt idx="0">
                  <c:v>124.84437951911316</c:v>
                </c:pt>
                <c:pt idx="1">
                  <c:v>87.897109277921501</c:v>
                </c:pt>
                <c:pt idx="2">
                  <c:v>67.051058185264878</c:v>
                </c:pt>
                <c:pt idx="3">
                  <c:v>39.096721218366483</c:v>
                </c:pt>
              </c:numCache>
            </c:numRef>
          </c:xVal>
          <c:yVal>
            <c:numRef>
              <c:f>'Laskenta poistopuoli 150'!$AD$34:$AD$37</c:f>
              <c:numCache>
                <c:formatCode>0.0</c:formatCode>
                <c:ptCount val="4"/>
                <c:pt idx="0">
                  <c:v>487.06622179726082</c:v>
                </c:pt>
                <c:pt idx="1">
                  <c:v>241.43443185671481</c:v>
                </c:pt>
                <c:pt idx="2">
                  <c:v>140.49513761761807</c:v>
                </c:pt>
                <c:pt idx="3">
                  <c:v>47.767300313333351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FAB5-4347-8B0D-8302E9688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3507056"/>
        <c:axId val="843507384"/>
      </c:scatterChart>
      <c:valAx>
        <c:axId val="843507056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384"/>
        <c:crosses val="autoZero"/>
        <c:crossBetween val="midCat"/>
      </c:valAx>
      <c:valAx>
        <c:axId val="843507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8435070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Pysyvyysarvoja</a:t>
            </a:r>
          </a:p>
        </c:rich>
      </c:tx>
      <c:layout>
        <c:manualLayout>
          <c:xMode val="edge"/>
          <c:yMode val="edge"/>
          <c:x val="0.39697766097240472"/>
          <c:y val="2.1624961383997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Säädata!$L$3</c:f>
              <c:strCache>
                <c:ptCount val="1"/>
                <c:pt idx="0">
                  <c:v>SWE - Stockholm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Säädata!$L$4:$L$84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3.4246575342465754E-4</c:v>
                </c:pt>
                <c:pt idx="29">
                  <c:v>1.3698630136986301E-3</c:v>
                </c:pt>
                <c:pt idx="30">
                  <c:v>4.9086757990867581E-3</c:v>
                </c:pt>
                <c:pt idx="31">
                  <c:v>6.735159817351598E-3</c:v>
                </c:pt>
                <c:pt idx="32">
                  <c:v>9.1324200913242004E-3</c:v>
                </c:pt>
                <c:pt idx="33">
                  <c:v>1.1301369863013699E-2</c:v>
                </c:pt>
                <c:pt idx="34">
                  <c:v>2.3858447488584476E-2</c:v>
                </c:pt>
                <c:pt idx="35">
                  <c:v>4.2922374429223746E-2</c:v>
                </c:pt>
                <c:pt idx="36">
                  <c:v>5.6849315068493153E-2</c:v>
                </c:pt>
                <c:pt idx="37">
                  <c:v>8.0936073059360736E-2</c:v>
                </c:pt>
                <c:pt idx="38">
                  <c:v>0.1110730593607306</c:v>
                </c:pt>
                <c:pt idx="39">
                  <c:v>0.15719178082191781</c:v>
                </c:pt>
                <c:pt idx="40">
                  <c:v>0.21255707762557077</c:v>
                </c:pt>
                <c:pt idx="41">
                  <c:v>0.24155251141552511</c:v>
                </c:pt>
                <c:pt idx="42">
                  <c:v>0.30034246575342466</c:v>
                </c:pt>
                <c:pt idx="43">
                  <c:v>0.3485159817351598</c:v>
                </c:pt>
                <c:pt idx="44">
                  <c:v>0.40251141552511416</c:v>
                </c:pt>
                <c:pt idx="45">
                  <c:v>0.44121004566210048</c:v>
                </c:pt>
                <c:pt idx="46">
                  <c:v>0.46187214611872146</c:v>
                </c:pt>
                <c:pt idx="47">
                  <c:v>0.5044520547945206</c:v>
                </c:pt>
                <c:pt idx="48">
                  <c:v>0.54589041095890412</c:v>
                </c:pt>
                <c:pt idx="49">
                  <c:v>0.58036529680365301</c:v>
                </c:pt>
                <c:pt idx="50">
                  <c:v>0.62180365296803652</c:v>
                </c:pt>
                <c:pt idx="51">
                  <c:v>0.64634703196347032</c:v>
                </c:pt>
                <c:pt idx="52">
                  <c:v>0.69668949771689492</c:v>
                </c:pt>
                <c:pt idx="53">
                  <c:v>0.74589041095890407</c:v>
                </c:pt>
                <c:pt idx="54">
                  <c:v>0.79063926940639273</c:v>
                </c:pt>
                <c:pt idx="55">
                  <c:v>0.83755707762557075</c:v>
                </c:pt>
                <c:pt idx="56">
                  <c:v>0.86472602739726023</c:v>
                </c:pt>
                <c:pt idx="57">
                  <c:v>0.90559360730593608</c:v>
                </c:pt>
                <c:pt idx="58">
                  <c:v>0.93618721461187215</c:v>
                </c:pt>
                <c:pt idx="59">
                  <c:v>0.96175799086757996</c:v>
                </c:pt>
                <c:pt idx="60">
                  <c:v>0.97636986301369866</c:v>
                </c:pt>
                <c:pt idx="61">
                  <c:v>0.98344748858447484</c:v>
                </c:pt>
                <c:pt idx="62">
                  <c:v>0.99155251141552514</c:v>
                </c:pt>
                <c:pt idx="63">
                  <c:v>0.99691780821917808</c:v>
                </c:pt>
                <c:pt idx="64">
                  <c:v>0.99977168949771689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08-4058-81CA-33F218C770F5}"/>
            </c:ext>
          </c:extLst>
        </c:ser>
        <c:ser>
          <c:idx val="1"/>
          <c:order val="1"/>
          <c:tx>
            <c:strRef>
              <c:f>Säädata!$M$3</c:f>
              <c:strCache>
                <c:ptCount val="1"/>
                <c:pt idx="0">
                  <c:v>SWE - Gothenburg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Säädata!$M$4:$M$84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2.2831050228310502E-4</c:v>
                </c:pt>
                <c:pt idx="25">
                  <c:v>2.1689497716894978E-3</c:v>
                </c:pt>
                <c:pt idx="26">
                  <c:v>2.5114155251141552E-3</c:v>
                </c:pt>
                <c:pt idx="27">
                  <c:v>3.5388127853881279E-3</c:v>
                </c:pt>
                <c:pt idx="28">
                  <c:v>7.3059360730593605E-3</c:v>
                </c:pt>
                <c:pt idx="29">
                  <c:v>1.2671232876712329E-2</c:v>
                </c:pt>
                <c:pt idx="30">
                  <c:v>1.5753424657534248E-2</c:v>
                </c:pt>
                <c:pt idx="31">
                  <c:v>1.7579908675799085E-2</c:v>
                </c:pt>
                <c:pt idx="32">
                  <c:v>2.363013698630137E-2</c:v>
                </c:pt>
                <c:pt idx="33">
                  <c:v>3.1849315068493152E-2</c:v>
                </c:pt>
                <c:pt idx="34">
                  <c:v>4.2808219178082189E-2</c:v>
                </c:pt>
                <c:pt idx="35">
                  <c:v>5.9018264840182647E-2</c:v>
                </c:pt>
                <c:pt idx="36">
                  <c:v>7.031963470319634E-2</c:v>
                </c:pt>
                <c:pt idx="37">
                  <c:v>0.10148401826484019</c:v>
                </c:pt>
                <c:pt idx="38">
                  <c:v>0.13515981735159818</c:v>
                </c:pt>
                <c:pt idx="39">
                  <c:v>0.16666666666666666</c:v>
                </c:pt>
                <c:pt idx="40">
                  <c:v>0.20468036529680364</c:v>
                </c:pt>
                <c:pt idx="41">
                  <c:v>0.22500000000000001</c:v>
                </c:pt>
                <c:pt idx="42">
                  <c:v>0.27111872146118721</c:v>
                </c:pt>
                <c:pt idx="43">
                  <c:v>0.32522831050228312</c:v>
                </c:pt>
                <c:pt idx="44">
                  <c:v>0.36780821917808221</c:v>
                </c:pt>
                <c:pt idx="45">
                  <c:v>0.41746575342465753</c:v>
                </c:pt>
                <c:pt idx="46">
                  <c:v>0.43938356164383563</c:v>
                </c:pt>
                <c:pt idx="47">
                  <c:v>0.48276255707762555</c:v>
                </c:pt>
                <c:pt idx="48">
                  <c:v>0.53139269406392697</c:v>
                </c:pt>
                <c:pt idx="49">
                  <c:v>0.58150684931506846</c:v>
                </c:pt>
                <c:pt idx="50">
                  <c:v>0.62408675799086755</c:v>
                </c:pt>
                <c:pt idx="51">
                  <c:v>0.64566210045662098</c:v>
                </c:pt>
                <c:pt idx="52">
                  <c:v>0.69372146118721456</c:v>
                </c:pt>
                <c:pt idx="53">
                  <c:v>0.74257990867579904</c:v>
                </c:pt>
                <c:pt idx="54">
                  <c:v>0.7909817351598174</c:v>
                </c:pt>
                <c:pt idx="55">
                  <c:v>0.8392694063926941</c:v>
                </c:pt>
                <c:pt idx="56">
                  <c:v>0.86073059360730597</c:v>
                </c:pt>
                <c:pt idx="57">
                  <c:v>0.89223744292237439</c:v>
                </c:pt>
                <c:pt idx="58">
                  <c:v>0.92682648401826484</c:v>
                </c:pt>
                <c:pt idx="59">
                  <c:v>0.9488584474885845</c:v>
                </c:pt>
                <c:pt idx="60">
                  <c:v>0.966324200913242</c:v>
                </c:pt>
                <c:pt idx="61">
                  <c:v>0.97328767123287674</c:v>
                </c:pt>
                <c:pt idx="62">
                  <c:v>0.98436073059360729</c:v>
                </c:pt>
                <c:pt idx="63">
                  <c:v>0.9926940639269406</c:v>
                </c:pt>
                <c:pt idx="64">
                  <c:v>0.99760273972602742</c:v>
                </c:pt>
                <c:pt idx="65">
                  <c:v>0.99977168949771689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08-4058-81CA-33F218C770F5}"/>
            </c:ext>
          </c:extLst>
        </c:ser>
        <c:ser>
          <c:idx val="2"/>
          <c:order val="2"/>
          <c:tx>
            <c:strRef>
              <c:f>Säädata!$N$3</c:f>
              <c:strCache>
                <c:ptCount val="1"/>
                <c:pt idx="0">
                  <c:v>EST - Tallinn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Säädata!$N$4:$N$84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2.2831050228310502E-4</c:v>
                </c:pt>
                <c:pt idx="24">
                  <c:v>1.2557077625570776E-3</c:v>
                </c:pt>
                <c:pt idx="25">
                  <c:v>4.7945205479452057E-3</c:v>
                </c:pt>
                <c:pt idx="26">
                  <c:v>6.8493150684931503E-3</c:v>
                </c:pt>
                <c:pt idx="27">
                  <c:v>1.2557077625570776E-2</c:v>
                </c:pt>
                <c:pt idx="28">
                  <c:v>1.9748858447488585E-2</c:v>
                </c:pt>
                <c:pt idx="29">
                  <c:v>2.9223744292237442E-2</c:v>
                </c:pt>
                <c:pt idx="30">
                  <c:v>4.029680365296804E-2</c:v>
                </c:pt>
                <c:pt idx="31">
                  <c:v>4.8744292237442921E-2</c:v>
                </c:pt>
                <c:pt idx="32">
                  <c:v>6.2557077625570778E-2</c:v>
                </c:pt>
                <c:pt idx="33">
                  <c:v>8.4474885844748854E-2</c:v>
                </c:pt>
                <c:pt idx="34">
                  <c:v>0.10616438356164383</c:v>
                </c:pt>
                <c:pt idx="35">
                  <c:v>0.13070776255707764</c:v>
                </c:pt>
                <c:pt idx="36">
                  <c:v>0.14771689497716894</c:v>
                </c:pt>
                <c:pt idx="37">
                  <c:v>0.17340182648401825</c:v>
                </c:pt>
                <c:pt idx="38">
                  <c:v>0.20468036529680364</c:v>
                </c:pt>
                <c:pt idx="39">
                  <c:v>0.23184931506849316</c:v>
                </c:pt>
                <c:pt idx="40">
                  <c:v>0.27363013698630134</c:v>
                </c:pt>
                <c:pt idx="41">
                  <c:v>0.30490867579908676</c:v>
                </c:pt>
                <c:pt idx="42">
                  <c:v>0.36506849315068496</c:v>
                </c:pt>
                <c:pt idx="43">
                  <c:v>0.40559360730593608</c:v>
                </c:pt>
                <c:pt idx="44">
                  <c:v>0.4534246575342466</c:v>
                </c:pt>
                <c:pt idx="45">
                  <c:v>0.49874429223744293</c:v>
                </c:pt>
                <c:pt idx="46">
                  <c:v>0.51609589041095894</c:v>
                </c:pt>
                <c:pt idx="47">
                  <c:v>0.5501141552511416</c:v>
                </c:pt>
                <c:pt idx="48">
                  <c:v>0.58858447488584476</c:v>
                </c:pt>
                <c:pt idx="49">
                  <c:v>0.6205479452054794</c:v>
                </c:pt>
                <c:pt idx="50">
                  <c:v>0.65936073059360734</c:v>
                </c:pt>
                <c:pt idx="51">
                  <c:v>0.68093607305936077</c:v>
                </c:pt>
                <c:pt idx="52">
                  <c:v>0.71860730593607303</c:v>
                </c:pt>
                <c:pt idx="53">
                  <c:v>0.76404109589041092</c:v>
                </c:pt>
                <c:pt idx="54">
                  <c:v>0.80936073059360736</c:v>
                </c:pt>
                <c:pt idx="55">
                  <c:v>0.84531963470319638</c:v>
                </c:pt>
                <c:pt idx="56">
                  <c:v>0.86312785388127855</c:v>
                </c:pt>
                <c:pt idx="57">
                  <c:v>0.88949771689497714</c:v>
                </c:pt>
                <c:pt idx="58">
                  <c:v>0.91461187214611872</c:v>
                </c:pt>
                <c:pt idx="59">
                  <c:v>0.93641552511415527</c:v>
                </c:pt>
                <c:pt idx="60">
                  <c:v>0.95399543378995433</c:v>
                </c:pt>
                <c:pt idx="61">
                  <c:v>0.96107305936073062</c:v>
                </c:pt>
                <c:pt idx="62">
                  <c:v>0.97305936073059363</c:v>
                </c:pt>
                <c:pt idx="63">
                  <c:v>0.98264840182648405</c:v>
                </c:pt>
                <c:pt idx="64">
                  <c:v>0.99041095890410957</c:v>
                </c:pt>
                <c:pt idx="65">
                  <c:v>0.99566210045662096</c:v>
                </c:pt>
                <c:pt idx="66">
                  <c:v>0.9981735159817352</c:v>
                </c:pt>
                <c:pt idx="67">
                  <c:v>0.9992009132420091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E08-4058-81CA-33F218C770F5}"/>
            </c:ext>
          </c:extLst>
        </c:ser>
        <c:ser>
          <c:idx val="3"/>
          <c:order val="3"/>
          <c:tx>
            <c:strRef>
              <c:f>Säädata!$O$3</c:f>
              <c:strCache>
                <c:ptCount val="1"/>
                <c:pt idx="0">
                  <c:v>LAT - Riga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Säädata!$O$4:$O$84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3.4246575342465754E-4</c:v>
                </c:pt>
                <c:pt idx="22">
                  <c:v>2.5114155251141552E-3</c:v>
                </c:pt>
                <c:pt idx="23">
                  <c:v>3.6529680365296802E-3</c:v>
                </c:pt>
                <c:pt idx="24">
                  <c:v>9.8173515981735161E-3</c:v>
                </c:pt>
                <c:pt idx="25">
                  <c:v>1.2442922374429224E-2</c:v>
                </c:pt>
                <c:pt idx="26">
                  <c:v>1.3926940639269407E-2</c:v>
                </c:pt>
                <c:pt idx="27">
                  <c:v>1.6210045662100457E-2</c:v>
                </c:pt>
                <c:pt idx="28">
                  <c:v>1.9863013698630139E-2</c:v>
                </c:pt>
                <c:pt idx="29">
                  <c:v>2.9109589041095889E-2</c:v>
                </c:pt>
                <c:pt idx="30">
                  <c:v>3.6415525114155252E-2</c:v>
                </c:pt>
                <c:pt idx="31">
                  <c:v>3.9497716894977171E-2</c:v>
                </c:pt>
                <c:pt idx="32">
                  <c:v>4.8401826484018265E-2</c:v>
                </c:pt>
                <c:pt idx="33">
                  <c:v>6.837899543378996E-2</c:v>
                </c:pt>
                <c:pt idx="34">
                  <c:v>8.7899543378995429E-2</c:v>
                </c:pt>
                <c:pt idx="35">
                  <c:v>0.11347031963470319</c:v>
                </c:pt>
                <c:pt idx="36">
                  <c:v>0.1291095890410959</c:v>
                </c:pt>
                <c:pt idx="37">
                  <c:v>0.16598173515981735</c:v>
                </c:pt>
                <c:pt idx="38">
                  <c:v>0.20228310502283106</c:v>
                </c:pt>
                <c:pt idx="39">
                  <c:v>0.24463470319634703</c:v>
                </c:pt>
                <c:pt idx="40">
                  <c:v>0.28938356164383561</c:v>
                </c:pt>
                <c:pt idx="41">
                  <c:v>0.31050228310502281</c:v>
                </c:pt>
                <c:pt idx="42">
                  <c:v>0.35239726027397261</c:v>
                </c:pt>
                <c:pt idx="43">
                  <c:v>0.39063926940639271</c:v>
                </c:pt>
                <c:pt idx="44">
                  <c:v>0.42659817351598173</c:v>
                </c:pt>
                <c:pt idx="45">
                  <c:v>0.46575342465753422</c:v>
                </c:pt>
                <c:pt idx="46">
                  <c:v>0.47979452054794519</c:v>
                </c:pt>
                <c:pt idx="47">
                  <c:v>0.51598173515981738</c:v>
                </c:pt>
                <c:pt idx="48">
                  <c:v>0.5474885844748858</c:v>
                </c:pt>
                <c:pt idx="49">
                  <c:v>0.58287671232876714</c:v>
                </c:pt>
                <c:pt idx="50">
                  <c:v>0.6257990867579909</c:v>
                </c:pt>
                <c:pt idx="51">
                  <c:v>0.64840182648401823</c:v>
                </c:pt>
                <c:pt idx="52">
                  <c:v>0.69326484018264845</c:v>
                </c:pt>
                <c:pt idx="53">
                  <c:v>0.73390410958904106</c:v>
                </c:pt>
                <c:pt idx="54">
                  <c:v>0.77214611872146122</c:v>
                </c:pt>
                <c:pt idx="55">
                  <c:v>0.81084474885844748</c:v>
                </c:pt>
                <c:pt idx="56">
                  <c:v>0.83116438356164379</c:v>
                </c:pt>
                <c:pt idx="57">
                  <c:v>0.86906392694063928</c:v>
                </c:pt>
                <c:pt idx="58">
                  <c:v>0.90148401826484015</c:v>
                </c:pt>
                <c:pt idx="59">
                  <c:v>0.92625570776255706</c:v>
                </c:pt>
                <c:pt idx="60">
                  <c:v>0.95079908675799085</c:v>
                </c:pt>
                <c:pt idx="61">
                  <c:v>0.96198630136986296</c:v>
                </c:pt>
                <c:pt idx="62">
                  <c:v>0.97408675799086752</c:v>
                </c:pt>
                <c:pt idx="63">
                  <c:v>0.98413242009132418</c:v>
                </c:pt>
                <c:pt idx="64">
                  <c:v>0.99132420091324203</c:v>
                </c:pt>
                <c:pt idx="65">
                  <c:v>0.99566210045662096</c:v>
                </c:pt>
                <c:pt idx="66">
                  <c:v>0.99760273972602742</c:v>
                </c:pt>
                <c:pt idx="67">
                  <c:v>0.99931506849315066</c:v>
                </c:pt>
                <c:pt idx="68">
                  <c:v>0.99988584474885844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E08-4058-81CA-33F218C770F5}"/>
            </c:ext>
          </c:extLst>
        </c:ser>
        <c:ser>
          <c:idx val="4"/>
          <c:order val="4"/>
          <c:tx>
            <c:strRef>
              <c:f>Säädata!$P$3</c:f>
              <c:strCache>
                <c:ptCount val="1"/>
                <c:pt idx="0">
                  <c:v>LTU - Vilnius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Säädata!$P$4:$P$84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1.1415525114155251E-4</c:v>
                </c:pt>
                <c:pt idx="17">
                  <c:v>1.1415525114155251E-3</c:v>
                </c:pt>
                <c:pt idx="18">
                  <c:v>2.2831050228310501E-3</c:v>
                </c:pt>
                <c:pt idx="19">
                  <c:v>3.3105022831050228E-3</c:v>
                </c:pt>
                <c:pt idx="20">
                  <c:v>5.5936073059360729E-3</c:v>
                </c:pt>
                <c:pt idx="21">
                  <c:v>6.392694063926941E-3</c:v>
                </c:pt>
                <c:pt idx="22">
                  <c:v>7.0776255707762558E-3</c:v>
                </c:pt>
                <c:pt idx="23">
                  <c:v>7.9908675799086754E-3</c:v>
                </c:pt>
                <c:pt idx="24">
                  <c:v>1.1301369863013699E-2</c:v>
                </c:pt>
                <c:pt idx="25">
                  <c:v>1.3470319634703196E-2</c:v>
                </c:pt>
                <c:pt idx="26">
                  <c:v>1.5639269406392695E-2</c:v>
                </c:pt>
                <c:pt idx="27">
                  <c:v>2.0205479452054795E-2</c:v>
                </c:pt>
                <c:pt idx="28">
                  <c:v>2.8995433789954339E-2</c:v>
                </c:pt>
                <c:pt idx="29">
                  <c:v>3.6073059360730596E-2</c:v>
                </c:pt>
                <c:pt idx="30">
                  <c:v>4.5890410958904108E-2</c:v>
                </c:pt>
                <c:pt idx="31">
                  <c:v>5.2054794520547946E-2</c:v>
                </c:pt>
                <c:pt idx="32">
                  <c:v>6.7009132420091322E-2</c:v>
                </c:pt>
                <c:pt idx="33">
                  <c:v>8.2762557077625573E-2</c:v>
                </c:pt>
                <c:pt idx="34">
                  <c:v>0.10582191780821917</c:v>
                </c:pt>
                <c:pt idx="35">
                  <c:v>0.13070776255707764</c:v>
                </c:pt>
                <c:pt idx="36">
                  <c:v>0.14874429223744293</c:v>
                </c:pt>
                <c:pt idx="37">
                  <c:v>0.19075342465753425</c:v>
                </c:pt>
                <c:pt idx="38">
                  <c:v>0.22910958904109588</c:v>
                </c:pt>
                <c:pt idx="39">
                  <c:v>0.27100456621004565</c:v>
                </c:pt>
                <c:pt idx="40">
                  <c:v>0.30810502283105023</c:v>
                </c:pt>
                <c:pt idx="41">
                  <c:v>0.32968036529680367</c:v>
                </c:pt>
                <c:pt idx="42">
                  <c:v>0.36723744292237442</c:v>
                </c:pt>
                <c:pt idx="43">
                  <c:v>0.40273972602739727</c:v>
                </c:pt>
                <c:pt idx="44">
                  <c:v>0.4343607305936073</c:v>
                </c:pt>
                <c:pt idx="45">
                  <c:v>0.46700913242009134</c:v>
                </c:pt>
                <c:pt idx="46">
                  <c:v>0.48881278538812784</c:v>
                </c:pt>
                <c:pt idx="47">
                  <c:v>0.52465753424657535</c:v>
                </c:pt>
                <c:pt idx="48">
                  <c:v>0.5592465753424658</c:v>
                </c:pt>
                <c:pt idx="49">
                  <c:v>0.59509132420091326</c:v>
                </c:pt>
                <c:pt idx="50">
                  <c:v>0.63401826484018264</c:v>
                </c:pt>
                <c:pt idx="51">
                  <c:v>0.65228310502283104</c:v>
                </c:pt>
                <c:pt idx="52">
                  <c:v>0.68949771689497719</c:v>
                </c:pt>
                <c:pt idx="53">
                  <c:v>0.72397260273972608</c:v>
                </c:pt>
                <c:pt idx="54">
                  <c:v>0.75821917808219175</c:v>
                </c:pt>
                <c:pt idx="55">
                  <c:v>0.79429223744292232</c:v>
                </c:pt>
                <c:pt idx="56">
                  <c:v>0.81198630136986305</c:v>
                </c:pt>
                <c:pt idx="57">
                  <c:v>0.8504566210045662</c:v>
                </c:pt>
                <c:pt idx="58">
                  <c:v>0.88789954337899546</c:v>
                </c:pt>
                <c:pt idx="59">
                  <c:v>0.91837899543378998</c:v>
                </c:pt>
                <c:pt idx="60">
                  <c:v>0.94200913242009132</c:v>
                </c:pt>
                <c:pt idx="61">
                  <c:v>0.95125570776255708</c:v>
                </c:pt>
                <c:pt idx="62">
                  <c:v>0.96643835616438356</c:v>
                </c:pt>
                <c:pt idx="63">
                  <c:v>0.97785388127853878</c:v>
                </c:pt>
                <c:pt idx="64">
                  <c:v>0.98732876712328765</c:v>
                </c:pt>
                <c:pt idx="65">
                  <c:v>0.99326484018264838</c:v>
                </c:pt>
                <c:pt idx="66">
                  <c:v>0.9953196347031964</c:v>
                </c:pt>
                <c:pt idx="67">
                  <c:v>0.99805936073059365</c:v>
                </c:pt>
                <c:pt idx="68">
                  <c:v>0.99931506849315066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E08-4058-81CA-33F218C770F5}"/>
            </c:ext>
          </c:extLst>
        </c:ser>
        <c:ser>
          <c:idx val="5"/>
          <c:order val="5"/>
          <c:tx>
            <c:strRef>
              <c:f>Säädata!$Q$3</c:f>
              <c:strCache>
                <c:ptCount val="1"/>
                <c:pt idx="0">
                  <c:v>POL - Warsaw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Säädata!$Q$4:$Q$84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3.4246575342465754E-4</c:v>
                </c:pt>
                <c:pt idx="23">
                  <c:v>1.0273972602739725E-3</c:v>
                </c:pt>
                <c:pt idx="24">
                  <c:v>2.054794520547945E-3</c:v>
                </c:pt>
                <c:pt idx="25">
                  <c:v>3.767123287671233E-3</c:v>
                </c:pt>
                <c:pt idx="26">
                  <c:v>4.7945205479452057E-3</c:v>
                </c:pt>
                <c:pt idx="27">
                  <c:v>6.735159817351598E-3</c:v>
                </c:pt>
                <c:pt idx="28">
                  <c:v>9.7031963470319629E-3</c:v>
                </c:pt>
                <c:pt idx="29">
                  <c:v>1.3356164383561644E-2</c:v>
                </c:pt>
                <c:pt idx="30">
                  <c:v>1.8036529680365298E-2</c:v>
                </c:pt>
                <c:pt idx="31">
                  <c:v>2.0547945205479451E-2</c:v>
                </c:pt>
                <c:pt idx="32">
                  <c:v>2.5228310502283104E-2</c:v>
                </c:pt>
                <c:pt idx="33">
                  <c:v>3.4018264840182645E-2</c:v>
                </c:pt>
                <c:pt idx="34">
                  <c:v>4.9086757990867577E-2</c:v>
                </c:pt>
                <c:pt idx="35">
                  <c:v>6.9977168949771684E-2</c:v>
                </c:pt>
                <c:pt idx="36">
                  <c:v>8.3447488584474885E-2</c:v>
                </c:pt>
                <c:pt idx="37">
                  <c:v>0.11529680365296803</c:v>
                </c:pt>
                <c:pt idx="38">
                  <c:v>0.15376712328767123</c:v>
                </c:pt>
                <c:pt idx="39">
                  <c:v>0.19121004566210045</c:v>
                </c:pt>
                <c:pt idx="40">
                  <c:v>0.22979452054794522</c:v>
                </c:pt>
                <c:pt idx="41">
                  <c:v>0.24520547945205479</c:v>
                </c:pt>
                <c:pt idx="42">
                  <c:v>0.27716894977168949</c:v>
                </c:pt>
                <c:pt idx="43">
                  <c:v>0.31324200913242012</c:v>
                </c:pt>
                <c:pt idx="44">
                  <c:v>0.3476027397260274</c:v>
                </c:pt>
                <c:pt idx="45">
                  <c:v>0.38367579908675797</c:v>
                </c:pt>
                <c:pt idx="46">
                  <c:v>0.40742009132420093</c:v>
                </c:pt>
                <c:pt idx="47">
                  <c:v>0.4480593607305936</c:v>
                </c:pt>
                <c:pt idx="48">
                  <c:v>0.48413242009132418</c:v>
                </c:pt>
                <c:pt idx="49">
                  <c:v>0.52465753424657535</c:v>
                </c:pt>
                <c:pt idx="50">
                  <c:v>0.5639269406392694</c:v>
                </c:pt>
                <c:pt idx="51">
                  <c:v>0.58424657534246571</c:v>
                </c:pt>
                <c:pt idx="52">
                  <c:v>0.62785388127853881</c:v>
                </c:pt>
                <c:pt idx="53">
                  <c:v>0.66997716894977166</c:v>
                </c:pt>
                <c:pt idx="54">
                  <c:v>0.7179223744292238</c:v>
                </c:pt>
                <c:pt idx="55">
                  <c:v>0.76210045662100456</c:v>
                </c:pt>
                <c:pt idx="56">
                  <c:v>0.78047945205479452</c:v>
                </c:pt>
                <c:pt idx="57">
                  <c:v>0.82351598173515983</c:v>
                </c:pt>
                <c:pt idx="58">
                  <c:v>0.86461187214611868</c:v>
                </c:pt>
                <c:pt idx="59">
                  <c:v>0.89452054794520552</c:v>
                </c:pt>
                <c:pt idx="60">
                  <c:v>0.92123287671232879</c:v>
                </c:pt>
                <c:pt idx="61">
                  <c:v>0.93287671232876712</c:v>
                </c:pt>
                <c:pt idx="62">
                  <c:v>0.95091324200913241</c:v>
                </c:pt>
                <c:pt idx="63">
                  <c:v>0.9671232876712329</c:v>
                </c:pt>
                <c:pt idx="64">
                  <c:v>0.97819634703196345</c:v>
                </c:pt>
                <c:pt idx="65">
                  <c:v>0.98732876712328765</c:v>
                </c:pt>
                <c:pt idx="66">
                  <c:v>0.99018264840182646</c:v>
                </c:pt>
                <c:pt idx="67">
                  <c:v>0.99543378995433784</c:v>
                </c:pt>
                <c:pt idx="68">
                  <c:v>0.99760273972602742</c:v>
                </c:pt>
                <c:pt idx="69">
                  <c:v>0.9992009132420091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E08-4058-81CA-33F218C770F5}"/>
            </c:ext>
          </c:extLst>
        </c:ser>
        <c:ser>
          <c:idx val="6"/>
          <c:order val="6"/>
          <c:tx>
            <c:strRef>
              <c:f>Säädata!$R$3</c:f>
              <c:strCache>
                <c:ptCount val="1"/>
                <c:pt idx="0">
                  <c:v>POL - Krakow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Säädata!$G$4:$G$84</c:f>
              <c:numCache>
                <c:formatCode>0" °C"</c:formatCode>
                <c:ptCount val="81"/>
                <c:pt idx="0">
                  <c:v>-40</c:v>
                </c:pt>
                <c:pt idx="1">
                  <c:v>-39</c:v>
                </c:pt>
                <c:pt idx="2">
                  <c:v>-38</c:v>
                </c:pt>
                <c:pt idx="3">
                  <c:v>-37</c:v>
                </c:pt>
                <c:pt idx="4">
                  <c:v>-36</c:v>
                </c:pt>
                <c:pt idx="5">
                  <c:v>-35</c:v>
                </c:pt>
                <c:pt idx="6">
                  <c:v>-34</c:v>
                </c:pt>
                <c:pt idx="7">
                  <c:v>-33</c:v>
                </c:pt>
                <c:pt idx="8">
                  <c:v>-32</c:v>
                </c:pt>
                <c:pt idx="9">
                  <c:v>-31</c:v>
                </c:pt>
                <c:pt idx="10">
                  <c:v>-30</c:v>
                </c:pt>
                <c:pt idx="11">
                  <c:v>-29</c:v>
                </c:pt>
                <c:pt idx="12">
                  <c:v>-28</c:v>
                </c:pt>
                <c:pt idx="13">
                  <c:v>-27</c:v>
                </c:pt>
                <c:pt idx="14">
                  <c:v>-26</c:v>
                </c:pt>
                <c:pt idx="15">
                  <c:v>-25</c:v>
                </c:pt>
                <c:pt idx="16">
                  <c:v>-24</c:v>
                </c:pt>
                <c:pt idx="17">
                  <c:v>-23</c:v>
                </c:pt>
                <c:pt idx="18">
                  <c:v>-22</c:v>
                </c:pt>
                <c:pt idx="19">
                  <c:v>-21</c:v>
                </c:pt>
                <c:pt idx="20">
                  <c:v>-20</c:v>
                </c:pt>
                <c:pt idx="21">
                  <c:v>-19</c:v>
                </c:pt>
                <c:pt idx="22">
                  <c:v>-18</c:v>
                </c:pt>
                <c:pt idx="23">
                  <c:v>-17</c:v>
                </c:pt>
                <c:pt idx="24">
                  <c:v>-16</c:v>
                </c:pt>
                <c:pt idx="25">
                  <c:v>-15</c:v>
                </c:pt>
                <c:pt idx="26">
                  <c:v>-14</c:v>
                </c:pt>
                <c:pt idx="27">
                  <c:v>-13</c:v>
                </c:pt>
                <c:pt idx="28">
                  <c:v>-12</c:v>
                </c:pt>
                <c:pt idx="29">
                  <c:v>-11</c:v>
                </c:pt>
                <c:pt idx="30">
                  <c:v>-10</c:v>
                </c:pt>
                <c:pt idx="31">
                  <c:v>-9</c:v>
                </c:pt>
                <c:pt idx="32">
                  <c:v>-8</c:v>
                </c:pt>
                <c:pt idx="33">
                  <c:v>-7</c:v>
                </c:pt>
                <c:pt idx="34">
                  <c:v>-6</c:v>
                </c:pt>
                <c:pt idx="35">
                  <c:v>-5</c:v>
                </c:pt>
                <c:pt idx="36">
                  <c:v>-4</c:v>
                </c:pt>
                <c:pt idx="37">
                  <c:v>-3</c:v>
                </c:pt>
                <c:pt idx="38">
                  <c:v>-2</c:v>
                </c:pt>
                <c:pt idx="39">
                  <c:v>-1</c:v>
                </c:pt>
                <c:pt idx="40">
                  <c:v>0</c:v>
                </c:pt>
                <c:pt idx="41">
                  <c:v>1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5</c:v>
                </c:pt>
                <c:pt idx="46">
                  <c:v>6</c:v>
                </c:pt>
                <c:pt idx="47">
                  <c:v>7</c:v>
                </c:pt>
                <c:pt idx="48">
                  <c:v>8</c:v>
                </c:pt>
                <c:pt idx="49">
                  <c:v>9</c:v>
                </c:pt>
                <c:pt idx="50">
                  <c:v>10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14</c:v>
                </c:pt>
                <c:pt idx="55">
                  <c:v>15</c:v>
                </c:pt>
                <c:pt idx="56">
                  <c:v>16</c:v>
                </c:pt>
                <c:pt idx="57">
                  <c:v>17</c:v>
                </c:pt>
                <c:pt idx="58">
                  <c:v>18</c:v>
                </c:pt>
                <c:pt idx="59">
                  <c:v>19</c:v>
                </c:pt>
                <c:pt idx="60">
                  <c:v>20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24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28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32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38</c:v>
                </c:pt>
                <c:pt idx="79">
                  <c:v>39</c:v>
                </c:pt>
                <c:pt idx="80">
                  <c:v>40</c:v>
                </c:pt>
              </c:numCache>
            </c:numRef>
          </c:xVal>
          <c:yVal>
            <c:numRef>
              <c:f>Säädata!$R$4:$R$84</c:f>
              <c:numCache>
                <c:formatCode>General</c:formatCode>
                <c:ptCount val="8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1.1415525114155251E-4</c:v>
                </c:pt>
                <c:pt idx="24">
                  <c:v>1.8264840182648401E-3</c:v>
                </c:pt>
                <c:pt idx="25">
                  <c:v>3.4246575342465752E-3</c:v>
                </c:pt>
                <c:pt idx="26">
                  <c:v>4.4520547945205479E-3</c:v>
                </c:pt>
                <c:pt idx="27">
                  <c:v>7.534246575342466E-3</c:v>
                </c:pt>
                <c:pt idx="28">
                  <c:v>1.0159817351598174E-2</c:v>
                </c:pt>
                <c:pt idx="29">
                  <c:v>1.3812785388127854E-2</c:v>
                </c:pt>
                <c:pt idx="30">
                  <c:v>1.6552511415525113E-2</c:v>
                </c:pt>
                <c:pt idx="31">
                  <c:v>1.872146118721461E-2</c:v>
                </c:pt>
                <c:pt idx="32">
                  <c:v>2.5684931506849314E-2</c:v>
                </c:pt>
                <c:pt idx="33">
                  <c:v>3.8698630136986302E-2</c:v>
                </c:pt>
                <c:pt idx="34">
                  <c:v>5.4337899543378997E-2</c:v>
                </c:pt>
                <c:pt idx="35">
                  <c:v>7.0205479452054798E-2</c:v>
                </c:pt>
                <c:pt idx="36">
                  <c:v>8.1735159817351605E-2</c:v>
                </c:pt>
                <c:pt idx="37">
                  <c:v>0.10251141552511416</c:v>
                </c:pt>
                <c:pt idx="38">
                  <c:v>0.13390410958904109</c:v>
                </c:pt>
                <c:pt idx="39">
                  <c:v>0.16929223744292238</c:v>
                </c:pt>
                <c:pt idx="40">
                  <c:v>0.20833333333333334</c:v>
                </c:pt>
                <c:pt idx="41">
                  <c:v>0.22888127853881279</c:v>
                </c:pt>
                <c:pt idx="42">
                  <c:v>0.26529680365296804</c:v>
                </c:pt>
                <c:pt idx="43">
                  <c:v>0.30445205479452053</c:v>
                </c:pt>
                <c:pt idx="44">
                  <c:v>0.3393835616438356</c:v>
                </c:pt>
                <c:pt idx="45">
                  <c:v>0.37614155251141551</c:v>
                </c:pt>
                <c:pt idx="46">
                  <c:v>0.39474885844748858</c:v>
                </c:pt>
                <c:pt idx="47">
                  <c:v>0.43378995433789952</c:v>
                </c:pt>
                <c:pt idx="48">
                  <c:v>0.47066210045662099</c:v>
                </c:pt>
                <c:pt idx="49">
                  <c:v>0.50924657534246576</c:v>
                </c:pt>
                <c:pt idx="50">
                  <c:v>0.55251141552511418</c:v>
                </c:pt>
                <c:pt idx="51">
                  <c:v>0.57043378995433791</c:v>
                </c:pt>
                <c:pt idx="52">
                  <c:v>0.60696347031963471</c:v>
                </c:pt>
                <c:pt idx="53">
                  <c:v>0.65228310502283104</c:v>
                </c:pt>
                <c:pt idx="54">
                  <c:v>0.69086757990867576</c:v>
                </c:pt>
                <c:pt idx="55">
                  <c:v>0.72910958904109591</c:v>
                </c:pt>
                <c:pt idx="56">
                  <c:v>0.75102739726027401</c:v>
                </c:pt>
                <c:pt idx="57">
                  <c:v>0.7901826484018265</c:v>
                </c:pt>
                <c:pt idx="58">
                  <c:v>0.82773972602739732</c:v>
                </c:pt>
                <c:pt idx="59">
                  <c:v>0.86472602739726023</c:v>
                </c:pt>
                <c:pt idx="60">
                  <c:v>0.8969178082191781</c:v>
                </c:pt>
                <c:pt idx="61">
                  <c:v>0.91255707762557081</c:v>
                </c:pt>
                <c:pt idx="62">
                  <c:v>0.93515981735159814</c:v>
                </c:pt>
                <c:pt idx="63">
                  <c:v>0.95525114155251145</c:v>
                </c:pt>
                <c:pt idx="64">
                  <c:v>0.97111872146118716</c:v>
                </c:pt>
                <c:pt idx="65">
                  <c:v>0.98344748858447484</c:v>
                </c:pt>
                <c:pt idx="66">
                  <c:v>0.98755707762557077</c:v>
                </c:pt>
                <c:pt idx="67">
                  <c:v>0.99337899543378994</c:v>
                </c:pt>
                <c:pt idx="68">
                  <c:v>0.99726027397260275</c:v>
                </c:pt>
                <c:pt idx="69">
                  <c:v>0.99863013698630132</c:v>
                </c:pt>
                <c:pt idx="70">
                  <c:v>0.99977168949771689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E08-4058-81CA-33F218C77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7180400"/>
        <c:axId val="252783936"/>
      </c:scatterChart>
      <c:valAx>
        <c:axId val="247180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°C&quot;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52783936"/>
        <c:crosses val="autoZero"/>
        <c:crossBetween val="midCat"/>
      </c:valAx>
      <c:valAx>
        <c:axId val="2527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47180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i-FI" sz="1050"/>
              <a:t>Verkkokäyrän pisteet: tilavuusvirta eri ohjausjännitteillä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forward val="0.5"/>
            <c:dispRSqr val="1"/>
            <c:dispEq val="1"/>
            <c:trendlineLbl>
              <c:layout>
                <c:manualLayout>
                  <c:x val="-9.9820428696412944E-2"/>
                  <c:y val="4.275809273840770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130'!$AL$35:$AL$38</c:f>
              <c:numCache>
                <c:formatCode>General</c:formatCode>
                <c:ptCount val="4"/>
                <c:pt idx="0">
                  <c:v>9</c:v>
                </c:pt>
                <c:pt idx="1">
                  <c:v>8</c:v>
                </c:pt>
                <c:pt idx="2">
                  <c:v>6</c:v>
                </c:pt>
                <c:pt idx="3">
                  <c:v>4</c:v>
                </c:pt>
              </c:numCache>
            </c:numRef>
          </c:xVal>
          <c:yVal>
            <c:numRef>
              <c:f>'Laskenta tulopuoli 130'!$AM$35:$AM$38</c:f>
              <c:numCache>
                <c:formatCode>0.0</c:formatCode>
                <c:ptCount val="4"/>
                <c:pt idx="0">
                  <c:v>93.85245755664927</c:v>
                </c:pt>
                <c:pt idx="1">
                  <c:v>82.531273004241669</c:v>
                </c:pt>
                <c:pt idx="2">
                  <c:v>59.77342771579147</c:v>
                </c:pt>
                <c:pt idx="3">
                  <c:v>36.214720979239374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9C-40C3-B48E-DC315B1203E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9.4451881014873146E-2"/>
                  <c:y val="0.1687784339457567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fi-FI"/>
                </a:p>
              </c:txPr>
            </c:trendlineLbl>
          </c:trendline>
          <c:xVal>
            <c:numRef>
              <c:f>'Laskenta tulopuoli 130'!$AL$34:$AL$35</c:f>
              <c:numCache>
                <c:formatCode>General</c:formatCode>
                <c:ptCount val="2"/>
                <c:pt idx="0">
                  <c:v>10</c:v>
                </c:pt>
                <c:pt idx="1">
                  <c:v>9</c:v>
                </c:pt>
              </c:numCache>
            </c:numRef>
          </c:xVal>
          <c:yVal>
            <c:numRef>
              <c:f>'Laskenta tulopuoli 130'!$AM$34:$AM$35</c:f>
              <c:numCache>
                <c:formatCode>0.0</c:formatCode>
                <c:ptCount val="2"/>
                <c:pt idx="0">
                  <c:v>99.72861757132172</c:v>
                </c:pt>
                <c:pt idx="1">
                  <c:v>93.85245755664927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9C-40C3-B48E-DC315B1203E1}"/>
            </c:ext>
          </c:extLst>
        </c:ser>
        <c:ser>
          <c:idx val="2"/>
          <c:order val="2"/>
          <c:tx>
            <c:v>mitoituspiste</c:v>
          </c:tx>
          <c:spPr>
            <a:ln w="25400" cap="rnd">
              <a:noFill/>
              <a:round/>
            </a:ln>
            <a:effectLst/>
          </c:spPr>
          <c:marker>
            <c:symbol val="x"/>
            <c:size val="5"/>
            <c:spPr>
              <a:noFill/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'Laskenta tulopuoli 130'!$W$9</c:f>
              <c:numCache>
                <c:formatCode>0.0</c:formatCode>
                <c:ptCount val="1"/>
                <c:pt idx="0">
                  <c:v>4.3112531189344354</c:v>
                </c:pt>
              </c:numCache>
            </c:numRef>
          </c:xVal>
          <c:yVal>
            <c:numRef>
              <c:f>'Laskenta tulopuoli 130'!$J$3</c:f>
              <c:numCache>
                <c:formatCode>General</c:formatCode>
                <c:ptCount val="1"/>
                <c:pt idx="0">
                  <c:v>40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9C-40C3-B48E-DC315B120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3280496"/>
        <c:axId val="773281152"/>
      </c:scatterChart>
      <c:valAx>
        <c:axId val="773280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Ohjausjännite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1152"/>
        <c:crosses val="autoZero"/>
        <c:crossBetween val="midCat"/>
      </c:valAx>
      <c:valAx>
        <c:axId val="773281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fi-FI"/>
                  <a:t>Tilavuusvirta verkkokäyrällä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fi-FI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fi-FI"/>
          </a:p>
        </c:txPr>
        <c:crossAx val="7732804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6" dropStyle="combo" dx="22" fmlaLink="Tulokset!$W$5" fmlaRange="Tulokset!$X$12:$X$17" noThreeD="1" sel="1" val="0"/>
</file>

<file path=xl/ctrlProps/ctrlProp10.xml><?xml version="1.0" encoding="utf-8"?>
<formControlPr xmlns="http://schemas.microsoft.com/office/spreadsheetml/2009/9/main" objectType="Radio" checked="Checked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Drop" dropLines="15" dropStyle="combo" dx="22" fmlaLink="Säädata!$B$27" fmlaRange="Aluelistaus" noThreeD="1" sel="1" val="0"/>
</file>

<file path=xl/ctrlProps/ctrlProp14.xml><?xml version="1.0" encoding="utf-8"?>
<formControlPr xmlns="http://schemas.microsoft.com/office/spreadsheetml/2009/9/main" objectType="Drop" dropLines="2" dropStyle="combo" dx="22" fmlaLink="Laskenta_vuosihyötysuhde!$C$34" fmlaRange="Laskenta_vuosihyötysuhde!$B$32:$B$33" noThreeD="1" sel="1" val="0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Drop" dropLines="6" dropStyle="combo" dx="22" fmlaLink="$W$5" fmlaRange="$X$12:$X$17" noThreeD="1" sel="1" val="0"/>
</file>

<file path=xl/ctrlProps/ctrlProp2.xml><?xml version="1.0" encoding="utf-8"?>
<formControlPr xmlns="http://schemas.microsoft.com/office/spreadsheetml/2009/9/main" objectType="Drop" dropLines="2" dropStyle="combo" dx="22" fmlaLink="'SEC-laskenta'!$H$7" fmlaRange="'SEC-laskenta'!$C$7:$C$8" noThreeD="1" sel="1" val="0"/>
</file>

<file path=xl/ctrlProps/ctrlProp20.xml><?xml version="1.0" encoding="utf-8"?>
<formControlPr xmlns="http://schemas.microsoft.com/office/spreadsheetml/2009/9/main" objectType="Drop" dropLines="5" dropStyle="combo" dx="22" fmlaLink="Tulokset!$DK$3" fmlaRange="Tulokset!$DJ$10:$DJ$14" noThreeD="1" sel="1" val="0"/>
</file>

<file path=xl/ctrlProps/ctrlProp21.xml><?xml version="1.0" encoding="utf-8"?>
<formControlPr xmlns="http://schemas.microsoft.com/office/spreadsheetml/2009/9/main" objectType="Drop" dropLines="15" dropStyle="combo" dx="22" fmlaLink="$B$27" fmlaRange="Aluelistaus" noThreeD="1" sel="1" val="0"/>
</file>

<file path=xl/ctrlProps/ctrlProp22.xml><?xml version="1.0" encoding="utf-8"?>
<formControlPr xmlns="http://schemas.microsoft.com/office/spreadsheetml/2009/9/main" objectType="Drop" dropLines="7" dropStyle="combo" dx="22" fmlaLink="Laskenta_vuosihyötysuhde!$E$13" fmlaRange="Valtiolistaus" sel="1" val="0"/>
</file>

<file path=xl/ctrlProps/ctrlProp23.xml><?xml version="1.0" encoding="utf-8"?>
<formControlPr xmlns="http://schemas.microsoft.com/office/spreadsheetml/2009/9/main" objectType="Drop" dropLines="4" dropStyle="combo" dx="22" fmlaLink="Laskenta_vuosihyötysuhde!$E$14" fmlaRange="Kuntalistaus" sel="1" val="0"/>
</file>

<file path=xl/ctrlProps/ctrlProp3.xml><?xml version="1.0" encoding="utf-8"?>
<formControlPr xmlns="http://schemas.microsoft.com/office/spreadsheetml/2009/9/main" objectType="Drop" dropLines="4" dropStyle="combo" dx="22" fmlaLink="'SEC-laskenta'!$H$11" fmlaRange="'SEC-laskenta'!$C$11:$C$14" noThreeD="1" sel="4" val="0"/>
</file>

<file path=xl/ctrlProps/ctrlProp4.xml><?xml version="1.0" encoding="utf-8"?>
<formControlPr xmlns="http://schemas.microsoft.com/office/spreadsheetml/2009/9/main" objectType="Drop" dropLines="4" dropStyle="combo" dx="22" fmlaLink="'SEC-laskenta'!$H$17" fmlaRange="'SEC-laskenta'!$C$17:$C$20" noThreeD="1" sel="4" val="0"/>
</file>

<file path=xl/ctrlProps/ctrlProp5.xml><?xml version="1.0" encoding="utf-8"?>
<formControlPr xmlns="http://schemas.microsoft.com/office/spreadsheetml/2009/9/main" objectType="Drop" dropLines="3" dropStyle="combo" dx="22" fmlaLink="'SEC-laskenta'!$L$23" fmlaRange="'SEC-laskenta'!$C$23:$C$25" noThreeD="1" sel="2" val="0"/>
</file>

<file path=xl/ctrlProps/ctrlProp6.xml><?xml version="1.0" encoding="utf-8"?>
<formControlPr xmlns="http://schemas.microsoft.com/office/spreadsheetml/2009/9/main" objectType="CheckBox" fmlaLink="Tulokset!$BD$2"/>
</file>

<file path=xl/ctrlProps/ctrlProp7.xml><?xml version="1.0" encoding="utf-8"?>
<formControlPr xmlns="http://schemas.microsoft.com/office/spreadsheetml/2009/9/main" objectType="CheckBox" fmlaLink="Tulokset!$BT$15" lockText="1" noThreeD="1"/>
</file>

<file path=xl/ctrlProps/ctrlProp8.xml><?xml version="1.0" encoding="utf-8"?>
<formControlPr xmlns="http://schemas.microsoft.com/office/spreadsheetml/2009/9/main" objectType="CheckBox" fmlaLink="Tulokset!$D$40" lockText="1"/>
</file>

<file path=xl/ctrlProps/ctrlProp9.xml><?xml version="1.0" encoding="utf-8"?>
<formControlPr xmlns="http://schemas.microsoft.com/office/spreadsheetml/2009/9/main" objectType="Radio" firstButton="1" fmlaLink="Kirjasto!$B$4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jpe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jpeg"/><Relationship Id="rId10" Type="http://schemas.openxmlformats.org/officeDocument/2006/relationships/image" Target="../media/image9.png"/><Relationship Id="rId4" Type="http://schemas.openxmlformats.org/officeDocument/2006/relationships/image" Target="../media/image3.jpe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chart" Target="../charts/chart44.xml"/><Relationship Id="rId6" Type="http://schemas.openxmlformats.org/officeDocument/2006/relationships/chart" Target="../charts/chart49.xml"/><Relationship Id="rId5" Type="http://schemas.openxmlformats.org/officeDocument/2006/relationships/chart" Target="../charts/chart48.xml"/><Relationship Id="rId4" Type="http://schemas.openxmlformats.org/officeDocument/2006/relationships/chart" Target="../charts/chart47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6" Type="http://schemas.openxmlformats.org/officeDocument/2006/relationships/chart" Target="../charts/chart55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4" Type="http://schemas.openxmlformats.org/officeDocument/2006/relationships/image" Target="../media/image1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8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chart" Target="../charts/chart70.xml"/><Relationship Id="rId4" Type="http://schemas.openxmlformats.org/officeDocument/2006/relationships/chart" Target="../charts/chart6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28576</xdr:colOff>
      <xdr:row>10</xdr:row>
      <xdr:rowOff>19051</xdr:rowOff>
    </xdr:from>
    <xdr:to>
      <xdr:col>14</xdr:col>
      <xdr:colOff>0</xdr:colOff>
      <xdr:row>33</xdr:row>
      <xdr:rowOff>47625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95803</xdr:colOff>
      <xdr:row>4</xdr:row>
      <xdr:rowOff>66675</xdr:rowOff>
    </xdr:from>
    <xdr:to>
      <xdr:col>13</xdr:col>
      <xdr:colOff>164582</xdr:colOff>
      <xdr:row>7</xdr:row>
      <xdr:rowOff>98837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6303" y="1047750"/>
          <a:ext cx="1012713" cy="752252"/>
        </a:xfrm>
        <a:prstGeom prst="rect">
          <a:avLst/>
        </a:prstGeom>
      </xdr:spPr>
    </xdr:pic>
    <xdr:clientData/>
  </xdr:twoCellAnchor>
  <xdr:twoCellAnchor>
    <xdr:from>
      <xdr:col>10</xdr:col>
      <xdr:colOff>717624</xdr:colOff>
      <xdr:row>12</xdr:row>
      <xdr:rowOff>175392</xdr:rowOff>
    </xdr:from>
    <xdr:to>
      <xdr:col>13</xdr:col>
      <xdr:colOff>493504</xdr:colOff>
      <xdr:row>15</xdr:row>
      <xdr:rowOff>67320</xdr:rowOff>
    </xdr:to>
    <xdr:grpSp>
      <xdr:nvGrpSpPr>
        <xdr:cNvPr id="12" name="Ryhmä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8830683" y="3059039"/>
          <a:ext cx="2808939" cy="414869"/>
          <a:chOff x="9315820" y="1784262"/>
          <a:chExt cx="1630951" cy="194320"/>
        </a:xfrm>
      </xdr:grpSpPr>
      <xdr:sp macro="" textlink="">
        <xdr:nvSpPr>
          <xdr:cNvPr id="2" name="Tekstiruutu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SpPr txBox="1"/>
        </xdr:nvSpPr>
        <xdr:spPr>
          <a:xfrm>
            <a:off x="9315820" y="1784262"/>
            <a:ext cx="1630951" cy="194320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bg1">
                <a:lumMod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>
              <a:lnSpc>
                <a:spcPct val="100000"/>
              </a:lnSpc>
            </a:pPr>
            <a:r>
              <a:rPr lang="fi-FI" sz="1000" baseline="0">
                <a:latin typeface="Century Gothic" panose="020B0502020202020204" pitchFamily="34" charset="0"/>
              </a:rPr>
              <a:t>                          </a:t>
            </a:r>
            <a:endParaRPr lang="fi-FI" sz="1000">
              <a:latin typeface="Century Gothic" panose="020B0502020202020204" pitchFamily="34" charset="0"/>
            </a:endParaRPr>
          </a:p>
        </xdr:txBody>
      </xdr:sp>
      <xdr:grpSp>
        <xdr:nvGrpSpPr>
          <xdr:cNvPr id="11" name="Ryhmä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GrpSpPr/>
        </xdr:nvGrpSpPr>
        <xdr:grpSpPr>
          <a:xfrm>
            <a:off x="9367318" y="1839381"/>
            <a:ext cx="307859" cy="79438"/>
            <a:chOff x="9367318" y="1839381"/>
            <a:chExt cx="307859" cy="79438"/>
          </a:xfrm>
        </xdr:grpSpPr>
        <xdr:cxnSp macro="">
          <xdr:nvCxnSpPr>
            <xdr:cNvPr id="6" name="Suora yhdysviiva 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CxnSpPr/>
          </xdr:nvCxnSpPr>
          <xdr:spPr>
            <a:xfrm>
              <a:off x="9367318" y="1839381"/>
              <a:ext cx="304800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Suora yhdysviiva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370377" y="1918819"/>
              <a:ext cx="30480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1168400</xdr:colOff>
          <xdr:row>6</xdr:row>
          <xdr:rowOff>25400</xdr:rowOff>
        </xdr:from>
        <xdr:to>
          <xdr:col>4</xdr:col>
          <xdr:colOff>114300</xdr:colOff>
          <xdr:row>6</xdr:row>
          <xdr:rowOff>215900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70</xdr:row>
          <xdr:rowOff>0</xdr:rowOff>
        </xdr:from>
        <xdr:to>
          <xdr:col>5</xdr:col>
          <xdr:colOff>698500</xdr:colOff>
          <xdr:row>70</xdr:row>
          <xdr:rowOff>177800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38100</xdr:rowOff>
        </xdr:from>
        <xdr:to>
          <xdr:col>5</xdr:col>
          <xdr:colOff>685800</xdr:colOff>
          <xdr:row>71</xdr:row>
          <xdr:rowOff>215900</xdr:rowOff>
        </xdr:to>
        <xdr:sp macro="" textlink="">
          <xdr:nvSpPr>
            <xdr:cNvPr id="1028" name="Drop Dow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71</xdr:row>
          <xdr:rowOff>266700</xdr:rowOff>
        </xdr:from>
        <xdr:to>
          <xdr:col>5</xdr:col>
          <xdr:colOff>673100</xdr:colOff>
          <xdr:row>72</xdr:row>
          <xdr:rowOff>177800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63500</xdr:colOff>
          <xdr:row>72</xdr:row>
          <xdr:rowOff>254000</xdr:rowOff>
        </xdr:from>
        <xdr:to>
          <xdr:col>5</xdr:col>
          <xdr:colOff>673100</xdr:colOff>
          <xdr:row>73</xdr:row>
          <xdr:rowOff>190500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609600</xdr:colOff>
          <xdr:row>5</xdr:row>
          <xdr:rowOff>215900</xdr:rowOff>
        </xdr:from>
        <xdr:to>
          <xdr:col>9</xdr:col>
          <xdr:colOff>647700</xdr:colOff>
          <xdr:row>7</xdr:row>
          <xdr:rowOff>38100</xdr:rowOff>
        </xdr:to>
        <xdr:sp macro="" textlink="">
          <xdr:nvSpPr>
            <xdr:cNvPr id="1031" name="Check Box 7" descr="Sound insulated casing: dB-package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25</xdr:col>
      <xdr:colOff>561975</xdr:colOff>
      <xdr:row>2</xdr:row>
      <xdr:rowOff>495300</xdr:rowOff>
    </xdr:from>
    <xdr:to>
      <xdr:col>28</xdr:col>
      <xdr:colOff>131252</xdr:colOff>
      <xdr:row>7</xdr:row>
      <xdr:rowOff>110939</xdr:rowOff>
    </xdr:to>
    <xdr:pic>
      <xdr:nvPicPr>
        <xdr:cNvPr id="23" name="Kuva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275" y="847725"/>
          <a:ext cx="1386646" cy="105839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1333500</xdr:colOff>
          <xdr:row>56</xdr:row>
          <xdr:rowOff>0</xdr:rowOff>
        </xdr:from>
        <xdr:to>
          <xdr:col>3</xdr:col>
          <xdr:colOff>25400</xdr:colOff>
          <xdr:row>56</xdr:row>
          <xdr:rowOff>177800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490123</xdr:colOff>
      <xdr:row>76</xdr:row>
      <xdr:rowOff>123825</xdr:rowOff>
    </xdr:from>
    <xdr:to>
      <xdr:col>13</xdr:col>
      <xdr:colOff>357407</xdr:colOff>
      <xdr:row>77</xdr:row>
      <xdr:rowOff>131332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123" y="15144750"/>
          <a:ext cx="813682" cy="186576"/>
        </a:xfrm>
        <a:prstGeom prst="rect">
          <a:avLst/>
        </a:prstGeom>
      </xdr:spPr>
    </xdr:pic>
    <xdr:clientData/>
  </xdr:twoCellAnchor>
  <xdr:oneCellAnchor>
    <xdr:from>
      <xdr:col>27</xdr:col>
      <xdr:colOff>253364</xdr:colOff>
      <xdr:row>71</xdr:row>
      <xdr:rowOff>261566</xdr:rowOff>
    </xdr:from>
    <xdr:ext cx="937025" cy="219074"/>
    <xdr:pic>
      <xdr:nvPicPr>
        <xdr:cNvPr id="25" name="Kuva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59277" y="14656740"/>
          <a:ext cx="937025" cy="219074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6</xdr:row>
          <xdr:rowOff>215900</xdr:rowOff>
        </xdr:from>
        <xdr:to>
          <xdr:col>7</xdr:col>
          <xdr:colOff>101600</xdr:colOff>
          <xdr:row>8</xdr:row>
          <xdr:rowOff>63500</xdr:rowOff>
        </xdr:to>
        <xdr:sp macro="" textlink="">
          <xdr:nvSpPr>
            <xdr:cNvPr id="1038" name="Check Box 14" descr="Sound insulated casing: dB-package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1</xdr:row>
          <xdr:rowOff>127000</xdr:rowOff>
        </xdr:from>
        <xdr:to>
          <xdr:col>11</xdr:col>
          <xdr:colOff>0</xdr:colOff>
          <xdr:row>2</xdr:row>
          <xdr:rowOff>152400</xdr:rowOff>
        </xdr:to>
        <xdr:sp macro="" textlink="">
          <xdr:nvSpPr>
            <xdr:cNvPr id="1040" name="Option Button 16" descr="Suomi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FI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1</xdr:row>
          <xdr:rowOff>114300</xdr:rowOff>
        </xdr:from>
        <xdr:to>
          <xdr:col>11</xdr:col>
          <xdr:colOff>584200</xdr:colOff>
          <xdr:row>2</xdr:row>
          <xdr:rowOff>152400</xdr:rowOff>
        </xdr:to>
        <xdr:sp macro="" textlink="">
          <xdr:nvSpPr>
            <xdr:cNvPr id="1041" name="Option Button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1</xdr:row>
          <xdr:rowOff>114300</xdr:rowOff>
        </xdr:from>
        <xdr:to>
          <xdr:col>12</xdr:col>
          <xdr:colOff>330200</xdr:colOff>
          <xdr:row>2</xdr:row>
          <xdr:rowOff>152400</xdr:rowOff>
        </xdr:to>
        <xdr:sp macro="" textlink="">
          <xdr:nvSpPr>
            <xdr:cNvPr id="1042" name="Option Butto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266700</xdr:colOff>
          <xdr:row>1</xdr:row>
          <xdr:rowOff>114300</xdr:rowOff>
        </xdr:from>
        <xdr:to>
          <xdr:col>13</xdr:col>
          <xdr:colOff>254000</xdr:colOff>
          <xdr:row>2</xdr:row>
          <xdr:rowOff>139700</xdr:rowOff>
        </xdr:to>
        <xdr:sp macro="" textlink="">
          <xdr:nvSpPr>
            <xdr:cNvPr id="1043" name="Option 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GER</a:t>
              </a:r>
            </a:p>
          </xdr:txBody>
        </xdr:sp>
        <xdr:clientData/>
      </xdr:twoCellAnchor>
    </mc:Choice>
    <mc:Fallback/>
  </mc:AlternateContent>
  <xdr:twoCellAnchor editAs="oneCell">
    <xdr:from>
      <xdr:col>10</xdr:col>
      <xdr:colOff>91539</xdr:colOff>
      <xdr:row>1</xdr:row>
      <xdr:rowOff>123370</xdr:rowOff>
    </xdr:from>
    <xdr:to>
      <xdr:col>10</xdr:col>
      <xdr:colOff>397134</xdr:colOff>
      <xdr:row>2</xdr:row>
      <xdr:rowOff>135783</xdr:rowOff>
    </xdr:to>
    <xdr:pic>
      <xdr:nvPicPr>
        <xdr:cNvPr id="4" name="Kuva 3" descr="Finland flag icon - Country flag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219" y="291010"/>
          <a:ext cx="305595" cy="185768"/>
        </a:xfrm>
        <a:prstGeom prst="rect">
          <a:avLst/>
        </a:prstGeom>
        <a:noFill/>
        <a:ln w="63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563575</xdr:colOff>
      <xdr:row>1</xdr:row>
      <xdr:rowOff>123597</xdr:rowOff>
    </xdr:from>
    <xdr:to>
      <xdr:col>12</xdr:col>
      <xdr:colOff>4663</xdr:colOff>
      <xdr:row>2</xdr:row>
      <xdr:rowOff>136072</xdr:rowOff>
    </xdr:to>
    <xdr:pic>
      <xdr:nvPicPr>
        <xdr:cNvPr id="8" name="Kuva 7" descr="Country, flag, sweden icon - Download on Iconfinder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24088" r="-1" b="24985"/>
        <a:stretch/>
      </xdr:blipFill>
      <xdr:spPr bwMode="auto">
        <a:xfrm>
          <a:off x="7930591" y="291237"/>
          <a:ext cx="365060" cy="18011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687208</xdr:colOff>
      <xdr:row>1</xdr:row>
      <xdr:rowOff>134197</xdr:rowOff>
    </xdr:from>
    <xdr:to>
      <xdr:col>11</xdr:col>
      <xdr:colOff>191568</xdr:colOff>
      <xdr:row>2</xdr:row>
      <xdr:rowOff>132364</xdr:rowOff>
    </xdr:to>
    <xdr:pic>
      <xdr:nvPicPr>
        <xdr:cNvPr id="9" name="Kuva 8" descr="Free Vector | Illustration of uk fla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078483" y="305647"/>
          <a:ext cx="301658" cy="186762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472767</xdr:colOff>
      <xdr:row>1</xdr:row>
      <xdr:rowOff>126307</xdr:rowOff>
    </xdr:from>
    <xdr:to>
      <xdr:col>12</xdr:col>
      <xdr:colOff>800988</xdr:colOff>
      <xdr:row>2</xdr:row>
      <xdr:rowOff>148967</xdr:rowOff>
    </xdr:to>
    <xdr:pic>
      <xdr:nvPicPr>
        <xdr:cNvPr id="13" name="Kuva 12" descr="DE, Germany, Flag Icon in Public Domain World Flags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3267" y="297757"/>
          <a:ext cx="316615" cy="203635"/>
        </a:xfrm>
        <a:prstGeom prst="rect">
          <a:avLst/>
        </a:prstGeom>
        <a:noFill/>
        <a:ln>
          <a:solidFill>
            <a:schemeClr val="bg1">
              <a:lumMod val="50000"/>
            </a:schemeClr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431865</xdr:colOff>
      <xdr:row>12</xdr:row>
      <xdr:rowOff>168648</xdr:rowOff>
    </xdr:from>
    <xdr:ext cx="1893892" cy="265265"/>
    <xdr:sp macro="" textlink="Kirjasto!M17">
      <xdr:nvSpPr>
        <xdr:cNvPr id="14" name="Tekstiruutu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509065" y="3130509"/>
          <a:ext cx="1893892" cy="2652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39C6C333-DB60-4A6F-AD6E-C55E1F9427D2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Supply air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11</xdr:col>
      <xdr:colOff>412376</xdr:colOff>
      <xdr:row>13</xdr:row>
      <xdr:rowOff>153206</xdr:rowOff>
    </xdr:from>
    <xdr:ext cx="1847120" cy="257443"/>
    <xdr:sp macro="" textlink="Kirjasto!M18">
      <xdr:nvSpPr>
        <xdr:cNvPr id="15" name="Tekstiruutu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489576" y="3313849"/>
          <a:ext cx="1847120" cy="257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99AF5DD-DEC1-426C-AC1E-14003926A2AC}" type="TxLink">
            <a:rPr lang="en-US" sz="1050" b="0" i="0" u="none" strike="noStrike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/>
            <a:t>Extract air</a:t>
          </a:fld>
          <a:endParaRPr lang="fi-FI" sz="105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5</xdr:col>
      <xdr:colOff>146798</xdr:colOff>
      <xdr:row>6</xdr:row>
      <xdr:rowOff>11207</xdr:rowOff>
    </xdr:from>
    <xdr:ext cx="3825127" cy="233205"/>
    <xdr:sp macro="" textlink="Kirjasto!M20">
      <xdr:nvSpPr>
        <xdr:cNvPr id="16" name="Tekstiruutu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3998211" y="1477229"/>
          <a:ext cx="3825127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E47F7F7D-3CF8-4DF3-ABCB-46EC52F64BE1}" type="TxLink">
            <a:rPr lang="en-US" sz="900" b="0" i="0" u="none" strike="noStrike">
              <a:solidFill>
                <a:srgbClr val="000000"/>
              </a:solidFill>
              <a:latin typeface="+mn-lt"/>
              <a:cs typeface="Calibri"/>
            </a:rPr>
            <a:pPr/>
            <a:t>Sound insulated casing: "dB-paketti" (NB! Requires a cabinet)</a:t>
          </a:fld>
          <a:endParaRPr lang="fi-FI" sz="900">
            <a:latin typeface="+mn-lt"/>
          </a:endParaRPr>
        </a:p>
      </xdr:txBody>
    </xdr:sp>
    <xdr:clientData/>
  </xdr:oneCellAnchor>
  <xdr:oneCellAnchor>
    <xdr:from>
      <xdr:col>5</xdr:col>
      <xdr:colOff>167527</xdr:colOff>
      <xdr:row>7</xdr:row>
      <xdr:rowOff>3362</xdr:rowOff>
    </xdr:from>
    <xdr:ext cx="1966073" cy="233205"/>
    <xdr:sp macro="" textlink="Kirjasto!M21">
      <xdr:nvSpPr>
        <xdr:cNvPr id="17" name="Tekstiruutu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4018940" y="1709579"/>
          <a:ext cx="1966073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B30ECE5-850A-480A-87A0-1037317DD5EE}" type="TxLink">
            <a:rPr lang="en-US" sz="9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Heating coil</a:t>
          </a:fld>
          <a:endParaRPr lang="fi-FI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23</xdr:row>
          <xdr:rowOff>190500</xdr:rowOff>
        </xdr:from>
        <xdr:to>
          <xdr:col>20</xdr:col>
          <xdr:colOff>12700</xdr:colOff>
          <xdr:row>24</xdr:row>
          <xdr:rowOff>139700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25400</xdr:colOff>
          <xdr:row>27</xdr:row>
          <xdr:rowOff>25400</xdr:rowOff>
        </xdr:from>
        <xdr:to>
          <xdr:col>20</xdr:col>
          <xdr:colOff>0</xdr:colOff>
          <xdr:row>27</xdr:row>
          <xdr:rowOff>177800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711200</xdr:colOff>
          <xdr:row>2</xdr:row>
          <xdr:rowOff>266700</xdr:rowOff>
        </xdr:from>
        <xdr:to>
          <xdr:col>11</xdr:col>
          <xdr:colOff>0</xdr:colOff>
          <xdr:row>3</xdr:row>
          <xdr:rowOff>76200</xdr:rowOff>
        </xdr:to>
        <xdr:sp macro="" textlink="">
          <xdr:nvSpPr>
            <xdr:cNvPr id="1054" name="Option Button 30" descr="EST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POL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482600</xdr:colOff>
          <xdr:row>2</xdr:row>
          <xdr:rowOff>254000</xdr:rowOff>
        </xdr:from>
        <xdr:to>
          <xdr:col>11</xdr:col>
          <xdr:colOff>571500</xdr:colOff>
          <xdr:row>3</xdr:row>
          <xdr:rowOff>63500</xdr:rowOff>
        </xdr:to>
        <xdr:sp macro="" textlink="">
          <xdr:nvSpPr>
            <xdr:cNvPr id="1055" name="Option Button 31" descr="EST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EST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368300</xdr:colOff>
          <xdr:row>2</xdr:row>
          <xdr:rowOff>254000</xdr:rowOff>
        </xdr:from>
        <xdr:to>
          <xdr:col>12</xdr:col>
          <xdr:colOff>330200</xdr:colOff>
          <xdr:row>3</xdr:row>
          <xdr:rowOff>63500</xdr:rowOff>
        </xdr:to>
        <xdr:sp macro="" textlink="">
          <xdr:nvSpPr>
            <xdr:cNvPr id="1056" name="Option Button 32" descr="EST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LAT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279400</xdr:colOff>
          <xdr:row>2</xdr:row>
          <xdr:rowOff>254000</xdr:rowOff>
        </xdr:from>
        <xdr:to>
          <xdr:col>13</xdr:col>
          <xdr:colOff>215900</xdr:colOff>
          <xdr:row>3</xdr:row>
          <xdr:rowOff>63500</xdr:rowOff>
        </xdr:to>
        <xdr:sp macro="" textlink="">
          <xdr:nvSpPr>
            <xdr:cNvPr id="1057" name="Option Button 33" descr="EST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GB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LTU</a:t>
              </a:r>
            </a:p>
          </xdr:txBody>
        </xdr:sp>
        <xdr:clientData/>
      </xdr:twoCellAnchor>
    </mc:Choice>
    <mc:Fallback/>
  </mc:AlternateContent>
  <xdr:twoCellAnchor editAs="oneCell">
    <xdr:from>
      <xdr:col>11</xdr:col>
      <xdr:colOff>572861</xdr:colOff>
      <xdr:row>2</xdr:row>
      <xdr:rowOff>263687</xdr:rowOff>
    </xdr:from>
    <xdr:to>
      <xdr:col>11</xdr:col>
      <xdr:colOff>909310</xdr:colOff>
      <xdr:row>3</xdr:row>
      <xdr:rowOff>60581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84FFE24F-D3A6-735F-A65D-5DA3A37F7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39877" y="598967"/>
          <a:ext cx="341539" cy="20265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473529</xdr:colOff>
      <xdr:row>2</xdr:row>
      <xdr:rowOff>269938</xdr:rowOff>
    </xdr:from>
    <xdr:to>
      <xdr:col>12</xdr:col>
      <xdr:colOff>800250</xdr:colOff>
      <xdr:row>3</xdr:row>
      <xdr:rowOff>60581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314D32D4-BD05-65A2-AFA7-7EBF10CC7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526345" y="605218"/>
          <a:ext cx="341512" cy="1964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680358</xdr:colOff>
      <xdr:row>2</xdr:row>
      <xdr:rowOff>271112</xdr:rowOff>
    </xdr:from>
    <xdr:to>
      <xdr:col>11</xdr:col>
      <xdr:colOff>193960</xdr:colOff>
      <xdr:row>3</xdr:row>
      <xdr:rowOff>60581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7CD8BD0F-2846-2BB7-77E7-780AAE065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270134" y="606392"/>
          <a:ext cx="335665" cy="195234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10</xdr:col>
      <xdr:colOff>87086</xdr:colOff>
      <xdr:row>2</xdr:row>
      <xdr:rowOff>271490</xdr:rowOff>
    </xdr:from>
    <xdr:to>
      <xdr:col>10</xdr:col>
      <xdr:colOff>403224</xdr:colOff>
      <xdr:row>3</xdr:row>
      <xdr:rowOff>60581</xdr:rowOff>
    </xdr:to>
    <xdr:pic>
      <xdr:nvPicPr>
        <xdr:cNvPr id="24" name="Kuva 23">
          <a:extLst>
            <a:ext uri="{FF2B5EF4-FFF2-40B4-BE49-F238E27FC236}">
              <a16:creationId xmlns:a16="http://schemas.microsoft.com/office/drawing/2014/main" id="{94C35F38-5949-3ED2-7581-72B062BC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6862" y="606770"/>
          <a:ext cx="316138" cy="194856"/>
        </a:xfrm>
        <a:prstGeom prst="rect">
          <a:avLst/>
        </a:prstGeom>
        <a:ln w="6350"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438150</xdr:colOff>
      <xdr:row>14</xdr:row>
      <xdr:rowOff>104775</xdr:rowOff>
    </xdr:from>
    <xdr:to>
      <xdr:col>32</xdr:col>
      <xdr:colOff>9525</xdr:colOff>
      <xdr:row>29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36</xdr:col>
      <xdr:colOff>323849</xdr:colOff>
      <xdr:row>88</xdr:row>
      <xdr:rowOff>123824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152400</xdr:colOff>
      <xdr:row>9</xdr:row>
      <xdr:rowOff>0</xdr:rowOff>
    </xdr:from>
    <xdr:to>
      <xdr:col>17</xdr:col>
      <xdr:colOff>190500</xdr:colOff>
      <xdr:row>23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430531</xdr:colOff>
      <xdr:row>46</xdr:row>
      <xdr:rowOff>156210</xdr:rowOff>
    </xdr:from>
    <xdr:to>
      <xdr:col>36</xdr:col>
      <xdr:colOff>179071</xdr:colOff>
      <xdr:row>77</xdr:row>
      <xdr:rowOff>137161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605117</xdr:colOff>
      <xdr:row>12</xdr:row>
      <xdr:rowOff>63659</xdr:rowOff>
    </xdr:from>
    <xdr:to>
      <xdr:col>33</xdr:col>
      <xdr:colOff>583162</xdr:colOff>
      <xdr:row>29</xdr:row>
      <xdr:rowOff>161364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430530</xdr:colOff>
      <xdr:row>46</xdr:row>
      <xdr:rowOff>156209</xdr:rowOff>
    </xdr:from>
    <xdr:to>
      <xdr:col>36</xdr:col>
      <xdr:colOff>503464</xdr:colOff>
      <xdr:row>86</xdr:row>
      <xdr:rowOff>8964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71718</xdr:colOff>
      <xdr:row>25</xdr:row>
      <xdr:rowOff>13447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224517</xdr:colOff>
      <xdr:row>56</xdr:row>
      <xdr:rowOff>104775</xdr:rowOff>
    </xdr:from>
    <xdr:to>
      <xdr:col>50</xdr:col>
      <xdr:colOff>448236</xdr:colOff>
      <xdr:row>78</xdr:row>
      <xdr:rowOff>100853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561975</xdr:colOff>
      <xdr:row>14</xdr:row>
      <xdr:rowOff>146685</xdr:rowOff>
    </xdr:from>
    <xdr:to>
      <xdr:col>32</xdr:col>
      <xdr:colOff>226695</xdr:colOff>
      <xdr:row>31</xdr:row>
      <xdr:rowOff>154305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78105</xdr:colOff>
      <xdr:row>18</xdr:row>
      <xdr:rowOff>158115</xdr:rowOff>
    </xdr:from>
    <xdr:to>
      <xdr:col>41</xdr:col>
      <xdr:colOff>382905</xdr:colOff>
      <xdr:row>36</xdr:row>
      <xdr:rowOff>20955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390525</xdr:colOff>
      <xdr:row>4</xdr:row>
      <xdr:rowOff>28575</xdr:rowOff>
    </xdr:from>
    <xdr:to>
      <xdr:col>28</xdr:col>
      <xdr:colOff>85725</xdr:colOff>
      <xdr:row>19</xdr:row>
      <xdr:rowOff>133350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409575</xdr:colOff>
      <xdr:row>20</xdr:row>
      <xdr:rowOff>76200</xdr:rowOff>
    </xdr:from>
    <xdr:to>
      <xdr:col>28</xdr:col>
      <xdr:colOff>104775</xdr:colOff>
      <xdr:row>36</xdr:row>
      <xdr:rowOff>19050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457200</xdr:colOff>
      <xdr:row>40</xdr:row>
      <xdr:rowOff>0</xdr:rowOff>
    </xdr:from>
    <xdr:to>
      <xdr:col>28</xdr:col>
      <xdr:colOff>152400</xdr:colOff>
      <xdr:row>56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</xdr:col>
      <xdr:colOff>28575</xdr:colOff>
      <xdr:row>38</xdr:row>
      <xdr:rowOff>47625</xdr:rowOff>
    </xdr:from>
    <xdr:to>
      <xdr:col>7</xdr:col>
      <xdr:colOff>2734401</xdr:colOff>
      <xdr:row>82</xdr:row>
      <xdr:rowOff>163005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7375" y="6791325"/>
          <a:ext cx="5201376" cy="773538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0.71317</cdr:x>
      <cdr:y>0.04112</cdr:y>
    </cdr:from>
    <cdr:to>
      <cdr:x>0.96462</cdr:x>
      <cdr:y>0.11339</cdr:y>
    </cdr:to>
    <cdr:sp macro="" textlink="Kirjasto!$M$16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25259208-2A74-40B1-9301-ADD8EE5868BD}"/>
            </a:ext>
          </a:extLst>
        </cdr:cNvPr>
        <cdr:cNvSpPr txBox="1"/>
      </cdr:nvSpPr>
      <cdr:spPr>
        <a:xfrm xmlns:a="http://schemas.openxmlformats.org/drawingml/2006/main">
          <a:off x="7146069" y="183280"/>
          <a:ext cx="2519553" cy="32212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>
              <a:lumMod val="50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B458726-0B5C-4ED5-9E1C-C843137D9B5A}" type="TxLink">
            <a:rPr lang="en-US" sz="1050" b="0" i="0" u="none" strike="noStrike" baseline="0">
              <a:solidFill>
                <a:srgbClr val="000000"/>
              </a:solidFill>
              <a:latin typeface="Century Gothic" panose="020B0502020202020204" pitchFamily="34" charset="0"/>
              <a:cs typeface="Calibri"/>
            </a:rPr>
            <a:pPr algn="ctr"/>
            <a:t>Air density: 1.2 kg/m³</a:t>
          </a:fld>
          <a:endParaRPr lang="fi-FI" sz="900" baseline="30000">
            <a:latin typeface="Century Gothic" panose="020B0502020202020204" pitchFamily="34" charset="0"/>
          </a:endParaRP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103655</xdr:rowOff>
    </xdr:from>
    <xdr:to>
      <xdr:col>33</xdr:col>
      <xdr:colOff>238125</xdr:colOff>
      <xdr:row>28</xdr:row>
      <xdr:rowOff>65555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76200</xdr:colOff>
      <xdr:row>65</xdr:row>
      <xdr:rowOff>57150</xdr:rowOff>
    </xdr:from>
    <xdr:to>
      <xdr:col>33</xdr:col>
      <xdr:colOff>381000</xdr:colOff>
      <xdr:row>81</xdr:row>
      <xdr:rowOff>57150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26</xdr:row>
      <xdr:rowOff>104775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28575</xdr:colOff>
      <xdr:row>12</xdr:row>
      <xdr:rowOff>76200</xdr:rowOff>
    </xdr:from>
    <xdr:to>
      <xdr:col>33</xdr:col>
      <xdr:colOff>266700</xdr:colOff>
      <xdr:row>29</xdr:row>
      <xdr:rowOff>104775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32</xdr:col>
      <xdr:colOff>419100</xdr:colOff>
      <xdr:row>79</xdr:row>
      <xdr:rowOff>57151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</xdr:colOff>
          <xdr:row>24</xdr:row>
          <xdr:rowOff>0</xdr:rowOff>
        </xdr:from>
        <xdr:to>
          <xdr:col>1</xdr:col>
          <xdr:colOff>1041400</xdr:colOff>
          <xdr:row>24</xdr:row>
          <xdr:rowOff>165100</xdr:rowOff>
        </xdr:to>
        <xdr:sp macro="" textlink="">
          <xdr:nvSpPr>
            <xdr:cNvPr id="46081" name="Drop Dow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1A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434340</xdr:colOff>
      <xdr:row>84</xdr:row>
      <xdr:rowOff>156210</xdr:rowOff>
    </xdr:from>
    <xdr:to>
      <xdr:col>17</xdr:col>
      <xdr:colOff>502920</xdr:colOff>
      <xdr:row>122</xdr:row>
      <xdr:rowOff>83820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0</xdr:rowOff>
        </xdr:from>
        <xdr:to>
          <xdr:col>4</xdr:col>
          <xdr:colOff>0</xdr:colOff>
          <xdr:row>13</xdr:row>
          <xdr:rowOff>0</xdr:rowOff>
        </xdr:to>
        <xdr:sp macro="" textlink="">
          <xdr:nvSpPr>
            <xdr:cNvPr id="33793" name="Drop Down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:a16="http://schemas.microsoft.com/office/drawing/2014/main" id="{00000000-0008-0000-1B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660400</xdr:colOff>
          <xdr:row>13</xdr:row>
          <xdr:rowOff>0</xdr:rowOff>
        </xdr:from>
        <xdr:to>
          <xdr:col>3</xdr:col>
          <xdr:colOff>444500</xdr:colOff>
          <xdr:row>14</xdr:row>
          <xdr:rowOff>12700</xdr:rowOff>
        </xdr:to>
        <xdr:sp macro="" textlink="">
          <xdr:nvSpPr>
            <xdr:cNvPr id="33794" name="Drop Down 3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:a16="http://schemas.microsoft.com/office/drawing/2014/main" id="{00000000-0008-0000-1B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5374790" y="375062"/>
          <a:ext cx="39855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CxnSpPr/>
      </xdr:nvCxnSpPr>
      <xdr:spPr>
        <a:xfrm>
          <a:off x="5526768" y="37836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102647</xdr:rowOff>
    </xdr:from>
    <xdr:to>
      <xdr:col>3</xdr:col>
      <xdr:colOff>3887392</xdr:colOff>
      <xdr:row>2</xdr:row>
      <xdr:rowOff>102647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74790" y="460787"/>
          <a:ext cx="39855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13391624" y="378897"/>
          <a:ext cx="408077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3334276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CxnSpPr/>
      </xdr:nvCxnSpPr>
      <xdr:spPr>
        <a:xfrm>
          <a:off x="13388866" y="47362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CxnSpPr/>
      </xdr:nvCxnSpPr>
      <xdr:spPr>
        <a:xfrm>
          <a:off x="13543762" y="37784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SpPr/>
      </xdr:nvSpPr>
      <xdr:spPr>
        <a:xfrm>
          <a:off x="9315927" y="377666"/>
          <a:ext cx="408077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9312697" y="447704"/>
          <a:ext cx="410528" cy="47624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9500234" y="383619"/>
          <a:ext cx="41910" cy="178356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CxnSpPr/>
      </xdr:nvCxnSpPr>
      <xdr:spPr>
        <a:xfrm flipV="1">
          <a:off x="9312092" y="381904"/>
          <a:ext cx="412545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CxnSpPr/>
      </xdr:nvCxnSpPr>
      <xdr:spPr>
        <a:xfrm>
          <a:off x="9306955" y="383970"/>
          <a:ext cx="414453" cy="176842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3342051</xdr:colOff>
      <xdr:row>2</xdr:row>
      <xdr:rowOff>16600</xdr:rowOff>
    </xdr:from>
    <xdr:to>
      <xdr:col>4</xdr:col>
      <xdr:colOff>3754599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CxnSpPr/>
      </xdr:nvCxnSpPr>
      <xdr:spPr>
        <a:xfrm>
          <a:off x="9312321" y="382360"/>
          <a:ext cx="41064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CxnSpPr/>
      </xdr:nvCxnSpPr>
      <xdr:spPr>
        <a:xfrm flipV="1">
          <a:off x="9305805" y="384489"/>
          <a:ext cx="412545" cy="194854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3336351</xdr:colOff>
      <xdr:row>1</xdr:row>
      <xdr:rowOff>179430</xdr:rowOff>
    </xdr:from>
    <xdr:to>
      <xdr:col>4</xdr:col>
      <xdr:colOff>3750801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CxnSpPr/>
      </xdr:nvCxnSpPr>
      <xdr:spPr>
        <a:xfrm flipV="1">
          <a:off x="9304716" y="358500"/>
          <a:ext cx="422070" cy="192405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3747115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CxnSpPr/>
      </xdr:nvCxnSpPr>
      <xdr:spPr>
        <a:xfrm>
          <a:off x="9304837" y="402090"/>
          <a:ext cx="41826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3489172</xdr:colOff>
      <xdr:row>2</xdr:row>
      <xdr:rowOff>19707</xdr:rowOff>
    </xdr:from>
    <xdr:to>
      <xdr:col>5</xdr:col>
      <xdr:colOff>3489172</xdr:colOff>
      <xdr:row>3</xdr:row>
      <xdr:rowOff>656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CxnSpPr/>
      </xdr:nvCxnSpPr>
      <xdr:spPr>
        <a:xfrm>
          <a:off x="13543762" y="377847"/>
          <a:ext cx="0" cy="19430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57150</xdr:colOff>
      <xdr:row>5</xdr:row>
      <xdr:rowOff>95251</xdr:rowOff>
    </xdr:from>
    <xdr:to>
      <xdr:col>18</xdr:col>
      <xdr:colOff>377410</xdr:colOff>
      <xdr:row>24</xdr:row>
      <xdr:rowOff>95251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0350" y="1438276"/>
          <a:ext cx="929860" cy="3257550"/>
        </a:xfrm>
        <a:prstGeom prst="rect">
          <a:avLst/>
        </a:prstGeom>
      </xdr:spPr>
    </xdr:pic>
    <xdr:clientData/>
  </xdr:twoCellAnchor>
  <xdr:twoCellAnchor editAs="oneCell">
    <xdr:from>
      <xdr:col>18</xdr:col>
      <xdr:colOff>447675</xdr:colOff>
      <xdr:row>5</xdr:row>
      <xdr:rowOff>87093</xdr:rowOff>
    </xdr:from>
    <xdr:to>
      <xdr:col>23</xdr:col>
      <xdr:colOff>359960</xdr:colOff>
      <xdr:row>11</xdr:row>
      <xdr:rowOff>47625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20475" y="1439643"/>
          <a:ext cx="2960285" cy="9892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3485030</xdr:colOff>
      <xdr:row>2</xdr:row>
      <xdr:rowOff>11207</xdr:rowOff>
    </xdr:from>
    <xdr:to>
      <xdr:col>3</xdr:col>
      <xdr:colOff>3887392</xdr:colOff>
      <xdr:row>2</xdr:row>
      <xdr:rowOff>201706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313830" y="392207"/>
          <a:ext cx="402362" cy="1904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3</xdr:col>
      <xdr:colOff>3637008</xdr:colOff>
      <xdr:row>2</xdr:row>
      <xdr:rowOff>12607</xdr:rowOff>
    </xdr:from>
    <xdr:to>
      <xdr:col>3</xdr:col>
      <xdr:colOff>3637008</xdr:colOff>
      <xdr:row>2</xdr:row>
      <xdr:rowOff>203106</xdr:rowOff>
    </xdr:to>
    <xdr:cxnSp macro="">
      <xdr:nvCxnSpPr>
        <xdr:cNvPr id="3" name="Suora yhdysviiv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465808" y="393607"/>
          <a:ext cx="0" cy="190499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3485030</xdr:colOff>
      <xdr:row>2</xdr:row>
      <xdr:rowOff>106457</xdr:rowOff>
    </xdr:from>
    <xdr:to>
      <xdr:col>3</xdr:col>
      <xdr:colOff>3887392</xdr:colOff>
      <xdr:row>2</xdr:row>
      <xdr:rowOff>106457</xdr:rowOff>
    </xdr:to>
    <xdr:cxnSp macro="">
      <xdr:nvCxnSpPr>
        <xdr:cNvPr id="4" name="Suora yhdysviiva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>
          <a:stCxn id="2" idx="1"/>
          <a:endCxn id="2" idx="3"/>
        </xdr:cNvCxnSpPr>
      </xdr:nvCxnSpPr>
      <xdr:spPr>
        <a:xfrm>
          <a:off x="5313830" y="487457"/>
          <a:ext cx="402362" cy="0"/>
        </a:xfrm>
        <a:prstGeom prst="line">
          <a:avLst/>
        </a:prstGeom>
        <a:ln w="571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3337034</xdr:colOff>
      <xdr:row>2</xdr:row>
      <xdr:rowOff>13137</xdr:rowOff>
    </xdr:from>
    <xdr:to>
      <xdr:col>5</xdr:col>
      <xdr:colOff>3739396</xdr:colOff>
      <xdr:row>2</xdr:row>
      <xdr:rowOff>203636</xdr:rowOff>
    </xdr:to>
    <xdr:sp macro="" textlink="">
      <xdr:nvSpPr>
        <xdr:cNvPr id="5" name="Suorakulmio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13671659" y="394137"/>
          <a:ext cx="402362" cy="190499"/>
        </a:xfrm>
        <a:prstGeom prst="rect">
          <a:avLst/>
        </a:prstGeom>
        <a:solidFill>
          <a:schemeClr val="tx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5</xdr:col>
      <xdr:colOff>3330466</xdr:colOff>
      <xdr:row>2</xdr:row>
      <xdr:rowOff>111673</xdr:rowOff>
    </xdr:from>
    <xdr:to>
      <xdr:col>5</xdr:col>
      <xdr:colOff>3732828</xdr:colOff>
      <xdr:row>2</xdr:row>
      <xdr:rowOff>111673</xdr:rowOff>
    </xdr:to>
    <xdr:cxnSp macro="">
      <xdr:nvCxnSpPr>
        <xdr:cNvPr id="6" name="Suora yhdysviiv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3665091" y="492673"/>
          <a:ext cx="402362" cy="0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7" name="Suora yhdysviiva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1381617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3345657</xdr:colOff>
      <xdr:row>2</xdr:row>
      <xdr:rowOff>11906</xdr:rowOff>
    </xdr:from>
    <xdr:to>
      <xdr:col>4</xdr:col>
      <xdr:colOff>3748019</xdr:colOff>
      <xdr:row>2</xdr:row>
      <xdr:rowOff>202405</xdr:rowOff>
    </xdr:to>
    <xdr:sp macro="" textlink="">
      <xdr:nvSpPr>
        <xdr:cNvPr id="8" name="Suorakulmio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584532" y="392906"/>
          <a:ext cx="402362" cy="190499"/>
        </a:xfrm>
        <a:prstGeom prst="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3342427</xdr:colOff>
      <xdr:row>2</xdr:row>
      <xdr:rowOff>83849</xdr:rowOff>
    </xdr:from>
    <xdr:to>
      <xdr:col>4</xdr:col>
      <xdr:colOff>3747240</xdr:colOff>
      <xdr:row>2</xdr:row>
      <xdr:rowOff>129568</xdr:rowOff>
    </xdr:to>
    <xdr:sp macro="" textlink="">
      <xdr:nvSpPr>
        <xdr:cNvPr id="9" name="Suorakulmi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581302" y="464849"/>
          <a:ext cx="404813" cy="45719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3524249</xdr:colOff>
      <xdr:row>2</xdr:row>
      <xdr:rowOff>17859</xdr:rowOff>
    </xdr:from>
    <xdr:to>
      <xdr:col>4</xdr:col>
      <xdr:colOff>3571874</xdr:colOff>
      <xdr:row>2</xdr:row>
      <xdr:rowOff>198120</xdr:rowOff>
    </xdr:to>
    <xdr:sp macro="" textlink="">
      <xdr:nvSpPr>
        <xdr:cNvPr id="10" name="Suorakulmio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9763124" y="398859"/>
          <a:ext cx="47625" cy="180261"/>
        </a:xfrm>
        <a:prstGeom prst="rect">
          <a:avLst/>
        </a:prstGeom>
        <a:solidFill>
          <a:srgbClr val="FF0000"/>
        </a:solidFill>
        <a:ln w="12700"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i-FI" sz="1100"/>
        </a:p>
      </xdr:txBody>
    </xdr:sp>
    <xdr:clientData/>
  </xdr:twoCellAnchor>
  <xdr:twoCellAnchor>
    <xdr:from>
      <xdr:col>4</xdr:col>
      <xdr:colOff>3341822</xdr:colOff>
      <xdr:row>2</xdr:row>
      <xdr:rowOff>16144</xdr:rowOff>
    </xdr:from>
    <xdr:to>
      <xdr:col>4</xdr:col>
      <xdr:colOff>3748652</xdr:colOff>
      <xdr:row>2</xdr:row>
      <xdr:rowOff>206644</xdr:rowOff>
    </xdr:to>
    <xdr:cxnSp macro="">
      <xdr:nvCxnSpPr>
        <xdr:cNvPr id="11" name="Suora yhdysviiva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flipV="1">
          <a:off x="9580697" y="397144"/>
          <a:ext cx="406830" cy="190500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3338590</xdr:colOff>
      <xdr:row>2</xdr:row>
      <xdr:rowOff>25830</xdr:rowOff>
    </xdr:from>
    <xdr:to>
      <xdr:col>4</xdr:col>
      <xdr:colOff>3745423</xdr:colOff>
      <xdr:row>2</xdr:row>
      <xdr:rowOff>196957</xdr:rowOff>
    </xdr:to>
    <xdr:cxnSp macro="">
      <xdr:nvCxnSpPr>
        <xdr:cNvPr id="12" name="Suora yhdysviiva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9577465" y="406830"/>
          <a:ext cx="406833" cy="171127"/>
        </a:xfrm>
        <a:prstGeom prst="line">
          <a:avLst/>
        </a:prstGeom>
        <a:ln w="19050">
          <a:solidFill>
            <a:srgbClr val="FF0000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3343956</xdr:colOff>
      <xdr:row>2</xdr:row>
      <xdr:rowOff>20410</xdr:rowOff>
    </xdr:from>
    <xdr:to>
      <xdr:col>4</xdr:col>
      <xdr:colOff>3750789</xdr:colOff>
      <xdr:row>2</xdr:row>
      <xdr:rowOff>191537</xdr:rowOff>
    </xdr:to>
    <xdr:cxnSp macro="">
      <xdr:nvCxnSpPr>
        <xdr:cNvPr id="13" name="Suora yhdysviiva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9582831" y="401410"/>
          <a:ext cx="406833" cy="171127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3337440</xdr:colOff>
      <xdr:row>2</xdr:row>
      <xdr:rowOff>26349</xdr:rowOff>
    </xdr:from>
    <xdr:to>
      <xdr:col>4</xdr:col>
      <xdr:colOff>3744270</xdr:colOff>
      <xdr:row>3</xdr:row>
      <xdr:rowOff>5938</xdr:rowOff>
    </xdr:to>
    <xdr:cxnSp macro="">
      <xdr:nvCxnSpPr>
        <xdr:cNvPr id="14" name="Suora yhdysviiva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flipV="1">
          <a:off x="9576315" y="407349"/>
          <a:ext cx="406830" cy="189139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3340161</xdr:colOff>
      <xdr:row>1</xdr:row>
      <xdr:rowOff>188955</xdr:rowOff>
    </xdr:from>
    <xdr:to>
      <xdr:col>4</xdr:col>
      <xdr:colOff>3746991</xdr:colOff>
      <xdr:row>2</xdr:row>
      <xdr:rowOff>188955</xdr:rowOff>
    </xdr:to>
    <xdr:cxnSp macro="">
      <xdr:nvCxnSpPr>
        <xdr:cNvPr id="15" name="Suora yhdysviiva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9579036" y="379455"/>
          <a:ext cx="406830" cy="190500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4</xdr:col>
      <xdr:colOff>3336472</xdr:colOff>
      <xdr:row>2</xdr:row>
      <xdr:rowOff>40140</xdr:rowOff>
    </xdr:from>
    <xdr:to>
      <xdr:col>4</xdr:col>
      <xdr:colOff>3743305</xdr:colOff>
      <xdr:row>3</xdr:row>
      <xdr:rowOff>356</xdr:rowOff>
    </xdr:to>
    <xdr:cxnSp macro="">
      <xdr:nvCxnSpPr>
        <xdr:cNvPr id="16" name="Suora yhdysviiv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9575347" y="421140"/>
          <a:ext cx="406833" cy="169766"/>
        </a:xfrm>
        <a:prstGeom prst="line">
          <a:avLst/>
        </a:prstGeom>
        <a:ln w="6350">
          <a:solidFill>
            <a:schemeClr val="bg1"/>
          </a:solidFill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3481552</xdr:colOff>
      <xdr:row>2</xdr:row>
      <xdr:rowOff>19707</xdr:rowOff>
    </xdr:from>
    <xdr:to>
      <xdr:col>5</xdr:col>
      <xdr:colOff>3481552</xdr:colOff>
      <xdr:row>2</xdr:row>
      <xdr:rowOff>210206</xdr:rowOff>
    </xdr:to>
    <xdr:cxnSp macro="">
      <xdr:nvCxnSpPr>
        <xdr:cNvPr id="17" name="Suora yhdysviiva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14140027" y="400707"/>
          <a:ext cx="0" cy="190499"/>
        </a:xfrm>
        <a:prstGeom prst="line">
          <a:avLst/>
        </a:prstGeom>
        <a:ln w="57150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</xdr:row>
          <xdr:rowOff>12700</xdr:rowOff>
        </xdr:from>
        <xdr:to>
          <xdr:col>11</xdr:col>
          <xdr:colOff>152400</xdr:colOff>
          <xdr:row>4</xdr:row>
          <xdr:rowOff>152400</xdr:rowOff>
        </xdr:to>
        <xdr:sp macro="" textlink="">
          <xdr:nvSpPr>
            <xdr:cNvPr id="9217" name="Drop Dow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121</xdr:col>
      <xdr:colOff>389595</xdr:colOff>
      <xdr:row>6</xdr:row>
      <xdr:rowOff>134468</xdr:rowOff>
    </xdr:from>
    <xdr:to>
      <xdr:col>140</xdr:col>
      <xdr:colOff>361729</xdr:colOff>
      <xdr:row>67</xdr:row>
      <xdr:rowOff>145675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796154" y="1187821"/>
          <a:ext cx="11469369" cy="103318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88900</xdr:colOff>
          <xdr:row>3</xdr:row>
          <xdr:rowOff>12700</xdr:rowOff>
        </xdr:from>
        <xdr:to>
          <xdr:col>117</xdr:col>
          <xdr:colOff>50800</xdr:colOff>
          <xdr:row>4</xdr:row>
          <xdr:rowOff>0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96</xdr:row>
      <xdr:rowOff>19050</xdr:rowOff>
    </xdr:from>
    <xdr:to>
      <xdr:col>15</xdr:col>
      <xdr:colOff>419100</xdr:colOff>
      <xdr:row>112</xdr:row>
      <xdr:rowOff>19050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190500</xdr:colOff>
      <xdr:row>121</xdr:row>
      <xdr:rowOff>38100</xdr:rowOff>
    </xdr:from>
    <xdr:to>
      <xdr:col>15</xdr:col>
      <xdr:colOff>552450</xdr:colOff>
      <xdr:row>137</xdr:row>
      <xdr:rowOff>38100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28574</xdr:colOff>
      <xdr:row>109</xdr:row>
      <xdr:rowOff>19050</xdr:rowOff>
    </xdr:from>
    <xdr:to>
      <xdr:col>27</xdr:col>
      <xdr:colOff>342899</xdr:colOff>
      <xdr:row>125</xdr:row>
      <xdr:rowOff>0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352984</xdr:colOff>
      <xdr:row>20</xdr:row>
      <xdr:rowOff>135590</xdr:rowOff>
    </xdr:from>
    <xdr:to>
      <xdr:col>15</xdr:col>
      <xdr:colOff>5602</xdr:colOff>
      <xdr:row>33</xdr:row>
      <xdr:rowOff>43702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369794</xdr:colOff>
      <xdr:row>33</xdr:row>
      <xdr:rowOff>123264</xdr:rowOff>
    </xdr:from>
    <xdr:to>
      <xdr:col>14</xdr:col>
      <xdr:colOff>605116</xdr:colOff>
      <xdr:row>45</xdr:row>
      <xdr:rowOff>154640</xdr:rowOff>
    </xdr:to>
    <xdr:graphicFrame macro="">
      <xdr:nvGraphicFramePr>
        <xdr:cNvPr id="13" name="Kaavio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9525</xdr:rowOff>
    </xdr:from>
    <xdr:to>
      <xdr:col>10</xdr:col>
      <xdr:colOff>314325</xdr:colOff>
      <xdr:row>53</xdr:row>
      <xdr:rowOff>114301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142875</xdr:rowOff>
    </xdr:from>
    <xdr:to>
      <xdr:col>33</xdr:col>
      <xdr:colOff>369794</xdr:colOff>
      <xdr:row>90</xdr:row>
      <xdr:rowOff>145677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29</xdr:row>
      <xdr:rowOff>57149</xdr:rowOff>
    </xdr:from>
    <xdr:to>
      <xdr:col>10</xdr:col>
      <xdr:colOff>314325</xdr:colOff>
      <xdr:row>53</xdr:row>
      <xdr:rowOff>114300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476250</xdr:colOff>
      <xdr:row>26</xdr:row>
      <xdr:rowOff>133350</xdr:rowOff>
    </xdr:from>
    <xdr:to>
      <xdr:col>19</xdr:col>
      <xdr:colOff>495299</xdr:colOff>
      <xdr:row>53</xdr:row>
      <xdr:rowOff>142876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13</xdr:row>
      <xdr:rowOff>47625</xdr:rowOff>
    </xdr:from>
    <xdr:to>
      <xdr:col>33</xdr:col>
      <xdr:colOff>238125</xdr:colOff>
      <xdr:row>28</xdr:row>
      <xdr:rowOff>9525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123825</xdr:colOff>
      <xdr:row>56</xdr:row>
      <xdr:rowOff>142874</xdr:rowOff>
    </xdr:from>
    <xdr:to>
      <xdr:col>32</xdr:col>
      <xdr:colOff>419100</xdr:colOff>
      <xdr:row>92</xdr:row>
      <xdr:rowOff>19049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28575</xdr:colOff>
      <xdr:row>5</xdr:row>
      <xdr:rowOff>14286</xdr:rowOff>
    </xdr:from>
    <xdr:to>
      <xdr:col>13</xdr:col>
      <xdr:colOff>333375</xdr:colOff>
      <xdr:row>25</xdr:row>
      <xdr:rowOff>66674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2</xdr:row>
      <xdr:rowOff>123825</xdr:rowOff>
    </xdr:from>
    <xdr:to>
      <xdr:col>20</xdr:col>
      <xdr:colOff>371475</xdr:colOff>
      <xdr:row>18</xdr:row>
      <xdr:rowOff>95250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428625</xdr:colOff>
      <xdr:row>13</xdr:row>
      <xdr:rowOff>114300</xdr:rowOff>
    </xdr:from>
    <xdr:to>
      <xdr:col>28</xdr:col>
      <xdr:colOff>123825</xdr:colOff>
      <xdr:row>29</xdr:row>
      <xdr:rowOff>85725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4</xdr:row>
      <xdr:rowOff>19050</xdr:rowOff>
    </xdr:from>
    <xdr:to>
      <xdr:col>14</xdr:col>
      <xdr:colOff>361950</xdr:colOff>
      <xdr:row>25</xdr:row>
      <xdr:rowOff>104774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371475</xdr:colOff>
      <xdr:row>15</xdr:row>
      <xdr:rowOff>47625</xdr:rowOff>
    </xdr:from>
    <xdr:to>
      <xdr:col>33</xdr:col>
      <xdr:colOff>0</xdr:colOff>
      <xdr:row>30</xdr:row>
      <xdr:rowOff>9525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380999</xdr:colOff>
      <xdr:row>26</xdr:row>
      <xdr:rowOff>57149</xdr:rowOff>
    </xdr:from>
    <xdr:to>
      <xdr:col>10</xdr:col>
      <xdr:colOff>180974</xdr:colOff>
      <xdr:row>53</xdr:row>
      <xdr:rowOff>66675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238125</xdr:colOff>
      <xdr:row>26</xdr:row>
      <xdr:rowOff>76200</xdr:rowOff>
    </xdr:from>
    <xdr:to>
      <xdr:col>19</xdr:col>
      <xdr:colOff>381000</xdr:colOff>
      <xdr:row>53</xdr:row>
      <xdr:rowOff>85726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295274</xdr:colOff>
      <xdr:row>57</xdr:row>
      <xdr:rowOff>19049</xdr:rowOff>
    </xdr:from>
    <xdr:to>
      <xdr:col>32</xdr:col>
      <xdr:colOff>590549</xdr:colOff>
      <xdr:row>79</xdr:row>
      <xdr:rowOff>104775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tti/Desktop/Tuotekehitys/Vuosihy&#246;tysuhdelaskurit/AIRFI%20LASKURI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rfi- laskentaohjelma"/>
      <sheetName val="Kennot-hyötysuhteet ja muunto"/>
      <sheetName val="Selvitys"/>
      <sheetName val="Taul3"/>
      <sheetName val="Ilmavirta-teho-käyrä"/>
      <sheetName val="Suodattimet"/>
      <sheetName val="alkup"/>
      <sheetName val="tasauslaskenta"/>
      <sheetName val="Taul1 (2)"/>
      <sheetName val="laitekuvat"/>
      <sheetName val="pohjakuvat"/>
      <sheetName val="Taul1"/>
      <sheetName val="READY- lto vuosih laskenta"/>
      <sheetName val="TRY2012 pysyvyysarvot"/>
      <sheetName val="Kennot"/>
      <sheetName val="Jälkilämmitys"/>
    </sheetNames>
    <sheetDataSet>
      <sheetData sheetId="0"/>
      <sheetData sheetId="1">
        <row r="35">
          <cell r="I35" t="str">
            <v>MODEL60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>
        <row r="7">
          <cell r="B7" t="e">
            <v>#REF!</v>
          </cell>
          <cell r="C7" t="e">
            <v>#REF!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trlProp" Target="../ctrlProps/ctrlProp7.xml"/><Relationship Id="rId18" Type="http://schemas.openxmlformats.org/officeDocument/2006/relationships/ctrlProp" Target="../ctrlProps/ctrlProp12.xml"/><Relationship Id="rId3" Type="http://schemas.openxmlformats.org/officeDocument/2006/relationships/hyperlink" Target="http://www.airfi.fi/en" TargetMode="External"/><Relationship Id="rId21" Type="http://schemas.openxmlformats.org/officeDocument/2006/relationships/ctrlProp" Target="../ctrlProps/ctrlProp15.xml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17" Type="http://schemas.openxmlformats.org/officeDocument/2006/relationships/ctrlProp" Target="../ctrlProps/ctrlProp11.xml"/><Relationship Id="rId2" Type="http://schemas.openxmlformats.org/officeDocument/2006/relationships/hyperlink" Target="http://www.airfi.fi/en" TargetMode="External"/><Relationship Id="rId16" Type="http://schemas.openxmlformats.org/officeDocument/2006/relationships/ctrlProp" Target="../ctrlProps/ctrlProp10.xml"/><Relationship Id="rId20" Type="http://schemas.openxmlformats.org/officeDocument/2006/relationships/ctrlProp" Target="../ctrlProps/ctrlProp14.xml"/><Relationship Id="rId1" Type="http://schemas.openxmlformats.org/officeDocument/2006/relationships/hyperlink" Target="http://www.airfi.fi/" TargetMode="External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24" Type="http://schemas.openxmlformats.org/officeDocument/2006/relationships/ctrlProp" Target="../ctrlProps/ctrlProp18.xml"/><Relationship Id="rId5" Type="http://schemas.openxmlformats.org/officeDocument/2006/relationships/drawing" Target="../drawings/drawing1.xml"/><Relationship Id="rId15" Type="http://schemas.openxmlformats.org/officeDocument/2006/relationships/ctrlProp" Target="../ctrlProps/ctrlProp9.xml"/><Relationship Id="rId23" Type="http://schemas.openxmlformats.org/officeDocument/2006/relationships/ctrlProp" Target="../ctrlProps/ctrlProp17.xml"/><Relationship Id="rId10" Type="http://schemas.openxmlformats.org/officeDocument/2006/relationships/ctrlProp" Target="../ctrlProps/ctrlProp4.xml"/><Relationship Id="rId19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1.bin"/><Relationship Id="rId9" Type="http://schemas.openxmlformats.org/officeDocument/2006/relationships/ctrlProp" Target="../ctrlProps/ctrlProp3.xml"/><Relationship Id="rId14" Type="http://schemas.openxmlformats.org/officeDocument/2006/relationships/ctrlProp" Target="../ctrlProps/ctrlProp8.xml"/><Relationship Id="rId22" Type="http://schemas.openxmlformats.org/officeDocument/2006/relationships/ctrlProp" Target="../ctrlProps/ctrlProp16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1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Relationship Id="rId5" Type="http://schemas.openxmlformats.org/officeDocument/2006/relationships/ctrlProp" Target="../ctrlProps/ctrlProp23.xml"/><Relationship Id="rId4" Type="http://schemas.openxmlformats.org/officeDocument/2006/relationships/ctrlProp" Target="../ctrlProps/ctrlProp2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B9D93-42FD-479C-A30C-1DD3D762C0DF}">
  <sheetPr codeName="Taul1">
    <pageSetUpPr fitToPage="1"/>
  </sheetPr>
  <dimension ref="B2:AD102"/>
  <sheetViews>
    <sheetView showGridLines="0" tabSelected="1" zoomScale="85" zoomScaleNormal="85" zoomScaleSheetLayoutView="55" workbookViewId="0">
      <selection activeCell="AF11" sqref="AF11"/>
    </sheetView>
  </sheetViews>
  <sheetFormatPr baseColWidth="10" defaultColWidth="9.1640625" defaultRowHeight="13" x14ac:dyDescent="0.15"/>
  <cols>
    <col min="1" max="1" width="9.1640625" style="88"/>
    <col min="2" max="2" width="2.33203125" style="88" customWidth="1"/>
    <col min="3" max="3" width="23.33203125" style="88" customWidth="1"/>
    <col min="4" max="4" width="11.6640625" style="88" customWidth="1"/>
    <col min="5" max="5" width="11.5" style="88" customWidth="1"/>
    <col min="6" max="6" width="11.33203125" style="88" customWidth="1"/>
    <col min="7" max="7" width="12.1640625" style="88" customWidth="1"/>
    <col min="8" max="8" width="11.5" style="88" customWidth="1"/>
    <col min="9" max="9" width="1.1640625" style="88" customWidth="1"/>
    <col min="10" max="11" width="12" style="88" customWidth="1"/>
    <col min="12" max="13" width="13.83203125" style="88" customWidth="1"/>
    <col min="14" max="14" width="12.5" style="88" customWidth="1"/>
    <col min="15" max="15" width="2.5" style="88" customWidth="1"/>
    <col min="16" max="16" width="6.6640625" style="88" customWidth="1"/>
    <col min="17" max="17" width="2.33203125" style="88" customWidth="1"/>
    <col min="18" max="18" width="63.5" style="88" customWidth="1"/>
    <col min="19" max="19" width="8.33203125" style="88" customWidth="1"/>
    <col min="20" max="20" width="10.1640625" style="88" customWidth="1"/>
    <col min="21" max="21" width="8.5" style="88" customWidth="1"/>
    <col min="22" max="22" width="2.1640625" style="88" customWidth="1"/>
    <col min="23" max="23" width="11.5" style="88" customWidth="1"/>
    <col min="24" max="26" width="10.5" style="88" customWidth="1"/>
    <col min="27" max="29" width="8.5" style="88" customWidth="1"/>
    <col min="30" max="30" width="1.6640625" style="88" customWidth="1"/>
    <col min="31" max="16384" width="9.1640625" style="88"/>
  </cols>
  <sheetData>
    <row r="2" spans="2:30" x14ac:dyDescent="0.15">
      <c r="B2" s="10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62" t="str" cm="1">
        <f t="array" ref="O2">INDEX(Kirjasto!D4:K125,1,Kirjasto!B4)</f>
        <v>Version 6.1</v>
      </c>
      <c r="Q2" s="10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63"/>
      <c r="AD2" s="262" t="str">
        <f>O2</f>
        <v>Version 6.1</v>
      </c>
    </row>
    <row r="3" spans="2:30" ht="31.5" customHeight="1" x14ac:dyDescent="0.15">
      <c r="B3" s="12"/>
      <c r="C3" s="845" t="str" cm="1">
        <f t="array" ref="C3">INDEX(Kirjasto!D4:K125,2,Kirjasto!B4)</f>
        <v>Airfi: air handling unit selection program</v>
      </c>
      <c r="D3"/>
      <c r="E3"/>
      <c r="F3"/>
      <c r="G3"/>
      <c r="H3"/>
      <c r="I3"/>
      <c r="J3"/>
      <c r="K3"/>
      <c r="L3"/>
      <c r="M3"/>
      <c r="N3" s="90"/>
      <c r="O3" s="24"/>
      <c r="Q3" s="12"/>
      <c r="R3" s="864" t="str" cm="1">
        <f t="array" ref="R3">INDEX(Kirjasto!D4:K125,72,Kirjasto!B4)</f>
        <v>Calculation of annual efficiency for exhaust air heat recovery</v>
      </c>
      <c r="S3" s="864"/>
      <c r="T3" s="864"/>
      <c r="U3" s="864"/>
      <c r="V3" s="864"/>
      <c r="W3" s="864"/>
      <c r="X3" s="864"/>
      <c r="Y3" s="864"/>
      <c r="Z3" s="864"/>
      <c r="AA3" s="864"/>
      <c r="AB3" s="864"/>
      <c r="AC3" s="143"/>
      <c r="AD3" s="24"/>
    </row>
    <row r="4" spans="2:30" ht="18" customHeight="1" x14ac:dyDescent="0.15">
      <c r="B4" s="12"/>
      <c r="C4" s="78" t="str" cm="1">
        <f t="array" ref="C4">INDEX(Kirjasto!D4:K125,3,Kirjasto!B4)</f>
        <v>Project:</v>
      </c>
      <c r="D4" s="865"/>
      <c r="E4" s="866"/>
      <c r="F4" s="866"/>
      <c r="G4" s="866"/>
      <c r="H4" s="866"/>
      <c r="I4" s="867"/>
      <c r="J4"/>
      <c r="K4"/>
      <c r="L4"/>
      <c r="M4"/>
      <c r="N4"/>
      <c r="O4" s="24"/>
      <c r="Q4" s="12"/>
      <c r="R4" s="267" t="str" cm="1">
        <f t="array" ref="R4">INDEX(Kirjasto!D4:K200,140,Kirjasto!B4)</f>
        <v/>
      </c>
      <c r="S4" s="266"/>
      <c r="T4" s="266"/>
      <c r="U4" s="266"/>
      <c r="V4" s="266"/>
      <c r="W4" s="266"/>
      <c r="X4" s="143"/>
      <c r="Y4" s="143"/>
      <c r="Z4" s="143"/>
      <c r="AA4" s="143"/>
      <c r="AB4" s="143"/>
      <c r="AC4" s="143"/>
      <c r="AD4" s="24"/>
    </row>
    <row r="5" spans="2:30" ht="18.75" customHeight="1" x14ac:dyDescent="0.15">
      <c r="B5" s="12"/>
      <c r="C5" s="269" t="str" cm="1">
        <f t="array" ref="C5">INDEX(Kirjasto!D4:K125,4,Kirjasto!B4)</f>
        <v>Name:</v>
      </c>
      <c r="D5" s="865"/>
      <c r="E5" s="866"/>
      <c r="F5" s="866"/>
      <c r="G5" s="866"/>
      <c r="H5" s="866"/>
      <c r="I5" s="867"/>
      <c r="J5"/>
      <c r="K5"/>
      <c r="L5"/>
      <c r="M5" s="264">
        <v>1</v>
      </c>
      <c r="N5"/>
      <c r="O5" s="24"/>
      <c r="Q5" s="12"/>
      <c r="R5" s="258"/>
      <c r="S5" s="258"/>
      <c r="T5" s="258"/>
      <c r="U5" s="258"/>
      <c r="V5" s="143"/>
      <c r="W5" s="143"/>
      <c r="X5" s="143"/>
      <c r="Y5" s="143"/>
      <c r="Z5" s="143"/>
      <c r="AA5" s="143"/>
      <c r="AB5" s="143"/>
      <c r="AC5" s="143"/>
      <c r="AD5" s="24"/>
    </row>
    <row r="6" spans="2:30" ht="18.75" customHeight="1" x14ac:dyDescent="0.15">
      <c r="B6" s="12"/>
      <c r="C6"/>
      <c r="D6"/>
      <c r="E6"/>
      <c r="F6" s="393" t="str" cm="1">
        <f t="array" ref="F6">IF(Tulokset!BD2,IF(Tulokset!BD3=FALSE,INDEX(Kirjasto!D4:K136,128,Kirjasto!B4),""),"")</f>
        <v/>
      </c>
      <c r="G6"/>
      <c r="H6"/>
      <c r="I6"/>
      <c r="J6"/>
      <c r="K6"/>
      <c r="L6"/>
      <c r="M6"/>
      <c r="N6"/>
      <c r="O6" s="24"/>
      <c r="Q6" s="12"/>
      <c r="R6" s="873" t="str">
        <f>CONCATENATE(C4,"  ",D4)</f>
        <v xml:space="preserve">Project:  </v>
      </c>
      <c r="S6" s="873"/>
      <c r="T6" s="873"/>
      <c r="U6" s="873"/>
      <c r="V6" s="143"/>
      <c r="W6" s="143"/>
      <c r="X6" s="143"/>
      <c r="Y6" s="143"/>
      <c r="Z6" s="143"/>
      <c r="AA6" s="143"/>
      <c r="AB6" s="143"/>
      <c r="AC6" s="143"/>
      <c r="AD6" s="24"/>
    </row>
    <row r="7" spans="2:30" ht="18.75" customHeight="1" x14ac:dyDescent="0.15">
      <c r="B7" s="12"/>
      <c r="C7" s="2" t="str" cm="1">
        <f t="array" ref="C7">INDEX(Kirjasto!D4:K125,5,Kirjasto!B4)</f>
        <v>Select model:</v>
      </c>
      <c r="D7"/>
      <c r="E7"/>
      <c r="F7"/>
      <c r="G7"/>
      <c r="H7"/>
      <c r="I7"/>
      <c r="J7"/>
      <c r="K7"/>
      <c r="L7"/>
      <c r="M7"/>
      <c r="N7"/>
      <c r="O7" s="24"/>
      <c r="Q7" s="12"/>
      <c r="R7" s="873" t="str">
        <f>CONCATENATE(C5,"  ",D5)</f>
        <v xml:space="preserve">Name:  </v>
      </c>
      <c r="S7" s="873"/>
      <c r="T7" s="873"/>
      <c r="U7" s="873"/>
      <c r="V7" s="143"/>
      <c r="W7" s="268"/>
      <c r="X7" s="145" t="str" cm="1">
        <f t="array" ref="X7">INDEX(Kirjasto!D4:K125,74,Kirjasto!B4)</f>
        <v>= insert value</v>
      </c>
      <c r="Y7" s="143"/>
      <c r="Z7" s="143"/>
      <c r="AA7" s="143"/>
      <c r="AB7" s="143"/>
      <c r="AC7" s="143"/>
      <c r="AD7" s="24"/>
    </row>
    <row r="8" spans="2:30" ht="15.5" customHeight="1" x14ac:dyDescent="0.15">
      <c r="B8" s="12"/>
      <c r="C8" s="314"/>
      <c r="D8"/>
      <c r="E8"/>
      <c r="F8"/>
      <c r="G8"/>
      <c r="H8"/>
      <c r="I8"/>
      <c r="J8" s="394" t="str" cm="1">
        <f t="array" ref="J8">IF(AND('Laskenta tulopuoli 350'!AU14,OR(Tulokset!$C$6&lt;4,Tulokset!$C$6=6)),INDEX(Kirjasto!D4:K125,8,Kirjasto!B4),"")</f>
        <v/>
      </c>
      <c r="K8"/>
      <c r="L8"/>
      <c r="M8"/>
      <c r="N8"/>
      <c r="O8" s="24"/>
      <c r="Q8" s="12"/>
      <c r="R8" s="25"/>
      <c r="S8" s="144"/>
      <c r="T8" s="144"/>
      <c r="U8" s="144"/>
      <c r="V8" s="143"/>
      <c r="W8" s="143"/>
      <c r="X8" s="143"/>
      <c r="Y8" s="143"/>
      <c r="Z8" s="143"/>
      <c r="AA8" s="143"/>
      <c r="AB8" s="143"/>
      <c r="AC8" s="143"/>
      <c r="AD8" s="24"/>
    </row>
    <row r="9" spans="2:30" ht="38.25" customHeight="1" x14ac:dyDescent="0.2">
      <c r="B9" s="12"/>
      <c r="C9" s="453" t="str">
        <f>Tulokset!CL37</f>
        <v>Airfi-Model 60 Electric</v>
      </c>
      <c r="D9"/>
      <c r="E9"/>
      <c r="F9"/>
      <c r="G9"/>
      <c r="H9"/>
      <c r="I9"/>
      <c r="J9"/>
      <c r="K9"/>
      <c r="L9"/>
      <c r="M9"/>
      <c r="N9"/>
      <c r="O9" s="24"/>
      <c r="Q9" s="12"/>
      <c r="R9" s="146" t="str" cm="1">
        <f t="array" ref="R9">INDEX(Kirjasto!D4:K125,75,Kirjasto!B4)</f>
        <v>Calculation parameters:</v>
      </c>
      <c r="S9" s="147" t="str" cm="1">
        <f t="array" ref="S9">IF(OR(T10&gt;'Kojeet ja kennon hyötysuhde'!F6,T10&lt;'Kojeet ja kennon hyötysuhde'!F5,T11&gt;'Kojeet ja kennon hyötysuhde'!F6,T11&lt;'Kojeet ja kennon hyötysuhde'!F5),INDEX(Kirjasto!D4:K125,23,Kirjasto!B4),"")</f>
        <v/>
      </c>
      <c r="T9" s="148"/>
      <c r="U9" s="149"/>
      <c r="V9" s="143"/>
      <c r="W9" s="552" t="str" cm="1">
        <f t="array" ref="W9">INDEX(Kirjasto!D4:K125,96,Kirjasto!B4)</f>
        <v>Outdoor air temperature [°C]</v>
      </c>
      <c r="X9" s="553" t="str" cm="1">
        <f t="array" ref="X9">INDEX(Kirjasto!D4:K125,97,Kirjasto!B4)</f>
        <v>Percentage of the year</v>
      </c>
      <c r="Y9" s="554" t="str" cm="1">
        <f t="array" ref="Y9">INDEX(Kirjasto!D4:K125,98,Kirjasto!B4)</f>
        <v>Exhaust air temperature</v>
      </c>
      <c r="Z9" s="553" t="str" cm="1">
        <f t="array" ref="Z9">INDEX(Kirjasto!D4:K125,99,Kirjasto!B4)</f>
        <v>Supply air temperature</v>
      </c>
      <c r="AA9" s="555" t="s">
        <v>975</v>
      </c>
      <c r="AB9" s="556" t="s">
        <v>976</v>
      </c>
      <c r="AC9" s="557" t="s">
        <v>977</v>
      </c>
      <c r="AD9" s="153"/>
    </row>
    <row r="10" spans="2:30" ht="17" x14ac:dyDescent="0.15">
      <c r="B10" s="12"/>
      <c r="C10" s="452" t="str">
        <f>Tulokset!CM37</f>
        <v>Power supply: Electric plug 230 V, 50 Hz, 10 A, max 1165 W</v>
      </c>
      <c r="D10"/>
      <c r="E10"/>
      <c r="F10"/>
      <c r="G10"/>
      <c r="H10"/>
      <c r="I10"/>
      <c r="J10"/>
      <c r="K10"/>
      <c r="L10"/>
      <c r="M10"/>
      <c r="N10"/>
      <c r="O10" s="24"/>
      <c r="Q10" s="12"/>
      <c r="R10" s="548" t="str" cm="1">
        <f t="array" ref="R10">INDEX(Kirjasto!D4:K125,76,Kirjasto!B4)</f>
        <v>Supply air volume flow, through heat recovery</v>
      </c>
      <c r="S10" s="252" t="s">
        <v>215</v>
      </c>
      <c r="T10" s="256">
        <f>E33</f>
        <v>40</v>
      </c>
      <c r="U10" s="154" t="s">
        <v>72</v>
      </c>
      <c r="V10" s="155"/>
      <c r="W10" s="156">
        <f>Laskenta_vuosihyötysuhde!F6</f>
        <v>-32</v>
      </c>
      <c r="X10" s="157">
        <f>Laskenta_vuosihyötysuhde!G6</f>
        <v>0</v>
      </c>
      <c r="Y10" s="158">
        <f>Laskenta_vuosihyötysuhde!I6</f>
        <v>-6.5</v>
      </c>
      <c r="Z10" s="159">
        <f>Laskenta_vuosihyötysuhde!N6</f>
        <v>-4.5</v>
      </c>
      <c r="AA10" s="160">
        <f>Laskenta_vuosihyötysuhde!U6</f>
        <v>0</v>
      </c>
      <c r="AB10" s="161">
        <f>Laskenta_vuosihyötysuhde!V6</f>
        <v>0</v>
      </c>
      <c r="AC10" s="162">
        <f>Laskenta_vuosihyötysuhde!W6</f>
        <v>0</v>
      </c>
      <c r="AD10" s="24"/>
    </row>
    <row r="11" spans="2:30" ht="15.75" customHeight="1" x14ac:dyDescent="0.15">
      <c r="B11" s="12"/>
      <c r="C11"/>
      <c r="D11"/>
      <c r="E11"/>
      <c r="F11"/>
      <c r="G11"/>
      <c r="H11"/>
      <c r="I11"/>
      <c r="J11"/>
      <c r="K11"/>
      <c r="L11"/>
      <c r="M11"/>
      <c r="N11"/>
      <c r="O11" s="24"/>
      <c r="Q11" s="12"/>
      <c r="R11" s="549" t="str" cm="1">
        <f t="array" ref="R11">INDEX(Kirjasto!D4:K125,77,Kirjasto!B4)</f>
        <v>Extract air volume flow, through heat recovery</v>
      </c>
      <c r="S11" s="255" t="s">
        <v>217</v>
      </c>
      <c r="T11" s="256">
        <f>G33</f>
        <v>40</v>
      </c>
      <c r="U11" s="154" t="s">
        <v>72</v>
      </c>
      <c r="V11" s="155"/>
      <c r="W11" s="163">
        <f>Laskenta_vuosihyötysuhde!F7</f>
        <v>-31</v>
      </c>
      <c r="X11" s="164">
        <f>Laskenta_vuosihyötysuhde!G7</f>
        <v>0</v>
      </c>
      <c r="Y11" s="165">
        <f>Laskenta_vuosihyötysuhde!I7</f>
        <v>-6.5</v>
      </c>
      <c r="Z11" s="166">
        <f>Laskenta_vuosihyötysuhde!N7</f>
        <v>-3.5</v>
      </c>
      <c r="AA11" s="167">
        <f>Laskenta_vuosihyötysuhde!U7</f>
        <v>0</v>
      </c>
      <c r="AB11" s="168">
        <f>Laskenta_vuosihyötysuhde!V7</f>
        <v>0</v>
      </c>
      <c r="AC11" s="169">
        <f>Laskenta_vuosihyötysuhde!W7</f>
        <v>0</v>
      </c>
      <c r="AD11" s="24"/>
    </row>
    <row r="12" spans="2:30" ht="15.75" customHeight="1" x14ac:dyDescent="0.15">
      <c r="B12" s="12"/>
      <c r="C12"/>
      <c r="D12"/>
      <c r="E12"/>
      <c r="F12"/>
      <c r="G12"/>
      <c r="H12"/>
      <c r="I12"/>
      <c r="J12"/>
      <c r="K12"/>
      <c r="L12"/>
      <c r="M12"/>
      <c r="N12"/>
      <c r="O12" s="24"/>
      <c r="Q12" s="12"/>
      <c r="R12" s="874" t="str" cm="1">
        <f t="array" ref="R12">INDEX(Kirjasto!D4:K125,78,Kirjasto!B4)</f>
        <v>Supply air to extract air ratio for volume flow through heat recovery</v>
      </c>
      <c r="S12" s="143"/>
      <c r="T12" s="182"/>
      <c r="U12" s="154"/>
      <c r="V12" s="155"/>
      <c r="W12" s="163">
        <f>Laskenta_vuosihyötysuhde!F8</f>
        <v>-30</v>
      </c>
      <c r="X12" s="164">
        <f>Laskenta_vuosihyötysuhde!G8</f>
        <v>0</v>
      </c>
      <c r="Y12" s="165">
        <f>Laskenta_vuosihyötysuhde!I8</f>
        <v>-6.5</v>
      </c>
      <c r="Z12" s="166">
        <f>Laskenta_vuosihyötysuhde!N8</f>
        <v>-2.5</v>
      </c>
      <c r="AA12" s="167">
        <f>Laskenta_vuosihyötysuhde!U8</f>
        <v>0</v>
      </c>
      <c r="AB12" s="168">
        <f>Laskenta_vuosihyötysuhde!V8</f>
        <v>0</v>
      </c>
      <c r="AC12" s="169">
        <f>Laskenta_vuosihyötysuhde!W8</f>
        <v>0</v>
      </c>
      <c r="AD12" s="24"/>
    </row>
    <row r="13" spans="2:30" ht="15.75" customHeight="1" x14ac:dyDescent="0.15">
      <c r="B13" s="12"/>
      <c r="C13"/>
      <c r="D13"/>
      <c r="E13"/>
      <c r="F13"/>
      <c r="G13"/>
      <c r="H13"/>
      <c r="I13"/>
      <c r="J13"/>
      <c r="K13"/>
      <c r="L13"/>
      <c r="M13"/>
      <c r="N13"/>
      <c r="O13" s="24"/>
      <c r="Q13" s="12"/>
      <c r="R13" s="870"/>
      <c r="S13" s="252" t="s">
        <v>256</v>
      </c>
      <c r="T13" s="265">
        <f>T10/T11</f>
        <v>1</v>
      </c>
      <c r="U13" s="170"/>
      <c r="V13" s="155"/>
      <c r="W13" s="163">
        <f>Laskenta_vuosihyötysuhde!F9</f>
        <v>-29</v>
      </c>
      <c r="X13" s="164">
        <f>Laskenta_vuosihyötysuhde!G9</f>
        <v>0</v>
      </c>
      <c r="Y13" s="165">
        <f>Laskenta_vuosihyötysuhde!I9</f>
        <v>-6.5</v>
      </c>
      <c r="Z13" s="166">
        <f>Laskenta_vuosihyötysuhde!N9</f>
        <v>-1.4999999999999964</v>
      </c>
      <c r="AA13" s="167">
        <f>Laskenta_vuosihyötysuhde!U9</f>
        <v>0</v>
      </c>
      <c r="AB13" s="168">
        <f>Laskenta_vuosihyötysuhde!V9</f>
        <v>0</v>
      </c>
      <c r="AC13" s="169">
        <f>Laskenta_vuosihyötysuhde!W9</f>
        <v>0</v>
      </c>
      <c r="AD13" s="24"/>
    </row>
    <row r="14" spans="2:30" x14ac:dyDescent="0.15">
      <c r="B14" s="12"/>
      <c r="C14"/>
      <c r="D14"/>
      <c r="E14"/>
      <c r="F14"/>
      <c r="G14"/>
      <c r="H14"/>
      <c r="I14"/>
      <c r="J14"/>
      <c r="K14"/>
      <c r="L14"/>
      <c r="M14"/>
      <c r="N14"/>
      <c r="O14" s="24"/>
      <c r="Q14" s="12"/>
      <c r="R14" s="514"/>
      <c r="S14" s="143"/>
      <c r="T14" s="182"/>
      <c r="U14" s="154"/>
      <c r="V14" s="143"/>
      <c r="W14" s="163">
        <f>Laskenta_vuosihyötysuhde!F10</f>
        <v>-28</v>
      </c>
      <c r="X14" s="164">
        <f>Laskenta_vuosihyötysuhde!G10</f>
        <v>0</v>
      </c>
      <c r="Y14" s="165">
        <f>Laskenta_vuosihyötysuhde!I10</f>
        <v>-6.4999999999999964</v>
      </c>
      <c r="Z14" s="166">
        <f>Laskenta_vuosihyötysuhde!N10</f>
        <v>-0.50000000000000355</v>
      </c>
      <c r="AA14" s="167">
        <f>Laskenta_vuosihyötysuhde!U10</f>
        <v>0</v>
      </c>
      <c r="AB14" s="168">
        <f>Laskenta_vuosihyötysuhde!V10</f>
        <v>0</v>
      </c>
      <c r="AC14" s="169">
        <f>Laskenta_vuosihyötysuhde!W10</f>
        <v>0</v>
      </c>
      <c r="AD14" s="24"/>
    </row>
    <row r="15" spans="2:30" x14ac:dyDescent="0.15">
      <c r="B15" s="12"/>
      <c r="C15"/>
      <c r="D15"/>
      <c r="E15"/>
      <c r="F15"/>
      <c r="G15"/>
      <c r="H15"/>
      <c r="I15"/>
      <c r="J15"/>
      <c r="K15"/>
      <c r="L15"/>
      <c r="M15"/>
      <c r="N15"/>
      <c r="O15" s="24"/>
      <c r="Q15" s="12"/>
      <c r="R15" s="874" t="str" cm="1">
        <f t="array" ref="R15">INDEX(Kirjasto!D4:K125,79,Kirjasto!B4)</f>
        <v>Additional extract air flow rate included in heat recovery requirements</v>
      </c>
      <c r="S15" s="143"/>
      <c r="T15" s="182"/>
      <c r="U15" s="154"/>
      <c r="V15" s="143"/>
      <c r="W15" s="163">
        <f>Laskenta_vuosihyötysuhde!F11</f>
        <v>-27</v>
      </c>
      <c r="X15" s="164">
        <f>Laskenta_vuosihyötysuhde!G11</f>
        <v>0</v>
      </c>
      <c r="Y15" s="165">
        <f>Laskenta_vuosihyötysuhde!I11</f>
        <v>-6.5</v>
      </c>
      <c r="Z15" s="166">
        <f>Laskenta_vuosihyötysuhde!N11</f>
        <v>0.5</v>
      </c>
      <c r="AA15" s="167">
        <f>Laskenta_vuosihyötysuhde!U11</f>
        <v>0</v>
      </c>
      <c r="AB15" s="168">
        <f>Laskenta_vuosihyötysuhde!V11</f>
        <v>0</v>
      </c>
      <c r="AC15" s="169">
        <f>Laskenta_vuosihyötysuhde!W11</f>
        <v>0</v>
      </c>
      <c r="AD15" s="24"/>
    </row>
    <row r="16" spans="2:30" ht="17" x14ac:dyDescent="0.15">
      <c r="B16" s="12"/>
      <c r="C16"/>
      <c r="D16"/>
      <c r="E16"/>
      <c r="F16"/>
      <c r="G16"/>
      <c r="H16"/>
      <c r="I16"/>
      <c r="J16"/>
      <c r="K16"/>
      <c r="L16"/>
      <c r="M16"/>
      <c r="N16"/>
      <c r="O16" s="24"/>
      <c r="Q16" s="12"/>
      <c r="R16" s="870"/>
      <c r="S16" s="252" t="s">
        <v>221</v>
      </c>
      <c r="T16" s="650">
        <v>0</v>
      </c>
      <c r="U16" s="154" t="s">
        <v>72</v>
      </c>
      <c r="V16" s="155"/>
      <c r="W16" s="163">
        <f>Laskenta_vuosihyötysuhde!F12</f>
        <v>-26</v>
      </c>
      <c r="X16" s="164">
        <f>Laskenta_vuosihyötysuhde!G12</f>
        <v>0</v>
      </c>
      <c r="Y16" s="165">
        <f>Laskenta_vuosihyötysuhde!I12</f>
        <v>-6.5</v>
      </c>
      <c r="Z16" s="166">
        <f>Laskenta_vuosihyötysuhde!N12</f>
        <v>1.5</v>
      </c>
      <c r="AA16" s="167">
        <f>Laskenta_vuosihyötysuhde!U12</f>
        <v>0</v>
      </c>
      <c r="AB16" s="168">
        <f>Laskenta_vuosihyötysuhde!V12</f>
        <v>0</v>
      </c>
      <c r="AC16" s="169">
        <f>Laskenta_vuosihyötysuhde!W12</f>
        <v>0</v>
      </c>
      <c r="AD16" s="24"/>
    </row>
    <row r="17" spans="2:30" ht="15.75" customHeight="1" x14ac:dyDescent="0.15">
      <c r="B17" s="12"/>
      <c r="C17"/>
      <c r="D17"/>
      <c r="E17"/>
      <c r="F17"/>
      <c r="G17"/>
      <c r="H17"/>
      <c r="I17"/>
      <c r="J17"/>
      <c r="K17"/>
      <c r="L17"/>
      <c r="M17"/>
      <c r="N17"/>
      <c r="O17" s="24"/>
      <c r="Q17" s="12"/>
      <c r="R17" s="548" t="str" cm="1">
        <f t="array" ref="R17">INDEX(Kirjasto!D4:K125,80,Kirjasto!B4)</f>
        <v>Operational time of the additional extract air</v>
      </c>
      <c r="S17" s="252" t="s">
        <v>223</v>
      </c>
      <c r="T17" s="650">
        <v>0</v>
      </c>
      <c r="U17" s="154" t="s">
        <v>224</v>
      </c>
      <c r="V17" s="155"/>
      <c r="W17" s="163">
        <f>Laskenta_vuosihyötysuhde!F13</f>
        <v>-25</v>
      </c>
      <c r="X17" s="164">
        <f>Laskenta_vuosihyötysuhde!G13</f>
        <v>0</v>
      </c>
      <c r="Y17" s="165">
        <f>Laskenta_vuosihyötysuhde!I13</f>
        <v>-6.5</v>
      </c>
      <c r="Z17" s="166">
        <f>Laskenta_vuosihyötysuhde!N13</f>
        <v>2.5</v>
      </c>
      <c r="AA17" s="167">
        <f>Laskenta_vuosihyötysuhde!U13</f>
        <v>0</v>
      </c>
      <c r="AB17" s="168">
        <f>Laskenta_vuosihyötysuhde!V13</f>
        <v>0</v>
      </c>
      <c r="AC17" s="169">
        <f>Laskenta_vuosihyötysuhde!W13</f>
        <v>0</v>
      </c>
      <c r="AD17" s="24"/>
    </row>
    <row r="18" spans="2:30" ht="15.75" customHeight="1" x14ac:dyDescent="0.15">
      <c r="B18" s="12"/>
      <c r="C18"/>
      <c r="D18"/>
      <c r="E18"/>
      <c r="F18"/>
      <c r="G18"/>
      <c r="H18"/>
      <c r="I18"/>
      <c r="J18"/>
      <c r="K18"/>
      <c r="L18"/>
      <c r="M18"/>
      <c r="N18"/>
      <c r="O18" s="24"/>
      <c r="Q18" s="12"/>
      <c r="R18" s="874" t="str" cm="1">
        <f t="array" ref="R18">INDEX(Kirjasto!D4:K125,81,Kirjasto!B4)</f>
        <v>Supply / extract air volume flow ratio for entire ventilation system</v>
      </c>
      <c r="S18"/>
      <c r="T18" s="744" t="str">
        <f>IF(OR(T17&lt;0,T17&gt;24),"Virheellinen lukema","")</f>
        <v/>
      </c>
      <c r="U18" s="154"/>
      <c r="V18" s="155"/>
      <c r="W18" s="163">
        <f>Laskenta_vuosihyötysuhde!F14</f>
        <v>-24</v>
      </c>
      <c r="X18" s="164">
        <f>Laskenta_vuosihyötysuhde!G14</f>
        <v>0</v>
      </c>
      <c r="Y18" s="165">
        <f>Laskenta_vuosihyötysuhde!I14</f>
        <v>-6.5</v>
      </c>
      <c r="Z18" s="166">
        <f>Laskenta_vuosihyötysuhde!N14</f>
        <v>3.5000000000000036</v>
      </c>
      <c r="AA18" s="167">
        <f>Laskenta_vuosihyötysuhde!U14</f>
        <v>0</v>
      </c>
      <c r="AB18" s="168">
        <f>Laskenta_vuosihyötysuhde!V14</f>
        <v>0</v>
      </c>
      <c r="AC18" s="169">
        <f>Laskenta_vuosihyötysuhde!W14</f>
        <v>0</v>
      </c>
      <c r="AD18" s="24"/>
    </row>
    <row r="19" spans="2:30" ht="15.75" customHeight="1" x14ac:dyDescent="0.25">
      <c r="B19" s="12"/>
      <c r="C19"/>
      <c r="D19"/>
      <c r="E19"/>
      <c r="F19"/>
      <c r="G19"/>
      <c r="H19"/>
      <c r="I19"/>
      <c r="J19"/>
      <c r="K19"/>
      <c r="L19"/>
      <c r="M19"/>
      <c r="N19"/>
      <c r="O19" s="24"/>
      <c r="Q19" s="12"/>
      <c r="R19" s="870"/>
      <c r="S19" s="76" t="s">
        <v>297</v>
      </c>
      <c r="T19" s="265">
        <f>T10/(T11+(T17/24*T16))</f>
        <v>1</v>
      </c>
      <c r="U19" s="170"/>
      <c r="V19" s="155"/>
      <c r="W19" s="163">
        <f>Laskenta_vuosihyötysuhde!F15</f>
        <v>-23</v>
      </c>
      <c r="X19" s="164">
        <f>Laskenta_vuosihyötysuhde!G15</f>
        <v>0</v>
      </c>
      <c r="Y19" s="165">
        <f>Laskenta_vuosihyötysuhde!I15</f>
        <v>-6.5</v>
      </c>
      <c r="Z19" s="166">
        <f>Laskenta_vuosihyötysuhde!N15</f>
        <v>4.5</v>
      </c>
      <c r="AA19" s="167">
        <f>Laskenta_vuosihyötysuhde!U15</f>
        <v>0</v>
      </c>
      <c r="AB19" s="168">
        <f>Laskenta_vuosihyötysuhde!V15</f>
        <v>0</v>
      </c>
      <c r="AC19" s="169">
        <f>Laskenta_vuosihyötysuhde!W15</f>
        <v>0</v>
      </c>
      <c r="AD19" s="24"/>
    </row>
    <row r="20" spans="2:30" x14ac:dyDescent="0.15">
      <c r="B20" s="12"/>
      <c r="C20"/>
      <c r="D20"/>
      <c r="E20"/>
      <c r="F20"/>
      <c r="G20"/>
      <c r="H20"/>
      <c r="I20"/>
      <c r="J20"/>
      <c r="K20"/>
      <c r="L20"/>
      <c r="M20"/>
      <c r="N20"/>
      <c r="O20" s="24"/>
      <c r="Q20" s="12"/>
      <c r="R20" s="514"/>
      <c r="S20" s="143"/>
      <c r="T20" s="182"/>
      <c r="U20" s="154"/>
      <c r="V20" s="143"/>
      <c r="W20" s="163">
        <f>Laskenta_vuosihyötysuhde!F16</f>
        <v>-22</v>
      </c>
      <c r="X20" s="164">
        <f>Laskenta_vuosihyötysuhde!G16</f>
        <v>0</v>
      </c>
      <c r="Y20" s="165">
        <f>Laskenta_vuosihyötysuhde!I16</f>
        <v>-6.5</v>
      </c>
      <c r="Z20" s="166">
        <f>Laskenta_vuosihyötysuhde!N16</f>
        <v>5.5</v>
      </c>
      <c r="AA20" s="167">
        <f>Laskenta_vuosihyötysuhde!U16</f>
        <v>0</v>
      </c>
      <c r="AB20" s="168">
        <f>Laskenta_vuosihyötysuhde!V16</f>
        <v>0</v>
      </c>
      <c r="AC20" s="169">
        <f>Laskenta_vuosihyötysuhde!W16</f>
        <v>0</v>
      </c>
      <c r="AD20" s="24"/>
    </row>
    <row r="21" spans="2:30" ht="13.5" customHeight="1" x14ac:dyDescent="0.15">
      <c r="B21" s="12"/>
      <c r="C21"/>
      <c r="D21"/>
      <c r="E21"/>
      <c r="F21"/>
      <c r="G21"/>
      <c r="H21"/>
      <c r="I21"/>
      <c r="J21"/>
      <c r="K21"/>
      <c r="L21"/>
      <c r="M21"/>
      <c r="N21"/>
      <c r="O21" s="24"/>
      <c r="Q21" s="12"/>
      <c r="R21" s="550" t="str" cm="1">
        <f t="array" ref="R21">INDEX(Kirjasto!D4:K200,144,Kirjasto!B4)</f>
        <v>Heat recovery cell efficiency (EN 308)</v>
      </c>
      <c r="S21" s="252" t="s">
        <v>1269</v>
      </c>
      <c r="T21" s="747">
        <f>Tulokset!DL37</f>
        <v>0.80890196078431376</v>
      </c>
      <c r="U21" s="154"/>
      <c r="V21" s="143"/>
      <c r="W21" s="163">
        <f>Laskenta_vuosihyötysuhde!F17</f>
        <v>-21</v>
      </c>
      <c r="X21" s="164">
        <f>Laskenta_vuosihyötysuhde!G17</f>
        <v>0</v>
      </c>
      <c r="Y21" s="165">
        <f>Laskenta_vuosihyötysuhde!I17</f>
        <v>-6.5</v>
      </c>
      <c r="Z21" s="166">
        <f>Laskenta_vuosihyötysuhde!N17</f>
        <v>6.5</v>
      </c>
      <c r="AA21" s="167">
        <f>Laskenta_vuosihyötysuhde!U17</f>
        <v>0</v>
      </c>
      <c r="AB21" s="168">
        <f>Laskenta_vuosihyötysuhde!V17</f>
        <v>0</v>
      </c>
      <c r="AC21" s="169">
        <f>Laskenta_vuosihyötysuhde!W17</f>
        <v>0</v>
      </c>
      <c r="AD21" s="24"/>
    </row>
    <row r="22" spans="2:30" ht="13.5" customHeight="1" x14ac:dyDescent="0.15">
      <c r="B22" s="12"/>
      <c r="C22"/>
      <c r="D22"/>
      <c r="E22"/>
      <c r="F22"/>
      <c r="G22"/>
      <c r="H22"/>
      <c r="I22"/>
      <c r="J22"/>
      <c r="K22"/>
      <c r="L22"/>
      <c r="M22"/>
      <c r="N22"/>
      <c r="O22" s="24"/>
      <c r="Q22" s="12"/>
      <c r="R22" s="550" t="str" cm="1">
        <f t="array" ref="R22">INDEX(Kirjasto!D4:K125,82,Kirjasto!B4)</f>
        <v>Supply side temperature ratio for balanced air flow (EN 13141-7)</v>
      </c>
      <c r="S22" s="252" t="s">
        <v>298</v>
      </c>
      <c r="T22" s="747">
        <f>Tulokset!DK37</f>
        <v>0.79584313725490186</v>
      </c>
      <c r="U22" s="154"/>
      <c r="V22" s="143"/>
      <c r="W22" s="163">
        <f>Laskenta_vuosihyötysuhde!F18</f>
        <v>-20</v>
      </c>
      <c r="X22" s="164">
        <f>Laskenta_vuosihyötysuhde!G18</f>
        <v>0</v>
      </c>
      <c r="Y22" s="165">
        <f>Laskenta_vuosihyötysuhde!I18</f>
        <v>-6.5</v>
      </c>
      <c r="Z22" s="166">
        <f>Laskenta_vuosihyötysuhde!N18</f>
        <v>7.5</v>
      </c>
      <c r="AA22" s="167">
        <f>Laskenta_vuosihyötysuhde!U18</f>
        <v>0</v>
      </c>
      <c r="AB22" s="168">
        <f>Laskenta_vuosihyötysuhde!V18</f>
        <v>0</v>
      </c>
      <c r="AC22" s="169">
        <f>Laskenta_vuosihyötysuhde!W18</f>
        <v>0</v>
      </c>
      <c r="AD22" s="24"/>
    </row>
    <row r="23" spans="2:30" ht="17" x14ac:dyDescent="0.15">
      <c r="B23" s="12"/>
      <c r="C23"/>
      <c r="D23"/>
      <c r="E23"/>
      <c r="F23"/>
      <c r="G23"/>
      <c r="H23"/>
      <c r="I23"/>
      <c r="J23"/>
      <c r="K23"/>
      <c r="L23"/>
      <c r="M23"/>
      <c r="N23"/>
      <c r="O23" s="24"/>
      <c r="Q23" s="12"/>
      <c r="R23" s="550" t="str" cm="1">
        <f t="array" ref="R23">INDEX(Kirjasto!D4:K125,83,Kirjasto!B4)</f>
        <v>Supply side temperature ratio</v>
      </c>
      <c r="S23" s="252" t="s">
        <v>299</v>
      </c>
      <c r="T23" s="747">
        <f>MIN(2/(1+T13)*T22,0.9)</f>
        <v>0.79584313725490186</v>
      </c>
      <c r="U23" s="154"/>
      <c r="V23" s="143"/>
      <c r="W23" s="163">
        <f>Laskenta_vuosihyötysuhde!F19</f>
        <v>-19</v>
      </c>
      <c r="X23" s="164">
        <f>Laskenta_vuosihyötysuhde!G19</f>
        <v>0</v>
      </c>
      <c r="Y23" s="165">
        <f>Laskenta_vuosihyötysuhde!I19</f>
        <v>-6.5</v>
      </c>
      <c r="Z23" s="166">
        <f>Laskenta_vuosihyötysuhde!N19</f>
        <v>8.5</v>
      </c>
      <c r="AA23" s="167">
        <f>Laskenta_vuosihyötysuhde!U19</f>
        <v>0</v>
      </c>
      <c r="AB23" s="168">
        <f>Laskenta_vuosihyötysuhde!V19</f>
        <v>0</v>
      </c>
      <c r="AC23" s="169">
        <f>Laskenta_vuosihyötysuhde!W19</f>
        <v>0</v>
      </c>
      <c r="AD23" s="24"/>
    </row>
    <row r="24" spans="2:30" ht="16.5" customHeight="1" x14ac:dyDescent="0.15">
      <c r="B24" s="12"/>
      <c r="C24"/>
      <c r="D24"/>
      <c r="E24"/>
      <c r="F24"/>
      <c r="G24"/>
      <c r="H24"/>
      <c r="I24"/>
      <c r="J24"/>
      <c r="K24"/>
      <c r="L24"/>
      <c r="M24"/>
      <c r="N24"/>
      <c r="O24" s="24"/>
      <c r="Q24" s="12"/>
      <c r="R24" s="514"/>
      <c r="S24" s="143"/>
      <c r="T24" s="182"/>
      <c r="U24" s="154"/>
      <c r="V24" s="143"/>
      <c r="W24" s="163">
        <f>Laskenta_vuosihyötysuhde!F20</f>
        <v>-18</v>
      </c>
      <c r="X24" s="164">
        <f>Laskenta_vuosihyötysuhde!G20</f>
        <v>0</v>
      </c>
      <c r="Y24" s="165">
        <f>Laskenta_vuosihyötysuhde!I20</f>
        <v>-6.5</v>
      </c>
      <c r="Z24" s="166">
        <f>Laskenta_vuosihyötysuhde!N20</f>
        <v>9.5000000000000036</v>
      </c>
      <c r="AA24" s="167">
        <f>Laskenta_vuosihyötysuhde!U20</f>
        <v>0</v>
      </c>
      <c r="AB24" s="168">
        <f>Laskenta_vuosihyötysuhde!V20</f>
        <v>0</v>
      </c>
      <c r="AC24" s="169">
        <f>Laskenta_vuosihyötysuhde!W20</f>
        <v>0</v>
      </c>
      <c r="AD24" s="24"/>
    </row>
    <row r="25" spans="2:30" x14ac:dyDescent="0.15">
      <c r="B25" s="12"/>
      <c r="C25"/>
      <c r="D25"/>
      <c r="E25"/>
      <c r="F25"/>
      <c r="G25"/>
      <c r="H25"/>
      <c r="I25"/>
      <c r="J25"/>
      <c r="K25"/>
      <c r="L25"/>
      <c r="M25"/>
      <c r="N25"/>
      <c r="O25" s="24"/>
      <c r="Q25" s="12"/>
      <c r="R25" s="548" t="str" cm="1">
        <f t="array" ref="R25">INDEX(Kirjasto!D4:K200,142,Kirjasto!B4)</f>
        <v>Select climate zone (city)</v>
      </c>
      <c r="S25" s="252"/>
      <c r="T25" s="254"/>
      <c r="U25" s="154"/>
      <c r="V25" s="143"/>
      <c r="W25" s="163">
        <f>Laskenta_vuosihyötysuhde!F21</f>
        <v>-17</v>
      </c>
      <c r="X25" s="164">
        <f>Laskenta_vuosihyötysuhde!G21</f>
        <v>0</v>
      </c>
      <c r="Y25" s="165">
        <f>Laskenta_vuosihyötysuhde!I21</f>
        <v>-6.5</v>
      </c>
      <c r="Z25" s="166">
        <f>Laskenta_vuosihyötysuhde!N21</f>
        <v>10.5</v>
      </c>
      <c r="AA25" s="167">
        <f>Laskenta_vuosihyötysuhde!U21</f>
        <v>0</v>
      </c>
      <c r="AB25" s="168">
        <f>Laskenta_vuosihyötysuhde!V21</f>
        <v>0</v>
      </c>
      <c r="AC25" s="169">
        <f>Laskenta_vuosihyötysuhde!W21</f>
        <v>0</v>
      </c>
      <c r="AD25" s="24"/>
    </row>
    <row r="26" spans="2:30" ht="17" x14ac:dyDescent="0.15">
      <c r="B26" s="12"/>
      <c r="C26"/>
      <c r="D26"/>
      <c r="E26"/>
      <c r="F26"/>
      <c r="G26"/>
      <c r="H26"/>
      <c r="I26"/>
      <c r="J26"/>
      <c r="K26"/>
      <c r="L26"/>
      <c r="M26"/>
      <c r="N26"/>
      <c r="O26" s="24"/>
      <c r="Q26" s="12"/>
      <c r="R26" s="548" t="str" cm="1">
        <f t="array" ref="R26">INDEX(Kirjasto!D4:K125,85,Kirjasto!B4)</f>
        <v>Indoor temperature</v>
      </c>
      <c r="S26" s="252" t="s">
        <v>229</v>
      </c>
      <c r="T26" s="745">
        <v>21</v>
      </c>
      <c r="U26" s="154" t="s">
        <v>230</v>
      </c>
      <c r="V26" s="143"/>
      <c r="W26" s="163">
        <f>Laskenta_vuosihyötysuhde!F22</f>
        <v>-16</v>
      </c>
      <c r="X26" s="164">
        <f>Laskenta_vuosihyötysuhde!G22</f>
        <v>0</v>
      </c>
      <c r="Y26" s="165">
        <f>Laskenta_vuosihyötysuhde!I22</f>
        <v>-6.5</v>
      </c>
      <c r="Z26" s="166">
        <f>Laskenta_vuosihyötysuhde!N22</f>
        <v>11.5</v>
      </c>
      <c r="AA26" s="167">
        <f>Laskenta_vuosihyötysuhde!U22</f>
        <v>0</v>
      </c>
      <c r="AB26" s="168">
        <f>Laskenta_vuosihyötysuhde!V22</f>
        <v>0</v>
      </c>
      <c r="AC26" s="169">
        <f>Laskenta_vuosihyötysuhde!W22</f>
        <v>0</v>
      </c>
      <c r="AD26" s="24"/>
    </row>
    <row r="27" spans="2:30" ht="17" x14ac:dyDescent="0.15">
      <c r="B27" s="12"/>
      <c r="C27"/>
      <c r="D27"/>
      <c r="E27"/>
      <c r="F27"/>
      <c r="G27"/>
      <c r="H27"/>
      <c r="I27"/>
      <c r="J27"/>
      <c r="K27"/>
      <c r="L27"/>
      <c r="M27"/>
      <c r="N27"/>
      <c r="O27" s="24"/>
      <c r="Q27" s="12"/>
      <c r="R27" s="548" t="str" cm="1">
        <f t="array" ref="R27">INDEX(Kirjasto!D4:K125,86,Kirjasto!B4)</f>
        <v>Minimum exhaust air temperature</v>
      </c>
      <c r="S27" s="252" t="s">
        <v>300</v>
      </c>
      <c r="T27" s="251">
        <v>-6.5</v>
      </c>
      <c r="U27" s="154" t="s">
        <v>230</v>
      </c>
      <c r="V27" s="155"/>
      <c r="W27" s="163">
        <f>Laskenta_vuosihyötysuhde!F23</f>
        <v>-15</v>
      </c>
      <c r="X27" s="164">
        <f>Laskenta_vuosihyötysuhde!G23</f>
        <v>0</v>
      </c>
      <c r="Y27" s="165">
        <f>Laskenta_vuosihyötysuhde!I23</f>
        <v>-6.5</v>
      </c>
      <c r="Z27" s="166">
        <f>Laskenta_vuosihyötysuhde!N23</f>
        <v>12.5</v>
      </c>
      <c r="AA27" s="167">
        <f>Laskenta_vuosihyötysuhde!U23</f>
        <v>0</v>
      </c>
      <c r="AB27" s="168">
        <f>Laskenta_vuosihyötysuhde!V23</f>
        <v>0</v>
      </c>
      <c r="AC27" s="169">
        <f>Laskenta_vuosihyötysuhde!W23</f>
        <v>0</v>
      </c>
      <c r="AD27" s="24"/>
    </row>
    <row r="28" spans="2:30" x14ac:dyDescent="0.15">
      <c r="B28" s="12"/>
      <c r="C28"/>
      <c r="D28"/>
      <c r="E28"/>
      <c r="F28"/>
      <c r="G28"/>
      <c r="H28"/>
      <c r="I28"/>
      <c r="J28"/>
      <c r="K28"/>
      <c r="L28"/>
      <c r="M28"/>
      <c r="N28"/>
      <c r="O28" s="24"/>
      <c r="Q28" s="12"/>
      <c r="R28" s="548" t="str" cm="1">
        <f t="array" ref="R28">INDEX(Kirjasto!D4:K200,146,Kirjasto!B4)</f>
        <v>Supply air temperature limitation</v>
      </c>
      <c r="S28" s="252"/>
      <c r="T28" s="182"/>
      <c r="U28" s="154"/>
      <c r="V28" s="155"/>
      <c r="W28" s="163">
        <f>Laskenta_vuosihyötysuhde!F24</f>
        <v>-14</v>
      </c>
      <c r="X28" s="164">
        <f>Laskenta_vuosihyötysuhde!G24</f>
        <v>0</v>
      </c>
      <c r="Y28" s="165">
        <f>Laskenta_vuosihyötysuhde!I24</f>
        <v>-6.5</v>
      </c>
      <c r="Z28" s="166">
        <f>Laskenta_vuosihyötysuhde!N24</f>
        <v>13.5</v>
      </c>
      <c r="AA28" s="167">
        <f>Laskenta_vuosihyötysuhde!U24</f>
        <v>0</v>
      </c>
      <c r="AB28" s="168">
        <f>Laskenta_vuosihyötysuhde!V24</f>
        <v>0</v>
      </c>
      <c r="AC28" s="169">
        <f>Laskenta_vuosihyötysuhde!W24</f>
        <v>0</v>
      </c>
      <c r="AD28" s="24"/>
    </row>
    <row r="29" spans="2:30" ht="15" customHeight="1" x14ac:dyDescent="0.15">
      <c r="B29" s="12"/>
      <c r="C29"/>
      <c r="D29"/>
      <c r="E29"/>
      <c r="F29"/>
      <c r="G29"/>
      <c r="H29"/>
      <c r="I29"/>
      <c r="J29"/>
      <c r="K29"/>
      <c r="L29"/>
      <c r="M29"/>
      <c r="N29"/>
      <c r="O29" s="24"/>
      <c r="Q29" s="12"/>
      <c r="R29" s="551" t="str" cm="1">
        <f t="array" ref="R29">INDEX(Kirjasto!D4:K125,87,Kirjasto!B4)</f>
        <v>Maximum supply air temperature in a limited situation</v>
      </c>
      <c r="S29" s="144" t="s">
        <v>233</v>
      </c>
      <c r="T29" s="746">
        <v>17</v>
      </c>
      <c r="U29" s="171" t="s">
        <v>230</v>
      </c>
      <c r="V29" s="143"/>
      <c r="W29" s="163">
        <f>Laskenta_vuosihyötysuhde!F25</f>
        <v>-13</v>
      </c>
      <c r="X29" s="164">
        <f>Laskenta_vuosihyötysuhde!G25</f>
        <v>0</v>
      </c>
      <c r="Y29" s="165">
        <f>Laskenta_vuosihyötysuhde!I25</f>
        <v>-6.0586666666666638</v>
      </c>
      <c r="Z29" s="166">
        <f>Laskenta_vuosihyötysuhde!N25</f>
        <v>14.058666666666664</v>
      </c>
      <c r="AA29" s="167">
        <f>Laskenta_vuosihyötysuhde!U25</f>
        <v>0</v>
      </c>
      <c r="AB29" s="168">
        <f>Laskenta_vuosihyötysuhde!V25</f>
        <v>0</v>
      </c>
      <c r="AC29" s="169">
        <f>Laskenta_vuosihyötysuhde!W25</f>
        <v>0</v>
      </c>
      <c r="AD29" s="24"/>
    </row>
    <row r="30" spans="2:30" x14ac:dyDescent="0.15">
      <c r="B30" s="12"/>
      <c r="C30"/>
      <c r="D30"/>
      <c r="E30"/>
      <c r="F30"/>
      <c r="G30"/>
      <c r="H30"/>
      <c r="I30"/>
      <c r="J30"/>
      <c r="K30"/>
      <c r="L30"/>
      <c r="M30"/>
      <c r="N30"/>
      <c r="O30" s="24"/>
      <c r="Q30" s="12"/>
      <c r="R30"/>
      <c r="S30" s="143"/>
      <c r="T30" s="143"/>
      <c r="U30" s="143"/>
      <c r="V30" s="143"/>
      <c r="W30" s="163">
        <f>Laskenta_vuosihyötysuhde!F26</f>
        <v>-12</v>
      </c>
      <c r="X30" s="164">
        <f>Laskenta_vuosihyötysuhde!G26</f>
        <v>3.4246575342465754E-4</v>
      </c>
      <c r="Y30" s="165">
        <f>Laskenta_vuosihyötysuhde!I26</f>
        <v>-5.2628235294117616</v>
      </c>
      <c r="Z30" s="166">
        <f>Laskenta_vuosihyötysuhde!N26</f>
        <v>14.262823529411762</v>
      </c>
      <c r="AA30" s="167">
        <f>Laskenta_vuosihyötysuhde!U26</f>
        <v>4.125</v>
      </c>
      <c r="AB30" s="168">
        <f>Laskenta_vuosihyötysuhde!V26</f>
        <v>3.2828529411764702</v>
      </c>
      <c r="AC30" s="169">
        <f>Laskenta_vuosihyötysuhde!W26</f>
        <v>3.2828529411764702</v>
      </c>
      <c r="AD30" s="24"/>
    </row>
    <row r="31" spans="2:30" ht="18" customHeight="1" x14ac:dyDescent="0.15">
      <c r="B31" s="12"/>
      <c r="C31"/>
      <c r="D31"/>
      <c r="E31"/>
      <c r="F31"/>
      <c r="G31"/>
      <c r="H31"/>
      <c r="I31"/>
      <c r="J31"/>
      <c r="K31"/>
      <c r="L31"/>
      <c r="M31"/>
      <c r="N31"/>
      <c r="O31" s="24"/>
      <c r="Q31" s="12"/>
      <c r="R31" s="260" t="str" cm="1">
        <f t="array" ref="R31">INDEX(Kirjasto!D4:K125,88,Kirjasto!B4)</f>
        <v>Annual efficiency</v>
      </c>
      <c r="S31" s="261" t="s">
        <v>235</v>
      </c>
      <c r="T31" s="738">
        <f>Laskenta_vuosihyötysuhde!D24</f>
        <v>0.79584313725490174</v>
      </c>
      <c r="U31" s="149"/>
      <c r="V31" s="143"/>
      <c r="W31" s="163">
        <f>Laskenta_vuosihyötysuhde!F27</f>
        <v>-11</v>
      </c>
      <c r="X31" s="164">
        <f>Laskenta_vuosihyötysuhde!G27</f>
        <v>1.3698630136986301E-3</v>
      </c>
      <c r="Y31" s="165">
        <f>Laskenta_vuosihyötysuhde!I27</f>
        <v>-4.4669803921568594</v>
      </c>
      <c r="Z31" s="166">
        <f>Laskenta_vuosihyötysuhde!N27</f>
        <v>14.466980392156859</v>
      </c>
      <c r="AA31" s="167">
        <f>Laskenta_vuosihyötysuhde!U27</f>
        <v>12.000000000000002</v>
      </c>
      <c r="AB31" s="168">
        <f>Laskenta_vuosihyötysuhde!V27</f>
        <v>9.5501176470588227</v>
      </c>
      <c r="AC31" s="169">
        <f>Laskenta_vuosihyötysuhde!W27</f>
        <v>9.5501176470588227</v>
      </c>
      <c r="AD31" s="24"/>
    </row>
    <row r="32" spans="2:30" ht="15" customHeight="1" x14ac:dyDescent="0.2">
      <c r="B32" s="12"/>
      <c r="C32"/>
      <c r="D32"/>
      <c r="E32"/>
      <c r="F32"/>
      <c r="G32"/>
      <c r="H32"/>
      <c r="I32"/>
      <c r="J32"/>
      <c r="K32"/>
      <c r="L32"/>
      <c r="M32"/>
      <c r="N32"/>
      <c r="O32" s="24"/>
      <c r="Q32" s="12"/>
      <c r="R32" s="270"/>
      <c r="S32" s="739"/>
      <c r="T32" s="740"/>
      <c r="U32" s="154"/>
      <c r="V32" s="143"/>
      <c r="W32" s="163">
        <f>Laskenta_vuosihyötysuhde!F28</f>
        <v>-10</v>
      </c>
      <c r="X32" s="164">
        <f>Laskenta_vuosihyötysuhde!G28</f>
        <v>4.9086757990867581E-3</v>
      </c>
      <c r="Y32" s="165">
        <f>Laskenta_vuosihyötysuhde!I28</f>
        <v>-3.6711372549019572</v>
      </c>
      <c r="Z32" s="166">
        <f>Laskenta_vuosihyötysuhde!N28</f>
        <v>14.671137254901957</v>
      </c>
      <c r="AA32" s="167">
        <f>Laskenta_vuosihyötysuhde!U28</f>
        <v>40.041666666666664</v>
      </c>
      <c r="AB32" s="168">
        <f>Laskenta_vuosihyötysuhde!V28</f>
        <v>31.866885620915031</v>
      </c>
      <c r="AC32" s="169">
        <f>Laskenta_vuosihyötysuhde!W28</f>
        <v>31.866885620915031</v>
      </c>
      <c r="AD32" s="24"/>
    </row>
    <row r="33" spans="2:30" ht="15" customHeight="1" x14ac:dyDescent="0.15">
      <c r="B33" s="12"/>
      <c r="C33"/>
      <c r="D33"/>
      <c r="E33" s="665">
        <f>IF(Tulokset!$AC$7,Tulostus!E37,Tulostus!E38)</f>
        <v>40</v>
      </c>
      <c r="F33" s="603"/>
      <c r="G33" s="665">
        <f>IF(Tulokset!$AC$7,Tulostus!G37,Tulostus!G38)</f>
        <v>40</v>
      </c>
      <c r="H33"/>
      <c r="I33"/>
      <c r="J33"/>
      <c r="K33"/>
      <c r="L33"/>
      <c r="M33"/>
      <c r="N33"/>
      <c r="O33" s="24"/>
      <c r="Q33" s="12"/>
      <c r="R33" s="253" t="str" cm="1">
        <f t="array" ref="R33">INDEX(Kirjasto!D4:K125,89,Kirjasto!B4)</f>
        <v>Total energy demand for ventilation</v>
      </c>
      <c r="S33" s="252"/>
      <c r="T33" s="256">
        <f>Laskenta_vuosihyötysuhde!Y51</f>
        <v>5111.6711039999991</v>
      </c>
      <c r="U33" s="154" t="s">
        <v>1286</v>
      </c>
      <c r="V33" s="143"/>
      <c r="W33" s="163">
        <f>Laskenta_vuosihyötysuhde!F29</f>
        <v>-9</v>
      </c>
      <c r="X33" s="164">
        <f>Laskenta_vuosihyötysuhde!G29</f>
        <v>6.735159817351598E-3</v>
      </c>
      <c r="Y33" s="165">
        <f>Laskenta_vuosihyötysuhde!I29</f>
        <v>-2.875294117647055</v>
      </c>
      <c r="Z33" s="166">
        <f>Laskenta_vuosihyötysuhde!N29</f>
        <v>14.875294117647055</v>
      </c>
      <c r="AA33" s="167">
        <f>Laskenta_vuosihyötysuhde!U29</f>
        <v>19.999999999999996</v>
      </c>
      <c r="AB33" s="168">
        <f>Laskenta_vuosihyötysuhde!V29</f>
        <v>15.916862745098035</v>
      </c>
      <c r="AC33" s="169">
        <f>Laskenta_vuosihyötysuhde!W29</f>
        <v>15.916862745098035</v>
      </c>
      <c r="AD33" s="24"/>
    </row>
    <row r="34" spans="2:30" ht="15" customHeight="1" x14ac:dyDescent="0.15">
      <c r="B34" s="12"/>
      <c r="C34"/>
      <c r="D34"/>
      <c r="E34"/>
      <c r="F34"/>
      <c r="G34"/>
      <c r="H34"/>
      <c r="I34"/>
      <c r="J34"/>
      <c r="K34"/>
      <c r="L34"/>
      <c r="M34"/>
      <c r="N34"/>
      <c r="O34" s="24"/>
      <c r="Q34" s="12"/>
      <c r="R34" s="253" t="str" cm="1">
        <f t="array" ref="R34">INDEX(Kirjasto!D4:K125,90,Kirjasto!B4)</f>
        <v>Recovered heating energy</v>
      </c>
      <c r="S34" s="252"/>
      <c r="T34" s="256">
        <f>Laskenta_vuosihyötysuhde!Z51</f>
        <v>4068.0883680225875</v>
      </c>
      <c r="U34" s="154" t="s">
        <v>1286</v>
      </c>
      <c r="V34" s="143"/>
      <c r="W34" s="163">
        <f>Laskenta_vuosihyötysuhde!F30</f>
        <v>-8</v>
      </c>
      <c r="X34" s="164">
        <f>Laskenta_vuosihyötysuhde!G30</f>
        <v>9.1324200913242004E-3</v>
      </c>
      <c r="Y34" s="165">
        <f>Laskenta_vuosihyötysuhde!I30</f>
        <v>-2.0794509803921528</v>
      </c>
      <c r="Z34" s="166">
        <f>Laskenta_vuosihyötysuhde!N30</f>
        <v>15.079450980392153</v>
      </c>
      <c r="AA34" s="167">
        <f>Laskenta_vuosihyötysuhde!U30</f>
        <v>25.374999999999996</v>
      </c>
      <c r="AB34" s="168">
        <f>Laskenta_vuosihyötysuhde!V30</f>
        <v>20.194519607843134</v>
      </c>
      <c r="AC34" s="169">
        <f>Laskenta_vuosihyötysuhde!W30</f>
        <v>20.194519607843134</v>
      </c>
      <c r="AD34" s="24"/>
    </row>
    <row r="35" spans="2:30" x14ac:dyDescent="0.15">
      <c r="B35" s="12"/>
      <c r="C35" s="2" t="str" cm="1">
        <f t="array" ref="C35">INDEX(Kirjasto!D4:K150,133,Kirjasto!B4)</f>
        <v>Operating point (insert air flow and pressure difference values):</v>
      </c>
      <c r="D35"/>
      <c r="E35"/>
      <c r="F35"/>
      <c r="G35"/>
      <c r="H35"/>
      <c r="I35"/>
      <c r="J35" s="2" t="str" cm="1">
        <f t="array" ref="J35">INDEX(Kirjasto!D4:K150,134,Kirjasto!B4)</f>
        <v>Boost situation calculation:</v>
      </c>
      <c r="K35"/>
      <c r="L35"/>
      <c r="M35"/>
      <c r="N35"/>
      <c r="O35" s="24"/>
      <c r="Q35" s="12"/>
      <c r="R35" s="14" t="str" cm="1">
        <f t="array" ref="R35">INDEX(Kirjasto!D4:K200,145,Kirjasto!B4)</f>
        <v>Electricity consumption of fans and electronics</v>
      </c>
      <c r="S35" s="144"/>
      <c r="T35" s="741">
        <f>Laskenta_vuosihyötysuhde!AG8</f>
        <v>319.05838038482716</v>
      </c>
      <c r="U35" s="171" t="s">
        <v>1286</v>
      </c>
      <c r="V35" s="143"/>
      <c r="W35" s="163">
        <f>Laskenta_vuosihyötysuhde!F31</f>
        <v>-7</v>
      </c>
      <c r="X35" s="164">
        <f>Laskenta_vuosihyötysuhde!G31</f>
        <v>1.1301369863013699E-2</v>
      </c>
      <c r="Y35" s="165">
        <f>Laskenta_vuosihyötysuhde!I31</f>
        <v>-1.2836078431372506</v>
      </c>
      <c r="Z35" s="166">
        <f>Laskenta_vuosihyötysuhde!N31</f>
        <v>15.283607843137251</v>
      </c>
      <c r="AA35" s="167">
        <f>Laskenta_vuosihyötysuhde!U31</f>
        <v>22.166666666666675</v>
      </c>
      <c r="AB35" s="168">
        <f>Laskenta_vuosihyötysuhde!V31</f>
        <v>17.641189542483666</v>
      </c>
      <c r="AC35" s="169">
        <f>Laskenta_vuosihyötysuhde!W31</f>
        <v>17.641189542483666</v>
      </c>
      <c r="AD35" s="24"/>
    </row>
    <row r="36" spans="2:30" ht="15.75" customHeight="1" x14ac:dyDescent="0.15">
      <c r="B36" s="12"/>
      <c r="C36" s="23"/>
      <c r="D36" s="22"/>
      <c r="E36" s="616" t="str">
        <f>Kirjasto!M17</f>
        <v>Supply air</v>
      </c>
      <c r="F36" s="22"/>
      <c r="G36" s="616" t="str">
        <f>Kirjasto!M18</f>
        <v>Extract air</v>
      </c>
      <c r="H36" s="21"/>
      <c r="I36"/>
      <c r="J36" s="868" t="str" cm="1">
        <f t="array" ref="J36">INDEX(Kirjasto!D4:K150,135,Kirjasto!B4)</f>
        <v>Maximum
boost reserve:</v>
      </c>
      <c r="K36" s="869"/>
      <c r="L36" s="841" t="str">
        <f>Kirjasto!M17</f>
        <v>Supply air</v>
      </c>
      <c r="M36" s="841" t="str">
        <f>Kirjasto!M18</f>
        <v>Extract air</v>
      </c>
      <c r="N36" s="21"/>
      <c r="O36" s="24"/>
      <c r="Q36" s="12"/>
      <c r="R36"/>
      <c r="S36" s="143"/>
      <c r="T36" s="143"/>
      <c r="U36" s="143"/>
      <c r="V36" s="143"/>
      <c r="W36" s="163">
        <f>Laskenta_vuosihyötysuhde!F32</f>
        <v>-6</v>
      </c>
      <c r="X36" s="164">
        <f>Laskenta_vuosihyötysuhde!G32</f>
        <v>2.3858447488584476E-2</v>
      </c>
      <c r="Y36" s="165">
        <f>Laskenta_vuosihyötysuhde!I32</f>
        <v>-0.48776470588234844</v>
      </c>
      <c r="Z36" s="166">
        <f>Laskenta_vuosihyötysuhde!N32</f>
        <v>15.487764705882348</v>
      </c>
      <c r="AA36" s="167">
        <f>Laskenta_vuosihyötysuhde!U32</f>
        <v>123.75000000000001</v>
      </c>
      <c r="AB36" s="168">
        <f>Laskenta_vuosihyötysuhde!V32</f>
        <v>98.485588235294117</v>
      </c>
      <c r="AC36" s="169">
        <f>Laskenta_vuosihyötysuhde!W32</f>
        <v>98.485588235294117</v>
      </c>
      <c r="AD36" s="24"/>
    </row>
    <row r="37" spans="2:30" ht="14.25" customHeight="1" x14ac:dyDescent="0.15">
      <c r="B37" s="12"/>
      <c r="C37" s="602" t="str" cm="1">
        <f t="array" ref="C37">INDEX(Kirjasto!D4:K150,21,Kirjasto!B4)</f>
        <v>Air volume flow:</v>
      </c>
      <c r="D37" s="76"/>
      <c r="E37" s="650">
        <v>144</v>
      </c>
      <c r="F37" s="603" t="str">
        <f>Tulokset!$AC$10</f>
        <v>m³/h</v>
      </c>
      <c r="G37" s="650">
        <v>144</v>
      </c>
      <c r="H37" s="604" t="str">
        <f>Tulokset!$AC$10</f>
        <v>m³/h</v>
      </c>
      <c r="I37" s="603"/>
      <c r="J37" s="870"/>
      <c r="K37" s="871"/>
      <c r="L37" s="649">
        <f>Tulokset!CV37</f>
        <v>1.0447082616601771</v>
      </c>
      <c r="M37" s="649">
        <f>Tulokset!CW37</f>
        <v>1.2244599184395049</v>
      </c>
      <c r="N37" s="24"/>
      <c r="O37" s="24"/>
      <c r="Q37" s="12"/>
      <c r="R37"/>
      <c r="S37" s="143"/>
      <c r="T37" s="143"/>
      <c r="U37" s="143"/>
      <c r="V37" s="143"/>
      <c r="W37" s="163">
        <f>Laskenta_vuosihyötysuhde!F33</f>
        <v>-5</v>
      </c>
      <c r="X37" s="164">
        <f>Laskenta_vuosihyötysuhde!G33</f>
        <v>4.2922374429223746E-2</v>
      </c>
      <c r="Y37" s="165">
        <f>Laskenta_vuosihyötysuhde!I33</f>
        <v>0.3080784313725502</v>
      </c>
      <c r="Z37" s="166">
        <f>Laskenta_vuosihyötysuhde!N33</f>
        <v>15.69192156862745</v>
      </c>
      <c r="AA37" s="167">
        <f>Laskenta_vuosihyötysuhde!U33</f>
        <v>180.91666666666666</v>
      </c>
      <c r="AB37" s="168">
        <f>Laskenta_vuosihyötysuhde!V33</f>
        <v>143.98128758169935</v>
      </c>
      <c r="AC37" s="169">
        <f>Laskenta_vuosihyötysuhde!W33</f>
        <v>143.98128758169935</v>
      </c>
      <c r="AD37" s="24"/>
    </row>
    <row r="38" spans="2:30" ht="14" thickBot="1" x14ac:dyDescent="0.2">
      <c r="B38" s="12"/>
      <c r="C38" s="605"/>
      <c r="D38" s="592"/>
      <c r="E38" s="631">
        <f>Tulokset!AC15</f>
        <v>40</v>
      </c>
      <c r="F38" s="603" t="str">
        <f>Tulokset!$AC$11</f>
        <v>dm³/s</v>
      </c>
      <c r="G38" s="631">
        <f>Tulokset!AD15</f>
        <v>40</v>
      </c>
      <c r="H38" s="604" t="str">
        <f>Tulokset!$AC$11</f>
        <v>dm³/s</v>
      </c>
      <c r="I38" s="603"/>
      <c r="J38" s="600"/>
      <c r="K38"/>
      <c r="L38"/>
      <c r="M38"/>
      <c r="N38" s="24"/>
      <c r="O38" s="24"/>
      <c r="Q38" s="12"/>
      <c r="R38"/>
      <c r="S38" s="143"/>
      <c r="T38" s="143"/>
      <c r="U38" s="143"/>
      <c r="V38" s="143"/>
      <c r="W38" s="163">
        <f>Laskenta_vuosihyötysuhde!F34</f>
        <v>-4</v>
      </c>
      <c r="X38" s="164">
        <f>Laskenta_vuosihyötysuhde!G34</f>
        <v>5.6849315068493153E-2</v>
      </c>
      <c r="Y38" s="165">
        <f>Laskenta_vuosihyötysuhde!I34</f>
        <v>1.1039215686274524</v>
      </c>
      <c r="Z38" s="166">
        <f>Laskenta_vuosihyötysuhde!N34</f>
        <v>15.896078431372548</v>
      </c>
      <c r="AA38" s="167">
        <f>Laskenta_vuosihyötysuhde!U34</f>
        <v>127.08333333333334</v>
      </c>
      <c r="AB38" s="168">
        <f>Laskenta_vuosihyötysuhde!V34</f>
        <v>101.13839869281044</v>
      </c>
      <c r="AC38" s="169">
        <f>Laskenta_vuosihyötysuhde!W34</f>
        <v>101.13839869281044</v>
      </c>
      <c r="AD38" s="24"/>
    </row>
    <row r="39" spans="2:30" ht="14" thickTop="1" x14ac:dyDescent="0.15">
      <c r="B39" s="12"/>
      <c r="C39" s="602" t="str" cm="1">
        <f t="array" ref="C39">INDEX(Kirjasto!D4:K150,22,Kirjasto!B4)</f>
        <v>Pressure difference:</v>
      </c>
      <c r="D39" s="76"/>
      <c r="E39" s="634">
        <v>50</v>
      </c>
      <c r="F39" s="603" t="s">
        <v>14</v>
      </c>
      <c r="G39" s="634">
        <v>50</v>
      </c>
      <c r="H39" s="604" t="s">
        <v>14</v>
      </c>
      <c r="I39" s="603"/>
      <c r="J39" s="627" t="str" cm="1">
        <f t="array" ref="J39">INDEX(Kirjasto!D4:K150,136,Kirjasto!B4)</f>
        <v>Insert the desired boost value:</v>
      </c>
      <c r="K39"/>
      <c r="L39"/>
      <c r="M39"/>
      <c r="N39" s="24"/>
      <c r="O39" s="24"/>
      <c r="Q39" s="12"/>
      <c r="R39"/>
      <c r="S39" s="143"/>
      <c r="T39" s="143"/>
      <c r="U39" s="143"/>
      <c r="V39" s="143"/>
      <c r="W39" s="163">
        <f>Laskenta_vuosihyötysuhde!F35</f>
        <v>-3</v>
      </c>
      <c r="X39" s="164">
        <f>Laskenta_vuosihyötysuhde!G35</f>
        <v>8.0936073059360736E-2</v>
      </c>
      <c r="Y39" s="165">
        <f>Laskenta_vuosihyötysuhde!I35</f>
        <v>1.8997647058823546</v>
      </c>
      <c r="Z39" s="166">
        <f>Laskenta_vuosihyötysuhde!N35</f>
        <v>16.100235294117645</v>
      </c>
      <c r="AA39" s="167">
        <f>Laskenta_vuosihyötysuhde!U35</f>
        <v>211.00000000000003</v>
      </c>
      <c r="AB39" s="168">
        <f>Laskenta_vuosihyötysuhde!V35</f>
        <v>167.92290196078432</v>
      </c>
      <c r="AC39" s="169">
        <f>Laskenta_vuosihyötysuhde!W35</f>
        <v>167.92290196078432</v>
      </c>
      <c r="AD39" s="24"/>
    </row>
    <row r="40" spans="2:30" x14ac:dyDescent="0.15">
      <c r="B40" s="12"/>
      <c r="C40" s="12"/>
      <c r="D40"/>
      <c r="E40" s="651" t="str">
        <f>Tulokset!D37</f>
        <v/>
      </c>
      <c r="F40" s="652"/>
      <c r="G40" s="651" t="str">
        <f>Tulokset!G37</f>
        <v/>
      </c>
      <c r="H40" s="24"/>
      <c r="I40"/>
      <c r="J40" s="840" t="str" cm="1">
        <f t="array" ref="J40">INDEX(Kirjasto!D4:K150,137,Kirjasto!B4)</f>
        <v>Boost value [%]:</v>
      </c>
      <c r="K40" s="76"/>
      <c r="L40" s="76"/>
      <c r="M40" s="842">
        <v>0.2</v>
      </c>
      <c r="N40" s="24"/>
      <c r="O40" s="24"/>
      <c r="P40" s="89"/>
      <c r="Q40" s="12"/>
      <c r="R40"/>
      <c r="S40" s="143"/>
      <c r="T40" s="143"/>
      <c r="U40" s="143"/>
      <c r="V40" s="143"/>
      <c r="W40" s="163">
        <f>Laskenta_vuosihyötysuhde!F36</f>
        <v>-2</v>
      </c>
      <c r="X40" s="164">
        <f>Laskenta_vuosihyötysuhde!G36</f>
        <v>0.1110730593607306</v>
      </c>
      <c r="Y40" s="165">
        <f>Laskenta_vuosihyötysuhde!I36</f>
        <v>2.6956078431372568</v>
      </c>
      <c r="Z40" s="166">
        <f>Laskenta_vuosihyötysuhde!N36</f>
        <v>16.304392156862743</v>
      </c>
      <c r="AA40" s="167">
        <f>Laskenta_vuosihyötysuhde!U36</f>
        <v>253.00000000000003</v>
      </c>
      <c r="AB40" s="168">
        <f>Laskenta_vuosihyötysuhde!V36</f>
        <v>201.34831372549019</v>
      </c>
      <c r="AC40" s="169">
        <f>Laskenta_vuosihyötysuhde!W36</f>
        <v>201.34831372549019</v>
      </c>
      <c r="AD40" s="24"/>
    </row>
    <row r="41" spans="2:30" ht="26.5" customHeight="1" x14ac:dyDescent="0.15">
      <c r="B41" s="12"/>
      <c r="C41" s="601"/>
      <c r="D41"/>
      <c r="E41" s="839" t="str" cm="1">
        <f t="array" ref="E41">INDEX(Kirjasto!D4:K125,25,Kirjasto!B4)</f>
        <v>Supply fan:</v>
      </c>
      <c r="F41"/>
      <c r="G41" s="839" t="str" cm="1">
        <f t="array" ref="G41">INDEX(Kirjasto!D4:K125,28,Kirjasto!B4)</f>
        <v>Extract fan:</v>
      </c>
      <c r="H41" s="24"/>
      <c r="I41"/>
      <c r="J41" s="600"/>
      <c r="K41"/>
      <c r="L41" s="646" t="str">
        <f>Tulokset!CX37</f>
        <v/>
      </c>
      <c r="M41"/>
      <c r="N41" s="24"/>
      <c r="O41" s="24"/>
      <c r="Q41" s="12"/>
      <c r="R41"/>
      <c r="S41" s="143"/>
      <c r="T41" s="143"/>
      <c r="U41" s="143"/>
      <c r="V41" s="143"/>
      <c r="W41" s="163">
        <f>Laskenta_vuosihyötysuhde!F37</f>
        <v>-1</v>
      </c>
      <c r="X41" s="164">
        <f>Laskenta_vuosihyötysuhde!G37</f>
        <v>0.15719178082191781</v>
      </c>
      <c r="Y41" s="165">
        <f>Laskenta_vuosihyötysuhde!I37</f>
        <v>3.491450980392159</v>
      </c>
      <c r="Z41" s="166">
        <f>Laskenta_vuosihyötysuhde!N37</f>
        <v>16.508549019607841</v>
      </c>
      <c r="AA41" s="167">
        <f>Laskenta_vuosihyötysuhde!U37</f>
        <v>370.33333333333337</v>
      </c>
      <c r="AB41" s="168">
        <f>Laskenta_vuosihyötysuhde!V37</f>
        <v>294.72724183006534</v>
      </c>
      <c r="AC41" s="169">
        <f>Laskenta_vuosihyötysuhde!W37</f>
        <v>294.72724183006534</v>
      </c>
      <c r="AD41" s="24"/>
    </row>
    <row r="42" spans="2:30" x14ac:dyDescent="0.15">
      <c r="B42" s="12"/>
      <c r="C42" s="602" t="str" cm="1">
        <f t="array" ref="C42">INDEX(Kirjasto!D4:K125,26,Kirjasto!B4)</f>
        <v>Control voltage:</v>
      </c>
      <c r="D42" s="76"/>
      <c r="E42" s="632">
        <f>Tulokset!E37</f>
        <v>4.6056989925805771</v>
      </c>
      <c r="F42" t="s">
        <v>25</v>
      </c>
      <c r="G42" s="632">
        <f>Tulokset!H37</f>
        <v>4.0607088592057181</v>
      </c>
      <c r="H42" s="24" t="s">
        <v>25</v>
      </c>
      <c r="I42"/>
      <c r="J42" s="627" t="str" cm="1">
        <f t="array" ref="J42">INDEX(Kirjasto!D4:K150,138,Kirjasto!B4)</f>
        <v>Operating point in boost situation:</v>
      </c>
      <c r="K42"/>
      <c r="L42"/>
      <c r="M42"/>
      <c r="N42" s="24"/>
      <c r="O42" s="24"/>
      <c r="Q42" s="12"/>
      <c r="R42"/>
      <c r="S42" s="143"/>
      <c r="T42" s="143"/>
      <c r="U42" s="143"/>
      <c r="V42" s="143"/>
      <c r="W42" s="163">
        <f>Laskenta_vuosihyötysuhde!F38</f>
        <v>0</v>
      </c>
      <c r="X42" s="164">
        <f>Laskenta_vuosihyötysuhde!G38</f>
        <v>0.21255707762557077</v>
      </c>
      <c r="Y42" s="165">
        <f>Laskenta_vuosihyötysuhde!I38</f>
        <v>4.2872941176470611</v>
      </c>
      <c r="Z42" s="166">
        <f>Laskenta_vuosihyötysuhde!N38</f>
        <v>16.712705882352939</v>
      </c>
      <c r="AA42" s="167">
        <f>Laskenta_vuosihyötysuhde!U38</f>
        <v>424.37499999999994</v>
      </c>
      <c r="AB42" s="168">
        <f>Laskenta_vuosihyötysuhde!V38</f>
        <v>337.73593137254892</v>
      </c>
      <c r="AC42" s="169">
        <f>Laskenta_vuosihyötysuhde!W38</f>
        <v>337.73593137254892</v>
      </c>
      <c r="AD42" s="24"/>
    </row>
    <row r="43" spans="2:30" x14ac:dyDescent="0.15">
      <c r="B43" s="12"/>
      <c r="C43" s="602" t="str" cm="1">
        <f t="array" ref="C43">INDEX(Kirjasto!D4:K125,27,Kirjasto!B4)</f>
        <v>Fan power:</v>
      </c>
      <c r="D43" s="76"/>
      <c r="E43" s="632">
        <f>Tulokset!F37</f>
        <v>17.415404182904666</v>
      </c>
      <c r="F43" t="s">
        <v>49</v>
      </c>
      <c r="G43" s="632">
        <f>Tulokset!I37</f>
        <v>14.606785358742272</v>
      </c>
      <c r="H43" s="24" t="s">
        <v>49</v>
      </c>
      <c r="I43"/>
      <c r="J43" s="12"/>
      <c r="K43"/>
      <c r="L43" s="851" t="str">
        <f>Kirjasto!M17</f>
        <v>Supply air</v>
      </c>
      <c r="M43" s="851" t="str">
        <f>Kirjasto!M18</f>
        <v>Extract air</v>
      </c>
      <c r="N43" s="24"/>
      <c r="O43" s="24"/>
      <c r="Q43" s="12"/>
      <c r="R43"/>
      <c r="S43" s="143"/>
      <c r="T43" s="143"/>
      <c r="U43" s="143"/>
      <c r="V43" s="143"/>
      <c r="W43" s="163">
        <f>Laskenta_vuosihyötysuhde!F39</f>
        <v>1</v>
      </c>
      <c r="X43" s="164">
        <f>Laskenta_vuosihyötysuhde!G39</f>
        <v>0.24155251141552511</v>
      </c>
      <c r="Y43" s="165">
        <f>Laskenta_vuosihyötysuhde!I39</f>
        <v>5.0831372549019633</v>
      </c>
      <c r="Z43" s="166">
        <f>Laskenta_vuosihyötysuhde!N39</f>
        <v>16.916862745098037</v>
      </c>
      <c r="AA43" s="167">
        <f>Laskenta_vuosihyötysuhde!U39</f>
        <v>211.66666666666669</v>
      </c>
      <c r="AB43" s="168">
        <f>Laskenta_vuosihyötysuhde!V39</f>
        <v>168.45346405228756</v>
      </c>
      <c r="AC43" s="169">
        <f>Laskenta_vuosihyötysuhde!W39</f>
        <v>168.45346405228756</v>
      </c>
      <c r="AD43" s="24"/>
    </row>
    <row r="44" spans="2:30" ht="15" customHeight="1" x14ac:dyDescent="0.15">
      <c r="B44" s="12"/>
      <c r="C44" s="12"/>
      <c r="D44"/>
      <c r="E44"/>
      <c r="F44"/>
      <c r="G44"/>
      <c r="H44" s="24"/>
      <c r="I44"/>
      <c r="J44" s="840" t="str" cm="1">
        <f t="array" ref="J44">INDEX(Kirjasto!D4:K150,21,Kirjasto!B4)</f>
        <v>Air volume flow:</v>
      </c>
      <c r="K44" s="76"/>
      <c r="L44" s="633">
        <f>Tulokset!CR37</f>
        <v>172.8</v>
      </c>
      <c r="M44" s="633">
        <f>Tulokset!CS37</f>
        <v>172.8</v>
      </c>
      <c r="N44" s="24" t="str">
        <f>Tulokset!$AC$10</f>
        <v>m³/h</v>
      </c>
      <c r="O44" s="24"/>
      <c r="Q44" s="12"/>
      <c r="R44"/>
      <c r="S44" s="143"/>
      <c r="T44" s="143"/>
      <c r="U44" s="143"/>
      <c r="V44" s="143"/>
      <c r="W44" s="163">
        <f>Laskenta_vuosihyötysuhde!F40</f>
        <v>2</v>
      </c>
      <c r="X44" s="164">
        <f>Laskenta_vuosihyötysuhde!G40</f>
        <v>0.30034246575342466</v>
      </c>
      <c r="Y44" s="165">
        <f>Laskenta_vuosihyötysuhde!I40</f>
        <v>5.8789803921568655</v>
      </c>
      <c r="Z44" s="166">
        <f>Laskenta_vuosihyötysuhde!N40</f>
        <v>17.121019607843134</v>
      </c>
      <c r="AA44" s="167">
        <f>Laskenta_vuosihyötysuhde!U40</f>
        <v>407.70833333333337</v>
      </c>
      <c r="AB44" s="168">
        <f>Laskenta_vuosihyötysuhde!V40</f>
        <v>324.47187908496727</v>
      </c>
      <c r="AC44" s="169">
        <f>Laskenta_vuosihyötysuhde!W40</f>
        <v>324.47187908496727</v>
      </c>
      <c r="AD44" s="24"/>
    </row>
    <row r="45" spans="2:30" ht="14.25" customHeight="1" x14ac:dyDescent="0.15">
      <c r="B45" s="12"/>
      <c r="C45" s="606" t="str" cm="1">
        <f t="array" ref="C45">INDEX(Kirjasto!D4:K200,29,Kirjasto!B4)</f>
        <v>Total power:</v>
      </c>
      <c r="D45" s="123">
        <f>Tulokset!K37</f>
        <v>36.422189541646937</v>
      </c>
      <c r="E45" s="2" t="s">
        <v>49</v>
      </c>
      <c r="F45"/>
      <c r="G45"/>
      <c r="H45" s="24"/>
      <c r="I45"/>
      <c r="J45" s="850"/>
      <c r="K45"/>
      <c r="L45" s="633">
        <f>Tulokset!CR38</f>
        <v>48</v>
      </c>
      <c r="M45" s="633">
        <f>Tulokset!CS38</f>
        <v>48</v>
      </c>
      <c r="N45" s="24" t="str">
        <f>Tulokset!$AC$11</f>
        <v>dm³/s</v>
      </c>
      <c r="O45" s="24"/>
      <c r="Q45" s="12"/>
      <c r="R45"/>
      <c r="S45" s="143"/>
      <c r="T45" s="143"/>
      <c r="U45" s="143"/>
      <c r="V45" s="143"/>
      <c r="W45" s="163">
        <f>Laskenta_vuosihyötysuhde!F41</f>
        <v>3</v>
      </c>
      <c r="X45" s="164">
        <f>Laskenta_vuosihyötysuhde!G41</f>
        <v>0.3485159817351598</v>
      </c>
      <c r="Y45" s="165">
        <f>Laskenta_vuosihyötysuhde!I41</f>
        <v>6.6748235294117659</v>
      </c>
      <c r="Z45" s="166">
        <f>Laskenta_vuosihyötysuhde!N41</f>
        <v>17.325176470588232</v>
      </c>
      <c r="AA45" s="167">
        <f>Laskenta_vuosihyötysuhde!U41</f>
        <v>316.49999999999983</v>
      </c>
      <c r="AB45" s="168">
        <f>Laskenta_vuosihyötysuhde!V41</f>
        <v>251.88435294117633</v>
      </c>
      <c r="AC45" s="169">
        <f>Laskenta_vuosihyötysuhde!W41</f>
        <v>251.88435294117633</v>
      </c>
      <c r="AD45" s="24"/>
    </row>
    <row r="46" spans="2:30" ht="15" customHeight="1" x14ac:dyDescent="0.25">
      <c r="B46" s="12"/>
      <c r="C46" s="606" t="str" cm="1">
        <f t="array" ref="C46">INDEX(Kirjasto!D4:K200,30,Kirjasto!B4)</f>
        <v>SFP:</v>
      </c>
      <c r="D46" s="479">
        <f>Tulokset!L37</f>
        <v>0.91055473854117341</v>
      </c>
      <c r="E46" s="2" t="s">
        <v>1106</v>
      </c>
      <c r="F46" s="424" t="s">
        <v>550</v>
      </c>
      <c r="G46" s="444" t="str">
        <f>Tulokset!CI37</f>
        <v>-</v>
      </c>
      <c r="H46" s="610" t="s">
        <v>1105</v>
      </c>
      <c r="I46"/>
      <c r="J46" s="840" t="str" cm="1">
        <f t="array" ref="J46">INDEX(Kirjasto!D4:K150,22,Kirjasto!B4)</f>
        <v>Pressure difference:</v>
      </c>
      <c r="K46" s="76"/>
      <c r="L46" s="633">
        <f>Tulokset!CT37</f>
        <v>72</v>
      </c>
      <c r="M46" s="633">
        <f>Tulokset!CU37</f>
        <v>72</v>
      </c>
      <c r="N46" s="24" t="s">
        <v>14</v>
      </c>
      <c r="O46" s="24"/>
      <c r="Q46" s="12"/>
      <c r="R46"/>
      <c r="S46" s="143"/>
      <c r="T46" s="143"/>
      <c r="U46" s="143"/>
      <c r="V46" s="143"/>
      <c r="W46" s="163">
        <f>Laskenta_vuosihyötysuhde!F42</f>
        <v>4</v>
      </c>
      <c r="X46" s="164">
        <f>Laskenta_vuosihyötysuhde!G42</f>
        <v>0.40251141552511416</v>
      </c>
      <c r="Y46" s="165">
        <f>Laskenta_vuosihyötysuhde!I42</f>
        <v>7.4706666666666681</v>
      </c>
      <c r="Z46" s="166">
        <f>Laskenta_vuosihyötysuhde!N42</f>
        <v>17.529333333333334</v>
      </c>
      <c r="AA46" s="167">
        <f>Laskenta_vuosihyötysuhde!U42</f>
        <v>335.04166666666686</v>
      </c>
      <c r="AB46" s="168">
        <f>Laskenta_vuosihyötysuhde!V42</f>
        <v>266.64061111111124</v>
      </c>
      <c r="AC46" s="169">
        <f>Laskenta_vuosihyötysuhde!W42</f>
        <v>266.64061111111118</v>
      </c>
      <c r="AD46" s="24"/>
    </row>
    <row r="47" spans="2:30" ht="17" x14ac:dyDescent="0.25">
      <c r="B47" s="12"/>
      <c r="C47" s="606" t="s">
        <v>1103</v>
      </c>
      <c r="D47" s="479">
        <f>Tulokset!R41</f>
        <v>0.25293187181699262</v>
      </c>
      <c r="E47" s="2" t="s">
        <v>1104</v>
      </c>
      <c r="F47" s="424" t="s">
        <v>575</v>
      </c>
      <c r="G47" s="444" t="str">
        <f>Tulokset!CJ37</f>
        <v>-</v>
      </c>
      <c r="H47" s="610" t="s">
        <v>1105</v>
      </c>
      <c r="I47"/>
      <c r="J47" s="840" t="str" cm="1">
        <f t="array" ref="J47">INDEX(Kirjasto!D4:K150,26,Kirjasto!B4)</f>
        <v>Control voltage:</v>
      </c>
      <c r="K47" s="76"/>
      <c r="L47" s="632">
        <f>Tulokset!CZ37</f>
        <v>5.3310493925409403</v>
      </c>
      <c r="M47" s="632">
        <f>Tulokset!DA37</f>
        <v>4.7292356585093431</v>
      </c>
      <c r="N47" s="24" t="s">
        <v>25</v>
      </c>
      <c r="O47" s="24"/>
      <c r="Q47" s="12"/>
      <c r="R47"/>
      <c r="S47" s="143"/>
      <c r="T47" s="143"/>
      <c r="U47" s="143"/>
      <c r="V47" s="143"/>
      <c r="W47" s="163">
        <f>Laskenta_vuosihyötysuhde!F43</f>
        <v>5</v>
      </c>
      <c r="X47" s="164">
        <f>Laskenta_vuosihyötysuhde!G43</f>
        <v>0.44121004566210048</v>
      </c>
      <c r="Y47" s="165">
        <f>Laskenta_vuosihyötysuhde!I43</f>
        <v>8.2665098039215703</v>
      </c>
      <c r="Z47" s="166">
        <f>Laskenta_vuosihyötysuhde!N43</f>
        <v>17.733490196078428</v>
      </c>
      <c r="AA47" s="167">
        <f>Laskenta_vuosihyötysuhde!U43</f>
        <v>226.00000000000011</v>
      </c>
      <c r="AB47" s="168">
        <f>Laskenta_vuosihyötysuhde!V43</f>
        <v>179.8605490196079</v>
      </c>
      <c r="AC47" s="169">
        <f>Laskenta_vuosihyötysuhde!W43</f>
        <v>179.86054901960793</v>
      </c>
      <c r="AD47" s="24"/>
    </row>
    <row r="48" spans="2:30" ht="17.25" customHeight="1" x14ac:dyDescent="0.15">
      <c r="B48" s="12"/>
      <c r="C48" s="666" t="str" cm="1">
        <f t="array" ref="C48">INDEX(Kirjasto!D4:K200,143,Kirjasto!B4)</f>
        <v>Note: The above values also include the device's electronics.</v>
      </c>
      <c r="D48" s="25"/>
      <c r="E48" s="25"/>
      <c r="F48" s="25"/>
      <c r="G48" s="25"/>
      <c r="H48" s="26"/>
      <c r="I48"/>
      <c r="J48" s="612"/>
      <c r="K48" s="613"/>
      <c r="L48" s="613"/>
      <c r="M48" s="614"/>
      <c r="N48" s="615"/>
      <c r="O48" s="24"/>
      <c r="Q48" s="12"/>
      <c r="R48"/>
      <c r="S48" s="143"/>
      <c r="T48" s="143"/>
      <c r="U48" s="143"/>
      <c r="V48" s="143"/>
      <c r="W48" s="163">
        <f>Laskenta_vuosihyötysuhde!F44</f>
        <v>6</v>
      </c>
      <c r="X48" s="164">
        <f>Laskenta_vuosihyötysuhde!G44</f>
        <v>0.46187214611872146</v>
      </c>
      <c r="Y48" s="165">
        <f>Laskenta_vuosihyötysuhde!I44</f>
        <v>9.0623529411764725</v>
      </c>
      <c r="Z48" s="166">
        <f>Laskenta_vuosihyötysuhde!N44</f>
        <v>17.937647058823529</v>
      </c>
      <c r="AA48" s="167">
        <f>Laskenta_vuosihyötysuhde!U44</f>
        <v>113.12499999999986</v>
      </c>
      <c r="AB48" s="168">
        <f>Laskenta_vuosihyötysuhde!V44</f>
        <v>90.029754901960672</v>
      </c>
      <c r="AC48" s="169">
        <f>Laskenta_vuosihyötysuhde!W44</f>
        <v>90.029754901960658</v>
      </c>
      <c r="AD48" s="24"/>
    </row>
    <row r="49" spans="2:30" ht="14.25" customHeight="1" x14ac:dyDescent="0.15">
      <c r="B49" s="12"/>
      <c r="C49"/>
      <c r="D49"/>
      <c r="E49"/>
      <c r="F49"/>
      <c r="G49"/>
      <c r="H49"/>
      <c r="I49"/>
      <c r="J49" s="425"/>
      <c r="K49" s="598"/>
      <c r="L49" s="598"/>
      <c r="M49" s="599"/>
      <c r="N49" s="425"/>
      <c r="O49" s="24"/>
      <c r="Q49" s="12"/>
      <c r="R49"/>
      <c r="S49" s="143"/>
      <c r="T49" s="143"/>
      <c r="U49" s="143"/>
      <c r="V49" s="143"/>
      <c r="W49" s="163">
        <f>Laskenta_vuosihyötysuhde!F45</f>
        <v>7</v>
      </c>
      <c r="X49" s="164">
        <f>Laskenta_vuosihyötysuhde!G45</f>
        <v>0.5044520547945206</v>
      </c>
      <c r="Y49" s="165">
        <f>Laskenta_vuosihyötysuhde!I45</f>
        <v>9.8581960784313747</v>
      </c>
      <c r="Z49" s="166">
        <f>Laskenta_vuosihyötysuhde!N45</f>
        <v>18.141803921568624</v>
      </c>
      <c r="AA49" s="167">
        <f>Laskenta_vuosihyötysuhde!U45</f>
        <v>217.5833333333336</v>
      </c>
      <c r="AB49" s="168">
        <f>Laskenta_vuosihyötysuhde!V45</f>
        <v>173.16220261437923</v>
      </c>
      <c r="AC49" s="169">
        <f>Laskenta_vuosihyötysuhde!W45</f>
        <v>173.16220261437925</v>
      </c>
      <c r="AD49" s="24"/>
    </row>
    <row r="50" spans="2:30" ht="14.25" customHeight="1" x14ac:dyDescent="0.15">
      <c r="B50" s="12"/>
      <c r="C50" s="2" t="str" cm="1">
        <f t="array" ref="C50">INDEX(Kirjasto!D4:K125,31,Kirjasto!B4)</f>
        <v>Sound power levels in connection ducts</v>
      </c>
      <c r="D50"/>
      <c r="E50"/>
      <c r="F50"/>
      <c r="G50"/>
      <c r="H50"/>
      <c r="I50"/>
      <c r="J50"/>
      <c r="K50"/>
      <c r="L50"/>
      <c r="M50"/>
      <c r="N50"/>
      <c r="O50" s="24"/>
      <c r="Q50" s="12"/>
      <c r="R50"/>
      <c r="S50" s="143"/>
      <c r="T50" s="143"/>
      <c r="U50" s="143"/>
      <c r="V50" s="143"/>
      <c r="W50" s="163">
        <f>Laskenta_vuosihyötysuhde!F46</f>
        <v>8</v>
      </c>
      <c r="X50" s="164">
        <f>Laskenta_vuosihyötysuhde!G46</f>
        <v>0.54589041095890412</v>
      </c>
      <c r="Y50" s="165">
        <f>Laskenta_vuosihyötysuhde!I46</f>
        <v>10.654039215686275</v>
      </c>
      <c r="Z50" s="166">
        <f>Laskenta_vuosihyötysuhde!N46</f>
        <v>18.345960784313725</v>
      </c>
      <c r="AA50" s="167">
        <f>Laskenta_vuosihyötysuhde!U46</f>
        <v>196.62499999999977</v>
      </c>
      <c r="AB50" s="168">
        <f>Laskenta_vuosihyötysuhde!V46</f>
        <v>156.48265686274493</v>
      </c>
      <c r="AC50" s="169">
        <f>Laskenta_vuosihyötysuhde!W46</f>
        <v>156.48265686274493</v>
      </c>
      <c r="AD50" s="24"/>
    </row>
    <row r="51" spans="2:30" ht="14.25" customHeight="1" x14ac:dyDescent="0.15">
      <c r="B51" s="12"/>
      <c r="C51" s="855" t="str" cm="1">
        <f t="array" ref="C51">INDEX(Kirjasto!D4:K125,32,Kirjasto!B4)</f>
        <v>Connection duct</v>
      </c>
      <c r="D51" s="905" t="str" cm="1">
        <f t="array" ref="D51">INDEX(Kirjasto!D4:K125,38,Kirjasto!B4)</f>
        <v>Sound power levels in octave bands LW,oct [dB]</v>
      </c>
      <c r="E51" s="905"/>
      <c r="F51" s="905"/>
      <c r="G51" s="905"/>
      <c r="H51" s="905"/>
      <c r="I51" s="905"/>
      <c r="J51" s="905"/>
      <c r="K51" s="905"/>
      <c r="L51" s="905"/>
      <c r="M51" s="904" t="s">
        <v>60</v>
      </c>
      <c r="N51" s="902" t="s">
        <v>69</v>
      </c>
      <c r="O51" s="24"/>
      <c r="Q51" s="12"/>
      <c r="R51"/>
      <c r="S51" s="143"/>
      <c r="T51" s="143"/>
      <c r="U51" s="143"/>
      <c r="V51" s="143"/>
      <c r="W51" s="163">
        <f>Laskenta_vuosihyötysuhde!F47</f>
        <v>9</v>
      </c>
      <c r="X51" s="164">
        <f>Laskenta_vuosihyötysuhde!G47</f>
        <v>0.58036529680365301</v>
      </c>
      <c r="Y51" s="165">
        <f>Laskenta_vuosihyötysuhde!I47</f>
        <v>11.449882352941177</v>
      </c>
      <c r="Z51" s="166">
        <f>Laskenta_vuosihyötysuhde!N47</f>
        <v>18.550117647058823</v>
      </c>
      <c r="AA51" s="167">
        <f>Laskenta_vuosihyötysuhde!U47</f>
        <v>151.00000000000014</v>
      </c>
      <c r="AB51" s="168">
        <f>Laskenta_vuosihyötysuhde!V47</f>
        <v>120.1723137254903</v>
      </c>
      <c r="AC51" s="169">
        <f>Laskenta_vuosihyötysuhde!W47</f>
        <v>120.1723137254903</v>
      </c>
      <c r="AD51" s="24"/>
    </row>
    <row r="52" spans="2:30" ht="14.25" customHeight="1" x14ac:dyDescent="0.15">
      <c r="B52" s="12"/>
      <c r="C52" s="855"/>
      <c r="D52" s="92" t="s">
        <v>61</v>
      </c>
      <c r="E52" s="93" t="s">
        <v>62</v>
      </c>
      <c r="F52" s="93" t="s">
        <v>63</v>
      </c>
      <c r="G52" s="93" t="s">
        <v>64</v>
      </c>
      <c r="H52" s="93" t="s">
        <v>65</v>
      </c>
      <c r="I52" s="858" t="s">
        <v>66</v>
      </c>
      <c r="J52" s="859"/>
      <c r="K52" s="93" t="s">
        <v>67</v>
      </c>
      <c r="L52" s="94" t="s">
        <v>68</v>
      </c>
      <c r="M52" s="905"/>
      <c r="N52" s="903"/>
      <c r="O52" s="24"/>
      <c r="Q52" s="12"/>
      <c r="R52"/>
      <c r="S52" s="143"/>
      <c r="T52" s="143"/>
      <c r="U52" s="143"/>
      <c r="V52" s="143"/>
      <c r="W52" s="163">
        <f>Laskenta_vuosihyötysuhde!F48</f>
        <v>10</v>
      </c>
      <c r="X52" s="164">
        <f>Laskenta_vuosihyötysuhde!G48</f>
        <v>0.62180365296803652</v>
      </c>
      <c r="Y52" s="165">
        <f>Laskenta_vuosihyötysuhde!I48</f>
        <v>12.245725490196079</v>
      </c>
      <c r="Z52" s="166">
        <f>Laskenta_vuosihyötysuhde!N48</f>
        <v>18.754274509803921</v>
      </c>
      <c r="AA52" s="167">
        <f>Laskenta_vuosihyötysuhde!U48</f>
        <v>166.37499999999983</v>
      </c>
      <c r="AB52" s="168">
        <f>Laskenta_vuosihyötysuhde!V48</f>
        <v>132.40840196078415</v>
      </c>
      <c r="AC52" s="169">
        <f>Laskenta_vuosihyötysuhde!W48</f>
        <v>132.40840196078415</v>
      </c>
      <c r="AD52" s="24"/>
    </row>
    <row r="53" spans="2:30" s="282" customFormat="1" ht="15" customHeight="1" x14ac:dyDescent="0.15">
      <c r="B53" s="804"/>
      <c r="C53" s="805" t="str" cm="1">
        <f t="array" ref="C53">INDEX(Kirjasto!D4:K125,33,Kirjasto!B4)</f>
        <v>Supply air</v>
      </c>
      <c r="D53" s="806">
        <f>Tulokset!P37</f>
        <v>81.554075562111791</v>
      </c>
      <c r="E53" s="807">
        <f>Tulokset!Q37</f>
        <v>64.554075562111791</v>
      </c>
      <c r="F53" s="807">
        <f>Tulokset!R37</f>
        <v>60.554075562111798</v>
      </c>
      <c r="G53" s="807">
        <f>Tulokset!S37</f>
        <v>57.554075562111798</v>
      </c>
      <c r="H53" s="807">
        <f>Tulokset!T37</f>
        <v>51.554075562111798</v>
      </c>
      <c r="I53" s="906">
        <f>Tulokset!U37</f>
        <v>49.554075562111798</v>
      </c>
      <c r="J53" s="907"/>
      <c r="K53" s="807">
        <f>Tulokset!V37</f>
        <v>44.554075562111798</v>
      </c>
      <c r="L53" s="808">
        <f>Tulokset!W37</f>
        <v>36.554075562111798</v>
      </c>
      <c r="M53" s="809">
        <f>Tulokset!X37</f>
        <v>81.698184925789533</v>
      </c>
      <c r="N53" s="810">
        <f>Tulokset!Y37</f>
        <v>60.554075562111798</v>
      </c>
      <c r="O53" s="154"/>
      <c r="Q53" s="804"/>
      <c r="R53" s="143"/>
      <c r="S53" s="143"/>
      <c r="T53" s="143"/>
      <c r="U53" s="143"/>
      <c r="V53" s="143"/>
      <c r="W53" s="163">
        <f>Laskenta_vuosihyötysuhde!F49</f>
        <v>11</v>
      </c>
      <c r="X53" s="164">
        <f>Laskenta_vuosihyötysuhde!G49</f>
        <v>0.64634703196347032</v>
      </c>
      <c r="Y53" s="165">
        <f>Laskenta_vuosihyötysuhde!I49</f>
        <v>13.041568627450982</v>
      </c>
      <c r="Z53" s="166">
        <f>Laskenta_vuosihyötysuhde!N49</f>
        <v>18.958431372549018</v>
      </c>
      <c r="AA53" s="167">
        <f>Laskenta_vuosihyötysuhde!U49</f>
        <v>89.583333333333357</v>
      </c>
      <c r="AB53" s="168">
        <f>Laskenta_vuosihyötysuhde!V49</f>
        <v>71.294281045751632</v>
      </c>
      <c r="AC53" s="169">
        <f>Laskenta_vuosihyötysuhde!W49</f>
        <v>71.294281045751632</v>
      </c>
      <c r="AD53" s="154"/>
    </row>
    <row r="54" spans="2:30" s="282" customFormat="1" ht="15" customHeight="1" x14ac:dyDescent="0.15">
      <c r="B54" s="804"/>
      <c r="C54" s="811" t="str" cm="1">
        <f t="array" ref="C54">INDEX(Kirjasto!D4:K125,34,Kirjasto!B4)</f>
        <v>Outdoor air</v>
      </c>
      <c r="D54" s="812">
        <f>Tulokset!Z37</f>
        <v>72.966638054503562</v>
      </c>
      <c r="E54" s="813">
        <f>Tulokset!AA37</f>
        <v>55.966638054503562</v>
      </c>
      <c r="F54" s="813">
        <f>Tulokset!AB37</f>
        <v>52.966638054503562</v>
      </c>
      <c r="G54" s="813">
        <f>Tulokset!AC37</f>
        <v>43.966638054503562</v>
      </c>
      <c r="H54" s="813">
        <f>Tulokset!AD37</f>
        <v>33.966638054503562</v>
      </c>
      <c r="I54" s="908">
        <f>Tulokset!AE37</f>
        <v>27.966638054503562</v>
      </c>
      <c r="J54" s="909"/>
      <c r="K54" s="813">
        <f>Tulokset!AF37</f>
        <v>19.966638054503562</v>
      </c>
      <c r="L54" s="814">
        <f>Tulokset!AG37</f>
        <v>16.966638054503562</v>
      </c>
      <c r="M54" s="815">
        <f>Tulokset!AH37</f>
        <v>73.100810741004437</v>
      </c>
      <c r="N54" s="816">
        <f>Tulokset!AI37</f>
        <v>49.966638054503562</v>
      </c>
      <c r="O54" s="154"/>
      <c r="Q54" s="804"/>
      <c r="R54" s="143"/>
      <c r="S54" s="143"/>
      <c r="T54" s="143"/>
      <c r="U54" s="143"/>
      <c r="V54" s="143"/>
      <c r="W54" s="172">
        <f>Laskenta_vuosihyötysuhde!F50</f>
        <v>12</v>
      </c>
      <c r="X54" s="173">
        <f>Laskenta_vuosihyötysuhde!G50</f>
        <v>0.69668949771689492</v>
      </c>
      <c r="Y54" s="174">
        <f>Laskenta_vuosihyötysuhde!I50</f>
        <v>13.837411764705884</v>
      </c>
      <c r="Z54" s="175">
        <f>Laskenta_vuosihyötysuhde!N50</f>
        <v>19.162588235294116</v>
      </c>
      <c r="AA54" s="176">
        <f>Laskenta_vuosihyötysuhde!U50</f>
        <v>165.37499999999983</v>
      </c>
      <c r="AB54" s="177">
        <f>Laskenta_vuosihyötysuhde!V50</f>
        <v>131.61255882352924</v>
      </c>
      <c r="AC54" s="178">
        <f>Laskenta_vuosihyötysuhde!W50</f>
        <v>131.61255882352924</v>
      </c>
      <c r="AD54" s="154"/>
    </row>
    <row r="55" spans="2:30" s="282" customFormat="1" ht="15" customHeight="1" x14ac:dyDescent="0.15">
      <c r="B55" s="804"/>
      <c r="C55" s="817" t="str" cm="1">
        <f t="array" ref="C55">INDEX(Kirjasto!D4:K125,35,Kirjasto!B4)</f>
        <v>Extract air</v>
      </c>
      <c r="D55" s="818">
        <f>Tulokset!AJ37</f>
        <v>71.666327398220631</v>
      </c>
      <c r="E55" s="819">
        <f>Tulokset!AK37</f>
        <v>52.666327398220631</v>
      </c>
      <c r="F55" s="819">
        <f>Tulokset!AL37</f>
        <v>47.666327398220631</v>
      </c>
      <c r="G55" s="819">
        <f>Tulokset!AM37</f>
        <v>44.666327398220631</v>
      </c>
      <c r="H55" s="819">
        <f>Tulokset!AN37</f>
        <v>38.666327398220631</v>
      </c>
      <c r="I55" s="906">
        <f>Tulokset!AO37</f>
        <v>31.666327398220631</v>
      </c>
      <c r="J55" s="907"/>
      <c r="K55" s="819">
        <f>Tulokset!AP37</f>
        <v>22.666327398220631</v>
      </c>
      <c r="L55" s="820">
        <f>Tulokset!AQ37</f>
        <v>16.666327398220631</v>
      </c>
      <c r="M55" s="821">
        <f>Tulokset!AR37</f>
        <v>71.74884709234172</v>
      </c>
      <c r="N55" s="822">
        <f>Tulokset!AS37</f>
        <v>48.666327398220631</v>
      </c>
      <c r="O55" s="154"/>
      <c r="Q55" s="804"/>
      <c r="R55" s="143"/>
      <c r="S55" s="143"/>
      <c r="T55" s="143"/>
      <c r="U55" s="143"/>
      <c r="V55" s="143"/>
      <c r="W55" s="179"/>
      <c r="X55" s="180"/>
      <c r="Y55" s="180"/>
      <c r="Z55" s="247" t="str" cm="1">
        <f t="array" ref="Z55">INDEX(Kirjasto!D4:K125,100,Kirjasto!B4)</f>
        <v>Total</v>
      </c>
      <c r="AA55" s="181">
        <f>SUM(AA10:AA54)</f>
        <v>4410.75</v>
      </c>
      <c r="AB55" s="246">
        <f>SUM(AB10:AB54)</f>
        <v>3510.2651176470581</v>
      </c>
      <c r="AC55" s="246">
        <f>SUM(AC10:AC54)</f>
        <v>3510.2651176470581</v>
      </c>
      <c r="AD55" s="154"/>
    </row>
    <row r="56" spans="2:30" s="282" customFormat="1" ht="15" customHeight="1" x14ac:dyDescent="0.15">
      <c r="B56" s="804"/>
      <c r="C56" s="811" t="str" cm="1">
        <f t="array" ref="C56">INDEX(Kirjasto!D4:K125,36,Kirjasto!B4)</f>
        <v>Exhaust air</v>
      </c>
      <c r="D56" s="812">
        <f>Tulokset!AT37</f>
        <v>78.69453842504565</v>
      </c>
      <c r="E56" s="813">
        <f>Tulokset!AU37</f>
        <v>62.69453842504565</v>
      </c>
      <c r="F56" s="813">
        <f>Tulokset!AV37</f>
        <v>60.69453842504565</v>
      </c>
      <c r="G56" s="813">
        <f>Tulokset!AW37</f>
        <v>53.69453842504565</v>
      </c>
      <c r="H56" s="813">
        <f>Tulokset!AX37</f>
        <v>50.69453842504565</v>
      </c>
      <c r="I56" s="908">
        <f>Tulokset!AY37</f>
        <v>48.69453842504565</v>
      </c>
      <c r="J56" s="909"/>
      <c r="K56" s="813">
        <f>Tulokset!AZ37</f>
        <v>43.69453842504565</v>
      </c>
      <c r="L56" s="814">
        <f>Tulokset!BA37</f>
        <v>39.69453842504565</v>
      </c>
      <c r="M56" s="815">
        <f>Tulokset!BB37</f>
        <v>78.894656789813283</v>
      </c>
      <c r="N56" s="816">
        <f>Tulokset!BC37</f>
        <v>58.69453842504565</v>
      </c>
      <c r="O56" s="154"/>
      <c r="Q56" s="804"/>
      <c r="R56" s="143"/>
      <c r="S56" s="143"/>
      <c r="T56" s="143"/>
      <c r="U56" s="143"/>
      <c r="V56" s="143"/>
      <c r="W56" s="182"/>
      <c r="X56" s="182"/>
      <c r="Y56" s="182"/>
      <c r="Z56" s="143"/>
      <c r="AA56" s="143"/>
      <c r="AB56" s="143"/>
      <c r="AC56" s="143"/>
      <c r="AD56" s="154"/>
    </row>
    <row r="57" spans="2:30" s="282" customFormat="1" ht="15" customHeight="1" x14ac:dyDescent="0.15">
      <c r="B57" s="804"/>
      <c r="C57" s="823" t="str">
        <f>Tulokset!BW17</f>
        <v>Kitchen bypass</v>
      </c>
      <c r="D57" s="824" t="str">
        <f>Tulokset!BT37</f>
        <v>-</v>
      </c>
      <c r="E57" s="825" t="str">
        <f>Tulokset!BU37</f>
        <v>-</v>
      </c>
      <c r="F57" s="825" t="str">
        <f>Tulokset!BV37</f>
        <v>-</v>
      </c>
      <c r="G57" s="825" t="str">
        <f>Tulokset!BW37</f>
        <v>-</v>
      </c>
      <c r="H57" s="825" t="str">
        <f>Tulokset!BX37</f>
        <v>-</v>
      </c>
      <c r="I57" s="910" t="str">
        <f>Tulokset!BY37</f>
        <v>-</v>
      </c>
      <c r="J57" s="911"/>
      <c r="K57" s="825" t="str">
        <f>Tulokset!BZ37</f>
        <v>-</v>
      </c>
      <c r="L57" s="826" t="str">
        <f>Tulokset!CA37</f>
        <v>-</v>
      </c>
      <c r="M57" s="827" t="str">
        <f>Tulokset!CB37</f>
        <v>-</v>
      </c>
      <c r="N57" s="828" t="str">
        <f>Tulokset!CC37</f>
        <v>-</v>
      </c>
      <c r="O57" s="154"/>
      <c r="Q57" s="804"/>
      <c r="R57" s="143"/>
      <c r="S57" s="143"/>
      <c r="T57" s="143"/>
      <c r="U57" s="143"/>
      <c r="V57" s="143"/>
      <c r="W57" s="856" t="str" cm="1">
        <f t="array" ref="W57">INDEX(Kirjasto!D4:K125,101,Kirjasto!B4)</f>
        <v>SI,Kd = heating degree days, between indoor air and outdoor air, Kd</v>
      </c>
      <c r="X57" s="856"/>
      <c r="Y57" s="856"/>
      <c r="Z57" s="856"/>
      <c r="AA57" s="856"/>
      <c r="AB57" s="856"/>
      <c r="AC57" s="856"/>
      <c r="AD57" s="154"/>
    </row>
    <row r="58" spans="2:30" ht="15.75" customHeight="1" x14ac:dyDescent="0.15">
      <c r="B58" s="12"/>
      <c r="C58" s="280" t="str">
        <f>Tulokset!BY17</f>
        <v/>
      </c>
      <c r="D58" s="80"/>
      <c r="E58"/>
      <c r="F58"/>
      <c r="G58"/>
      <c r="H58"/>
      <c r="I58"/>
      <c r="J58"/>
      <c r="K58"/>
      <c r="L58"/>
      <c r="M58"/>
      <c r="N58"/>
      <c r="O58" s="24"/>
      <c r="Q58" s="12"/>
      <c r="R58"/>
      <c r="S58" s="143"/>
      <c r="T58" s="143"/>
      <c r="U58" s="143"/>
      <c r="V58" s="143"/>
      <c r="W58" s="856"/>
      <c r="X58" s="856"/>
      <c r="Y58" s="856"/>
      <c r="Z58" s="856"/>
      <c r="AA58" s="856"/>
      <c r="AB58" s="856"/>
      <c r="AC58" s="856"/>
      <c r="AD58" s="24"/>
    </row>
    <row r="59" spans="2:30" ht="15.75" customHeight="1" x14ac:dyDescent="0.15">
      <c r="B59" s="12"/>
      <c r="C59" s="2" t="str" cm="1">
        <f t="array" ref="C59">IF(Tulokset!BD2,CONCATENATE(INDEX(Kirjasto!D4:K125,41,Kirjasto!B4),":"),INDEX(Kirjasto!D4:K125,41,Kirjasto!B4))</f>
        <v>Sound power levels through casing:</v>
      </c>
      <c r="D59"/>
      <c r="E59"/>
      <c r="F59" s="140" t="str" cm="1">
        <f t="array" ref="F59">IF(Tulokset!BD4,INDEX(Kirjasto!D4:K129,125,Kirjasto!B4),"")</f>
        <v/>
      </c>
      <c r="G59"/>
      <c r="H59"/>
      <c r="I59"/>
      <c r="J59"/>
      <c r="K59"/>
      <c r="L59"/>
      <c r="M59"/>
      <c r="N59"/>
      <c r="O59" s="24"/>
      <c r="Q59" s="12"/>
      <c r="R59"/>
      <c r="S59" s="143"/>
      <c r="T59" s="143"/>
      <c r="U59" s="143"/>
      <c r="V59" s="143"/>
      <c r="W59" s="856" t="str" cm="1">
        <f t="array" ref="W59">INDEX(Kirjasto!D4:K125,102,Kirjasto!B4)</f>
        <v>SS,Kd = heating degree days, between supply air and outdoor air, Kd</v>
      </c>
      <c r="X59" s="856"/>
      <c r="Y59" s="856"/>
      <c r="Z59" s="856"/>
      <c r="AA59" s="856"/>
      <c r="AB59" s="856"/>
      <c r="AC59" s="856"/>
      <c r="AD59" s="24"/>
    </row>
    <row r="60" spans="2:30" ht="15.75" customHeight="1" x14ac:dyDescent="0.15">
      <c r="B60" s="12"/>
      <c r="C60" s="855"/>
      <c r="D60" s="905" t="str" cm="1">
        <f t="array" ref="D60">INDEX(Kirjasto!D4:K125,38,Kirjasto!B4)</f>
        <v>Sound power levels in octave bands LW,oct [dB]</v>
      </c>
      <c r="E60" s="905"/>
      <c r="F60" s="905"/>
      <c r="G60" s="905"/>
      <c r="H60" s="905"/>
      <c r="I60" s="905"/>
      <c r="J60" s="905"/>
      <c r="K60" s="905"/>
      <c r="L60" s="905"/>
      <c r="M60" s="904" t="s">
        <v>60</v>
      </c>
      <c r="N60" s="904" t="s">
        <v>69</v>
      </c>
      <c r="O60" s="24"/>
      <c r="Q60" s="12"/>
      <c r="R60"/>
      <c r="S60" s="143"/>
      <c r="T60" s="143"/>
      <c r="U60" s="143"/>
      <c r="V60" s="143"/>
      <c r="W60" s="856"/>
      <c r="X60" s="856"/>
      <c r="Y60" s="856"/>
      <c r="Z60" s="856"/>
      <c r="AA60" s="856"/>
      <c r="AB60" s="856"/>
      <c r="AC60" s="856"/>
      <c r="AD60" s="24"/>
    </row>
    <row r="61" spans="2:30" ht="13.5" customHeight="1" x14ac:dyDescent="0.15">
      <c r="B61" s="12"/>
      <c r="C61" s="855"/>
      <c r="D61" s="92" t="s">
        <v>61</v>
      </c>
      <c r="E61" s="93" t="s">
        <v>62</v>
      </c>
      <c r="F61" s="93" t="s">
        <v>63</v>
      </c>
      <c r="G61" s="93" t="s">
        <v>64</v>
      </c>
      <c r="H61" s="93" t="s">
        <v>65</v>
      </c>
      <c r="I61" s="858" t="s">
        <v>66</v>
      </c>
      <c r="J61" s="859"/>
      <c r="K61" s="93" t="s">
        <v>67</v>
      </c>
      <c r="L61" s="94" t="s">
        <v>68</v>
      </c>
      <c r="M61" s="905"/>
      <c r="N61" s="905"/>
      <c r="O61" s="24"/>
      <c r="Q61" s="12"/>
      <c r="R61"/>
      <c r="S61" s="143"/>
      <c r="T61" s="143"/>
      <c r="U61" s="143"/>
      <c r="V61" s="143"/>
      <c r="W61" s="856" t="str" cm="1">
        <f t="array" ref="W61">INDEX(Kirjasto!D4:K125,103,Kirjasto!B4)</f>
        <v>SE,Kd = heating degree days, between exhaust air and outdoor air, Kd</v>
      </c>
      <c r="X61" s="856"/>
      <c r="Y61" s="856"/>
      <c r="Z61" s="856"/>
      <c r="AA61" s="856"/>
      <c r="AB61" s="856"/>
      <c r="AC61" s="856"/>
      <c r="AD61" s="24"/>
    </row>
    <row r="62" spans="2:30" s="282" customFormat="1" ht="17" customHeight="1" thickBot="1" x14ac:dyDescent="0.2">
      <c r="B62" s="804"/>
      <c r="C62" s="829" t="str" cm="1">
        <f t="array" ref="C62">INDEX(Kirjasto!D4:K125,42,Kirjasto!B4)</f>
        <v>Through casing</v>
      </c>
      <c r="D62" s="830">
        <f>Tulokset!BD37</f>
        <v>48.294685941096091</v>
      </c>
      <c r="E62" s="831">
        <f>Tulokset!BE37</f>
        <v>44.294685941096091</v>
      </c>
      <c r="F62" s="831">
        <f>Tulokset!BF37</f>
        <v>39.294685941096091</v>
      </c>
      <c r="G62" s="831">
        <f>Tulokset!BG37</f>
        <v>30.294685941096091</v>
      </c>
      <c r="H62" s="831">
        <f>Tulokset!BH37</f>
        <v>22.294685941096091</v>
      </c>
      <c r="I62" s="860">
        <f>Tulokset!BI37</f>
        <v>16.294685941096091</v>
      </c>
      <c r="J62" s="861"/>
      <c r="K62" s="831">
        <f>Tulokset!BJ37</f>
        <v>9.2946859410960911</v>
      </c>
      <c r="L62" s="832">
        <f>Tulokset!BK37</f>
        <v>8.2946859410960911</v>
      </c>
      <c r="M62" s="833">
        <f>Tulokset!BL37</f>
        <v>50.178956998707633</v>
      </c>
      <c r="N62" s="834">
        <f>Tulokset!BM37</f>
        <v>34.294685941096091</v>
      </c>
      <c r="O62" s="154"/>
      <c r="Q62" s="804"/>
      <c r="R62" s="143"/>
      <c r="S62" s="143"/>
      <c r="T62" s="143"/>
      <c r="U62" s="143"/>
      <c r="V62" s="143"/>
      <c r="W62" s="856"/>
      <c r="X62" s="856"/>
      <c r="Y62" s="856"/>
      <c r="Z62" s="856"/>
      <c r="AA62" s="856"/>
      <c r="AB62" s="856"/>
      <c r="AC62" s="856"/>
      <c r="AD62" s="154"/>
    </row>
    <row r="63" spans="2:30" s="282" customFormat="1" ht="16.25" customHeight="1" thickTop="1" x14ac:dyDescent="0.15">
      <c r="B63" s="804"/>
      <c r="C63" s="844" t="str" cm="1">
        <f t="array" ref="C63">INDEX(Kirjasto!D4:K125,43,Kirjasto!B4)</f>
        <v>Sound pressure level in a room with an absorption area of 10m²:</v>
      </c>
      <c r="D63" s="835"/>
      <c r="E63" s="835"/>
      <c r="F63" s="835"/>
      <c r="G63" s="835"/>
      <c r="H63" s="835"/>
      <c r="I63" s="835"/>
      <c r="J63" s="835"/>
      <c r="K63" s="835"/>
      <c r="L63" s="835"/>
      <c r="M63" s="836" t="s">
        <v>99</v>
      </c>
      <c r="N63" s="821">
        <f>Tulokset!BN37</f>
        <v>30.315285854375716</v>
      </c>
      <c r="O63" s="154"/>
      <c r="Q63" s="804"/>
      <c r="R63" s="143"/>
      <c r="S63" s="143"/>
      <c r="T63" s="143"/>
      <c r="U63" s="143"/>
      <c r="V63" s="143"/>
      <c r="W63" s="877" t="str">
        <f>Laskenta_vuosihyötysuhde!B52</f>
        <v/>
      </c>
      <c r="X63" s="877"/>
      <c r="Y63" s="877"/>
      <c r="Z63" s="877"/>
      <c r="AA63" s="877"/>
      <c r="AB63" s="877"/>
      <c r="AC63" s="877"/>
      <c r="AD63" s="154"/>
    </row>
    <row r="64" spans="2:30" s="282" customFormat="1" ht="16.25" customHeight="1" x14ac:dyDescent="0.15">
      <c r="B64" s="804"/>
      <c r="C64" s="843" t="str" cm="1">
        <f t="array" ref="C64">INDEX(Kirjasto!D4:K125,44,Kirjasto!B4)</f>
        <v>Sound pressure level in a typical bathroom (V &lt; 10 m³) with an absorption area &lt; 2-3 m²:</v>
      </c>
      <c r="D64" s="837"/>
      <c r="E64" s="837"/>
      <c r="F64" s="837"/>
      <c r="G64" s="837"/>
      <c r="H64" s="837"/>
      <c r="I64" s="837"/>
      <c r="J64" s="837"/>
      <c r="K64" s="837"/>
      <c r="L64" s="837"/>
      <c r="M64" s="838" t="s">
        <v>100</v>
      </c>
      <c r="N64" s="815">
        <f>Tulokset!BO37</f>
        <v>36.335885767655341</v>
      </c>
      <c r="O64" s="154"/>
      <c r="Q64" s="804"/>
      <c r="R64" s="143"/>
      <c r="S64" s="143"/>
      <c r="T64" s="143"/>
      <c r="U64" s="143"/>
      <c r="V64" s="143"/>
      <c r="W64" s="877"/>
      <c r="X64" s="877"/>
      <c r="Y64" s="877"/>
      <c r="Z64" s="877"/>
      <c r="AA64" s="877"/>
      <c r="AB64" s="877"/>
      <c r="AC64" s="877"/>
      <c r="AD64" s="154"/>
    </row>
    <row r="65" spans="2:30" ht="14.25" customHeight="1" x14ac:dyDescent="0.15">
      <c r="B65" s="12"/>
      <c r="C65"/>
      <c r="D65"/>
      <c r="E65"/>
      <c r="F65"/>
      <c r="G65"/>
      <c r="H65"/>
      <c r="I65"/>
      <c r="J65"/>
      <c r="K65"/>
      <c r="L65"/>
      <c r="M65"/>
      <c r="N65"/>
      <c r="O65" s="24"/>
      <c r="Q65" s="12"/>
      <c r="R65"/>
      <c r="S65" s="143"/>
      <c r="T65" s="143"/>
      <c r="U65" s="143"/>
      <c r="V65" s="143"/>
      <c r="W65" s="877"/>
      <c r="X65" s="877"/>
      <c r="Y65" s="877"/>
      <c r="Z65" s="877"/>
      <c r="AA65" s="877"/>
      <c r="AB65" s="877"/>
      <c r="AC65" s="877"/>
      <c r="AD65" s="24"/>
    </row>
    <row r="66" spans="2:30" ht="15.75" customHeight="1" x14ac:dyDescent="0.15">
      <c r="B66" s="12"/>
      <c r="C66" s="875" t="str" cm="1">
        <f t="array" ref="C66">INDEX(Kirjasto!D4:K125,45,Kirjasto!B4)</f>
        <v>Specific energy consumption (SEC) and classification</v>
      </c>
      <c r="D66" s="876"/>
      <c r="E66" s="876"/>
      <c r="F66" s="876"/>
      <c r="G66" s="876"/>
      <c r="H66" s="876"/>
      <c r="I66" s="590"/>
      <c r="J66" s="505"/>
      <c r="K66" s="132"/>
      <c r="L66" s="130" t="str" cm="1">
        <f t="array" ref="L66">INDEX(Kirjasto!D4:K125,58,Kirjasto!B4)</f>
        <v>Class</v>
      </c>
      <c r="M66" s="872" t="str" cm="1">
        <f t="array" ref="M66">INDEX(Kirjasto!D4:K125,57,Kirjasto!B4)</f>
        <v>SEC-value</v>
      </c>
      <c r="N66" s="872"/>
      <c r="O66" s="24"/>
      <c r="Q66" s="12"/>
      <c r="R66"/>
      <c r="S66" s="143"/>
      <c r="T66" s="143"/>
      <c r="U66" s="143"/>
      <c r="V66" s="143"/>
      <c r="W66" s="877"/>
      <c r="X66" s="877"/>
      <c r="Y66" s="877"/>
      <c r="Z66" s="877"/>
      <c r="AA66" s="877"/>
      <c r="AB66" s="877"/>
      <c r="AC66" s="877"/>
      <c r="AD66" s="24"/>
    </row>
    <row r="67" spans="2:30" ht="15.75" customHeight="1" x14ac:dyDescent="0.15">
      <c r="B67" s="12"/>
      <c r="C67" s="878" t="str" cm="1">
        <f t="array" ref="C67">INDEX(Kirjasto!D4:K125,46,Kirjasto!B4)</f>
        <v>According to Commission Regulations (EU) No 1253/2014 &amp; No 1254/2014</v>
      </c>
      <c r="D67" s="879"/>
      <c r="E67" s="879"/>
      <c r="F67" s="879"/>
      <c r="G67" s="879"/>
      <c r="H67" s="879"/>
      <c r="I67" s="591"/>
      <c r="J67" s="506"/>
      <c r="K67" s="133" t="str">
        <f t="shared" ref="K67:K74" si="0">IF(L67=$I$73,"►","")</f>
        <v/>
      </c>
      <c r="L67" s="131" t="s">
        <v>177</v>
      </c>
      <c r="M67" s="863" t="s">
        <v>190</v>
      </c>
      <c r="N67" s="863"/>
      <c r="O67" s="24"/>
      <c r="Q67" s="12"/>
      <c r="R67"/>
      <c r="S67" s="143"/>
      <c r="T67" s="143"/>
      <c r="U67" s="143"/>
      <c r="V67" s="143"/>
      <c r="W67" s="877"/>
      <c r="X67" s="877"/>
      <c r="Y67" s="877"/>
      <c r="Z67" s="877"/>
      <c r="AA67" s="877"/>
      <c r="AB67" s="877"/>
      <c r="AC67" s="877"/>
      <c r="AD67" s="24"/>
    </row>
    <row r="68" spans="2:30" ht="15.75" customHeight="1" x14ac:dyDescent="0.15">
      <c r="B68" s="12"/>
      <c r="C68" s="456" t="str" cm="1">
        <f t="array" ref="C68">INDEX(Kirjasto!D4:K125,47,Kirjasto!B4)</f>
        <v>NB! SEC-calculation is only used for air handling units intended for residential buildings</v>
      </c>
      <c r="D68"/>
      <c r="E68" s="142"/>
      <c r="F68" s="142"/>
      <c r="G68" s="135"/>
      <c r="H68" s="135"/>
      <c r="I68" s="135"/>
      <c r="J68" s="135"/>
      <c r="K68" s="133" t="str">
        <f t="shared" si="0"/>
        <v>►</v>
      </c>
      <c r="L68" s="131" t="s">
        <v>4</v>
      </c>
      <c r="M68" s="857" t="s">
        <v>191</v>
      </c>
      <c r="N68" s="857"/>
      <c r="O68" s="24"/>
      <c r="Q68" s="12"/>
      <c r="R68"/>
      <c r="S68" s="143"/>
      <c r="T68" s="143"/>
      <c r="U68" s="143"/>
      <c r="V68" s="143"/>
      <c r="W68" s="877"/>
      <c r="X68" s="877"/>
      <c r="Y68" s="877"/>
      <c r="Z68" s="877"/>
      <c r="AA68" s="877"/>
      <c r="AB68" s="877"/>
      <c r="AC68" s="877"/>
      <c r="AD68" s="24"/>
    </row>
    <row r="69" spans="2:30" ht="16.5" customHeight="1" x14ac:dyDescent="0.15">
      <c r="B69" s="12"/>
      <c r="C69" s="507" t="str" cm="1">
        <f t="array" ref="C69">INDEX(Kirjasto!D4:K125,48,Kirjasto!B4)</f>
        <v>Reference air flow:</v>
      </c>
      <c r="D69" s="455">
        <f>Tulokset!M37*3.6</f>
        <v>226.79999999999998</v>
      </c>
      <c r="E69" s="142"/>
      <c r="F69" s="454"/>
      <c r="G69" s="126"/>
      <c r="H69" s="126"/>
      <c r="I69" s="126"/>
      <c r="J69" s="126"/>
      <c r="K69" s="133" t="str">
        <f t="shared" si="0"/>
        <v/>
      </c>
      <c r="L69" s="131" t="s">
        <v>5</v>
      </c>
      <c r="M69" s="862" t="s">
        <v>192</v>
      </c>
      <c r="N69" s="862"/>
      <c r="O69" s="24"/>
      <c r="Q69" s="12"/>
      <c r="R69"/>
      <c r="S69" s="143"/>
      <c r="T69" s="143"/>
      <c r="U69" s="143"/>
      <c r="V69" s="143"/>
      <c r="W69" s="182"/>
      <c r="X69" s="182"/>
      <c r="Y69" s="182"/>
      <c r="Z69" s="143"/>
      <c r="AA69" s="143"/>
      <c r="AB69" s="143"/>
      <c r="AC69" s="143"/>
      <c r="AD69" s="24"/>
    </row>
    <row r="70" spans="2:30" ht="16.5" customHeight="1" x14ac:dyDescent="0.15">
      <c r="B70" s="12"/>
      <c r="C70" s="139" t="str" cm="1">
        <f t="array" ref="C70">INDEX(Kirjasto!D4:K125,49,Kirjasto!B4)</f>
        <v>Calculation parameters:</v>
      </c>
      <c r="D70" s="126"/>
      <c r="E70" s="126"/>
      <c r="F70" s="126"/>
      <c r="G70" s="126"/>
      <c r="H70" s="126"/>
      <c r="I70" s="126"/>
      <c r="J70" s="126"/>
      <c r="K70" s="133" t="str">
        <f t="shared" si="0"/>
        <v/>
      </c>
      <c r="L70" s="131" t="s">
        <v>6</v>
      </c>
      <c r="M70" s="884" t="s">
        <v>193</v>
      </c>
      <c r="N70" s="884"/>
      <c r="O70" s="24"/>
      <c r="Q70" s="12"/>
      <c r="R70" s="526" t="str" cm="1">
        <f t="array" ref="R70">INDEX(Kirjasto!D4:K125,54,Kirjasto!B4)</f>
        <v>All rights reserved.</v>
      </c>
      <c r="S70" s="528" t="s">
        <v>199</v>
      </c>
      <c r="T70" s="527" t="s">
        <v>1174</v>
      </c>
      <c r="U70" s="141"/>
      <c r="V70"/>
      <c r="W70"/>
      <c r="X70"/>
      <c r="Y70"/>
      <c r="Z70"/>
      <c r="AA70"/>
      <c r="AB70"/>
      <c r="AC70" s="143"/>
      <c r="AD70" s="24"/>
    </row>
    <row r="71" spans="2:30" ht="17.25" customHeight="1" x14ac:dyDescent="0.15">
      <c r="B71" s="12"/>
      <c r="C71" s="137" t="str" cm="1">
        <f t="array" ref="C71">INDEX(Kirjasto!D4:K125,50,Kirjasto!B4)</f>
        <v>General typology</v>
      </c>
      <c r="D71" s="126"/>
      <c r="E71" s="126"/>
      <c r="F71" s="126"/>
      <c r="G71" s="900" t="str" cm="1">
        <f t="array" ref="G71">INDEX(Kirjasto!D4:K125,57,Kirjasto!B4)</f>
        <v>SEC-value</v>
      </c>
      <c r="H71" s="901"/>
      <c r="I71" s="892">
        <f>Tulokset!BQ37</f>
        <v>-39.949203661680336</v>
      </c>
      <c r="J71" s="893"/>
      <c r="K71" s="133" t="str">
        <f t="shared" si="0"/>
        <v/>
      </c>
      <c r="L71" s="131" t="s">
        <v>178</v>
      </c>
      <c r="M71" s="885" t="s">
        <v>194</v>
      </c>
      <c r="N71" s="885"/>
      <c r="O71" s="24"/>
      <c r="Q71" s="12"/>
      <c r="R71" s="883" t="str" cm="1">
        <f t="array" ref="R71">INDEX(Kirjasto!D4:K200,141,Kirjasto!B4)</f>
        <v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v>
      </c>
      <c r="S71" s="883"/>
      <c r="T71" s="883"/>
      <c r="U71" s="883"/>
      <c r="V71" s="883"/>
      <c r="W71" s="883"/>
      <c r="X71" s="883"/>
      <c r="Y71" s="883"/>
      <c r="Z71" s="883"/>
      <c r="AA71" s="883"/>
      <c r="AB71" s="883"/>
      <c r="AC71" s="883"/>
      <c r="AD71" s="24"/>
    </row>
    <row r="72" spans="2:30" ht="21.75" customHeight="1" x14ac:dyDescent="0.15">
      <c r="B72" s="12"/>
      <c r="C72" s="137" t="str" cm="1">
        <f t="array" ref="C72">INDEX(Kirjasto!D4:K125,51,Kirjasto!B4)</f>
        <v>Ventilation control</v>
      </c>
      <c r="D72" s="126"/>
      <c r="E72" s="126"/>
      <c r="F72" s="126"/>
      <c r="G72" s="881" t="s">
        <v>721</v>
      </c>
      <c r="H72" s="882"/>
      <c r="I72" s="894"/>
      <c r="J72" s="895"/>
      <c r="K72" s="133" t="str">
        <f t="shared" si="0"/>
        <v/>
      </c>
      <c r="L72" s="131" t="s">
        <v>179</v>
      </c>
      <c r="M72" s="886" t="s">
        <v>195</v>
      </c>
      <c r="N72" s="886"/>
      <c r="O72" s="24"/>
      <c r="Q72" s="12"/>
      <c r="R72" s="883"/>
      <c r="S72" s="883"/>
      <c r="T72" s="883"/>
      <c r="U72" s="883"/>
      <c r="V72" s="883"/>
      <c r="W72" s="883"/>
      <c r="X72" s="883"/>
      <c r="Y72" s="883"/>
      <c r="Z72" s="883"/>
      <c r="AA72" s="883"/>
      <c r="AB72" s="883"/>
      <c r="AC72" s="883"/>
      <c r="AD72" s="24"/>
    </row>
    <row r="73" spans="2:30" ht="20.25" customHeight="1" x14ac:dyDescent="0.15">
      <c r="B73" s="12"/>
      <c r="C73" s="137" t="str" cm="1">
        <f t="array" ref="C73">INDEX(Kirjasto!D4:K125,52,Kirjasto!B4)</f>
        <v>Motor &amp; drive</v>
      </c>
      <c r="D73" s="126"/>
      <c r="E73" s="126"/>
      <c r="F73" s="126"/>
      <c r="G73" s="888" t="str" cm="1">
        <f t="array" ref="G73">INDEX(Kirjasto!D4:K125,58,Kirjasto!B4)</f>
        <v>Class</v>
      </c>
      <c r="H73" s="889"/>
      <c r="I73" s="896" t="str">
        <f>Tulokset!BR37</f>
        <v>A</v>
      </c>
      <c r="J73" s="897"/>
      <c r="K73" s="133" t="str">
        <f t="shared" si="0"/>
        <v/>
      </c>
      <c r="L73" s="131" t="s">
        <v>180</v>
      </c>
      <c r="M73" s="887" t="s">
        <v>196</v>
      </c>
      <c r="N73" s="887"/>
      <c r="O73" s="24"/>
      <c r="Q73" s="14"/>
      <c r="R73" s="525" t="str" cm="1">
        <f t="array" ref="R73">INDEX(Kirjasto!D4:K125,56,Kirjasto!B4)</f>
        <v>The selection program is made by Insinööritoimisto W. Zenner Oy. The program is based on laboratory measurements according to SFS-EN 13141-7.</v>
      </c>
      <c r="S73" s="281"/>
      <c r="T73" s="284"/>
      <c r="U73" s="284"/>
      <c r="V73" s="284"/>
      <c r="W73" s="284"/>
      <c r="X73" s="284"/>
      <c r="Y73" s="284"/>
      <c r="Z73" s="284"/>
      <c r="AA73" s="284"/>
      <c r="AB73" s="284"/>
      <c r="AC73" s="284"/>
      <c r="AD73" s="26"/>
    </row>
    <row r="74" spans="2:30" ht="18" customHeight="1" x14ac:dyDescent="0.15">
      <c r="B74" s="12"/>
      <c r="C74" s="138" t="str" cm="1">
        <f t="array" ref="C74">INDEX(Kirjasto!D4:K125,53,Kirjasto!B4)</f>
        <v>Climate</v>
      </c>
      <c r="D74" s="136"/>
      <c r="E74" s="127"/>
      <c r="F74" s="127"/>
      <c r="G74" s="890"/>
      <c r="H74" s="891"/>
      <c r="I74" s="898"/>
      <c r="J74" s="899"/>
      <c r="K74" s="134" t="str">
        <f t="shared" si="0"/>
        <v/>
      </c>
      <c r="L74" s="131" t="s">
        <v>181</v>
      </c>
      <c r="M74" s="887" t="s">
        <v>197</v>
      </c>
      <c r="N74" s="887"/>
      <c r="O74" s="24"/>
    </row>
    <row r="75" spans="2:30" s="282" customFormat="1" ht="20.25" customHeight="1" x14ac:dyDescent="0.15">
      <c r="B75" s="12"/>
      <c r="C75" s="526" t="str" cm="1">
        <f t="array" ref="C75">INDEX(Kirjasto!D4:K125,54,Kirjasto!B4)</f>
        <v>All rights reserved.</v>
      </c>
      <c r="D75" s="126"/>
      <c r="E75" s="527" t="s">
        <v>199</v>
      </c>
      <c r="F75" s="527" t="s">
        <v>1174</v>
      </c>
      <c r="G75"/>
      <c r="H75"/>
      <c r="I75"/>
      <c r="J75"/>
      <c r="K75"/>
      <c r="L75"/>
      <c r="M75"/>
      <c r="N75"/>
      <c r="O75" s="24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</row>
    <row r="76" spans="2:30" x14ac:dyDescent="0.15">
      <c r="B76" s="12"/>
      <c r="C76" s="883" t="str" cm="1">
        <f t="array" ref="C76">INDEX(Kirjasto!D4:K200,141,Kirjasto!B4)</f>
        <v>Applied documents and standards: SFS-EN 13141-7, LVI 30-10529, Finnish Ministry of the Environment: Decree 1009/2017, and Commission Regulations (EU) No 1253/2014 &amp; No 1254/2014. We do not answer for the direct or indirect harm caused by possible errors in the selection program.</v>
      </c>
      <c r="D76" s="883"/>
      <c r="E76" s="883"/>
      <c r="F76" s="883"/>
      <c r="G76" s="883"/>
      <c r="H76" s="883"/>
      <c r="I76" s="883"/>
      <c r="J76" s="883"/>
      <c r="K76" s="883"/>
      <c r="L76" s="883"/>
      <c r="M76" s="883"/>
      <c r="N76" s="883"/>
      <c r="O76" s="24"/>
    </row>
    <row r="77" spans="2:30" x14ac:dyDescent="0.15">
      <c r="B77" s="12"/>
      <c r="C77" s="883"/>
      <c r="D77" s="883"/>
      <c r="E77" s="883"/>
      <c r="F77" s="883"/>
      <c r="G77" s="883"/>
      <c r="H77" s="883"/>
      <c r="I77" s="883"/>
      <c r="J77" s="883"/>
      <c r="K77" s="883"/>
      <c r="L77" s="883"/>
      <c r="M77" s="883"/>
      <c r="N77" s="883"/>
      <c r="O77" s="24"/>
    </row>
    <row r="78" spans="2:30" x14ac:dyDescent="0.15">
      <c r="B78" s="283"/>
      <c r="C78" s="525" t="str" cm="1">
        <f t="array" ref="C78">INDEX(Kirjasto!D4:K125,56,Kirjasto!B4)</f>
        <v>The selection program is made by Insinööritoimisto W. Zenner Oy. The program is based on laboratory measurements according to SFS-EN 13141-7.</v>
      </c>
      <c r="D78" s="281"/>
      <c r="E78" s="284"/>
      <c r="F78" s="284"/>
      <c r="G78" s="284"/>
      <c r="H78" s="284"/>
      <c r="I78" s="284"/>
      <c r="J78" s="284"/>
      <c r="K78" s="284"/>
      <c r="L78" s="284"/>
      <c r="M78" s="284"/>
      <c r="N78" s="284"/>
      <c r="O78" s="285"/>
    </row>
    <row r="81" spans="2:15" x14ac:dyDescent="0.15">
      <c r="B81" s="382"/>
      <c r="C81" s="383"/>
      <c r="D81" s="383"/>
      <c r="E81" s="383"/>
      <c r="F81" s="383"/>
      <c r="G81" s="383"/>
      <c r="H81" s="383"/>
      <c r="I81" s="383"/>
      <c r="J81" s="383"/>
      <c r="K81" s="383"/>
      <c r="L81" s="383"/>
      <c r="M81" s="383"/>
      <c r="N81" s="383"/>
      <c r="O81" s="384"/>
    </row>
    <row r="82" spans="2:15" ht="27" customHeight="1" x14ac:dyDescent="0.15">
      <c r="B82" s="385"/>
      <c r="C82" s="388" t="str" cm="1">
        <f t="array" ref="C82">INDEX(Kirjasto!D4:K125,104,Kirjasto!B4)</f>
        <v>Dimensioning of heating coil</v>
      </c>
      <c r="D82" s="126"/>
      <c r="E82" s="126"/>
      <c r="F82" s="126"/>
      <c r="G82" s="392" t="str">
        <f>Tulokset!M62</f>
        <v>Not available for selected model</v>
      </c>
      <c r="H82" s="126"/>
      <c r="I82" s="126"/>
      <c r="J82" s="126"/>
      <c r="K82" s="126"/>
      <c r="L82" s="126"/>
      <c r="M82" s="126"/>
      <c r="N82" s="126"/>
      <c r="O82" s="386"/>
    </row>
    <row r="83" spans="2:15" ht="14" x14ac:dyDescent="0.15">
      <c r="B83" s="385"/>
      <c r="C83" s="388"/>
      <c r="D83" s="126"/>
      <c r="E83" s="126"/>
      <c r="F83" s="126"/>
      <c r="G83" s="392"/>
      <c r="H83" s="126"/>
      <c r="I83" s="126"/>
      <c r="J83" s="126"/>
      <c r="K83" s="126"/>
      <c r="L83" s="126"/>
      <c r="M83" s="126"/>
      <c r="N83" s="126"/>
      <c r="O83" s="386"/>
    </row>
    <row r="84" spans="2:15" x14ac:dyDescent="0.15">
      <c r="B84" s="385"/>
      <c r="C84" s="530" t="str" cm="1">
        <f t="array" ref="C84">INDEX(Kirjasto!D4:K125,106,Kirjasto!B4)</f>
        <v>Insert parameters:</v>
      </c>
      <c r="D84" s="531"/>
      <c r="E84" s="531"/>
      <c r="F84" s="531"/>
      <c r="G84" s="531"/>
      <c r="H84" s="531"/>
      <c r="I84" s="531"/>
      <c r="J84" s="531"/>
      <c r="K84" s="531"/>
      <c r="L84" s="531"/>
      <c r="M84" s="531"/>
      <c r="N84" s="531"/>
      <c r="O84" s="386"/>
    </row>
    <row r="85" spans="2:15" x14ac:dyDescent="0.15">
      <c r="B85" s="385"/>
      <c r="C85" s="532" t="str" cm="1">
        <f t="array" ref="C85">INDEX(Kirjasto!D4:K125,107,Kirjasto!B4)</f>
        <v>Start by inserting either inlet or outlet water temperature</v>
      </c>
      <c r="D85" s="531"/>
      <c r="E85" s="531"/>
      <c r="F85" s="531"/>
      <c r="G85" s="531"/>
      <c r="H85" s="531"/>
      <c r="I85" s="531"/>
      <c r="J85" s="531"/>
      <c r="K85" s="531"/>
      <c r="L85" s="531"/>
      <c r="M85" s="531"/>
      <c r="N85" s="531"/>
      <c r="O85" s="386"/>
    </row>
    <row r="86" spans="2:15" x14ac:dyDescent="0.15">
      <c r="B86" s="385"/>
      <c r="C86" s="531" t="str" cm="1">
        <f t="array" ref="C86">INDEX(Kirjasto!D4:K125,108,Kirjasto!B4)</f>
        <v>Inlet air temperature</v>
      </c>
      <c r="D86" s="531"/>
      <c r="E86" s="531"/>
      <c r="F86" s="533">
        <v>1</v>
      </c>
      <c r="G86" s="531" t="s">
        <v>509</v>
      </c>
      <c r="H86" s="534" t="str" cm="1">
        <f t="array" ref="H86">INDEX(Kirjasto!D4:K125,115,Kirjasto!B4)</f>
        <v>Heating coil dimensioning by inlet water temperature</v>
      </c>
      <c r="I86" s="607"/>
      <c r="J86" s="535"/>
      <c r="K86" s="535"/>
      <c r="L86" s="535"/>
      <c r="M86" s="535"/>
      <c r="N86" s="536"/>
      <c r="O86" s="386"/>
    </row>
    <row r="87" spans="2:15" x14ac:dyDescent="0.15">
      <c r="B87" s="385"/>
      <c r="C87" s="531" t="str" cm="1">
        <f t="array" ref="C87">INDEX(Kirjasto!D4:K125,109,Kirjasto!B4)</f>
        <v>Outlet air temperature</v>
      </c>
      <c r="D87" s="531"/>
      <c r="E87" s="531"/>
      <c r="F87" s="533">
        <v>20</v>
      </c>
      <c r="G87" s="531" t="s">
        <v>509</v>
      </c>
      <c r="H87" s="137" t="str" cm="1">
        <f t="array" ref="H87">INDEX(Kirjasto!D4:K125,117,Kirjasto!B4)</f>
        <v>Inlet water temperature</v>
      </c>
      <c r="I87" s="608"/>
      <c r="J87" s="531"/>
      <c r="K87" s="531"/>
      <c r="L87" s="531"/>
      <c r="M87" s="537" t="str">
        <f>Tulokset!N41</f>
        <v>-</v>
      </c>
      <c r="N87" s="538" t="s">
        <v>509</v>
      </c>
      <c r="O87" s="386"/>
    </row>
    <row r="88" spans="2:15" x14ac:dyDescent="0.15">
      <c r="B88" s="385"/>
      <c r="C88" s="531" t="str" cm="1">
        <f t="array" ref="C88">INDEX(Kirjasto!D4:K125,110,Kirjasto!B4)</f>
        <v>Inlet water temperature</v>
      </c>
      <c r="D88" s="531"/>
      <c r="E88" s="531"/>
      <c r="F88" s="533">
        <v>50</v>
      </c>
      <c r="G88" s="531" t="s">
        <v>509</v>
      </c>
      <c r="H88" s="137" t="str" cm="1">
        <f t="array" ref="H88">INDEX(Kirjasto!D4:K125,118,Kirjasto!B4)</f>
        <v>Outlet water temperature</v>
      </c>
      <c r="I88" s="608"/>
      <c r="J88" s="531"/>
      <c r="K88" s="531"/>
      <c r="L88" s="531"/>
      <c r="M88" s="537" t="str">
        <f>Tulokset!N42</f>
        <v>-</v>
      </c>
      <c r="N88" s="538" t="s">
        <v>509</v>
      </c>
      <c r="O88" s="386"/>
    </row>
    <row r="89" spans="2:15" x14ac:dyDescent="0.15">
      <c r="B89" s="385"/>
      <c r="C89" s="531" t="str" cm="1">
        <f t="array" ref="C89">INDEX(Kirjasto!D4:K125,111,Kirjasto!B4)</f>
        <v>Outlet water temperature</v>
      </c>
      <c r="D89" s="531"/>
      <c r="E89" s="531"/>
      <c r="F89" s="533">
        <v>30</v>
      </c>
      <c r="G89" s="531" t="s">
        <v>509</v>
      </c>
      <c r="H89" s="137" t="str" cm="1">
        <f t="array" ref="H89">INDEX(Kirjasto!D4:K125,119,Kirjasto!B4)</f>
        <v>Volume flow</v>
      </c>
      <c r="I89" s="608"/>
      <c r="J89" s="531"/>
      <c r="K89" s="531"/>
      <c r="L89" s="531"/>
      <c r="M89" s="539" t="str">
        <f>Tulokset!N43</f>
        <v>-</v>
      </c>
      <c r="N89" s="538" t="s">
        <v>974</v>
      </c>
      <c r="O89" s="386"/>
    </row>
    <row r="90" spans="2:15" x14ac:dyDescent="0.15">
      <c r="B90" s="385"/>
      <c r="C90" s="531"/>
      <c r="D90" s="531"/>
      <c r="E90" s="531"/>
      <c r="F90" s="531"/>
      <c r="G90" s="531"/>
      <c r="H90" s="137" t="str" cm="1">
        <f t="array" ref="H90">INDEX(Kirjasto!D4:K125,120,Kirjasto!B4)</f>
        <v>Heating coil fluid side pressure loss</v>
      </c>
      <c r="I90" s="608"/>
      <c r="J90" s="531"/>
      <c r="K90" s="531"/>
      <c r="L90" s="531"/>
      <c r="M90" s="537" t="str">
        <f>Tulokset!N44</f>
        <v>-</v>
      </c>
      <c r="N90" s="538" t="s">
        <v>500</v>
      </c>
      <c r="O90" s="386"/>
    </row>
    <row r="91" spans="2:15" x14ac:dyDescent="0.15">
      <c r="B91" s="385"/>
      <c r="C91" s="531" t="str" cm="1">
        <f t="array" ref="C91">INDEX(Kirjasto!D4:K125,112,Kirjasto!B4)</f>
        <v>Supply air volume flow</v>
      </c>
      <c r="D91" s="531"/>
      <c r="E91" s="531"/>
      <c r="F91" s="753">
        <f>E33</f>
        <v>40</v>
      </c>
      <c r="G91" s="531" t="s">
        <v>974</v>
      </c>
      <c r="H91" s="137" t="str" cm="1">
        <f t="array" ref="H91">INDEX(Kirjasto!D4:K125,121,Kirjasto!B4)</f>
        <v>Control valve pressure loss*</v>
      </c>
      <c r="I91" s="608"/>
      <c r="J91" s="531"/>
      <c r="K91" s="531"/>
      <c r="L91" s="531"/>
      <c r="M91" s="537" t="str">
        <f>Tulokset!N45</f>
        <v>-</v>
      </c>
      <c r="N91" s="538" t="s">
        <v>500</v>
      </c>
      <c r="O91" s="386"/>
    </row>
    <row r="92" spans="2:15" ht="14.25" customHeight="1" x14ac:dyDescent="0.15">
      <c r="B92" s="385"/>
      <c r="C92" s="540" t="str" cm="1">
        <f t="array" ref="C92">INDEX(Kirjasto!D4:K125,113,Kirjasto!B4)</f>
        <v>Required heating power</v>
      </c>
      <c r="D92" s="541"/>
      <c r="E92" s="542"/>
      <c r="F92" s="849" t="str">
        <f>Tulokset!D57</f>
        <v>-</v>
      </c>
      <c r="G92" s="530" t="s">
        <v>49</v>
      </c>
      <c r="H92" s="543" t="str" cm="1">
        <f t="array" ref="H92">INDEX(Kirjasto!D4:K125,122,Kirjasto!B4)</f>
        <v>Flow velocity</v>
      </c>
      <c r="I92" s="609"/>
      <c r="J92" s="544"/>
      <c r="K92" s="544"/>
      <c r="L92" s="544"/>
      <c r="M92" s="545" t="str">
        <f>Tulokset!N46</f>
        <v>-</v>
      </c>
      <c r="N92" s="546" t="s">
        <v>502</v>
      </c>
      <c r="O92" s="386"/>
    </row>
    <row r="93" spans="2:15" x14ac:dyDescent="0.15">
      <c r="B93" s="385"/>
      <c r="C93" s="531"/>
      <c r="D93" s="531"/>
      <c r="E93" s="531"/>
      <c r="F93" s="531"/>
      <c r="G93" s="531"/>
      <c r="H93" s="529" t="str">
        <f>Tulokset!M63</f>
        <v/>
      </c>
      <c r="I93" s="529"/>
      <c r="J93" s="531"/>
      <c r="K93" s="531"/>
      <c r="L93" s="531"/>
      <c r="M93" s="531"/>
      <c r="N93" s="531"/>
      <c r="O93" s="386"/>
    </row>
    <row r="94" spans="2:15" x14ac:dyDescent="0.15">
      <c r="B94" s="385"/>
      <c r="C94" s="531"/>
      <c r="D94" s="531"/>
      <c r="E94" s="531"/>
      <c r="F94" s="531"/>
      <c r="G94" s="531"/>
      <c r="H94" s="534" t="str" cm="1">
        <f t="array" ref="H94">INDEX(Kirjasto!D4:K125,116,Kirjasto!B4)</f>
        <v>Heating coil dimensioning by outlet water temperature</v>
      </c>
      <c r="I94" s="607"/>
      <c r="J94" s="535"/>
      <c r="K94" s="535"/>
      <c r="L94" s="535"/>
      <c r="M94" s="535"/>
      <c r="N94" s="547"/>
      <c r="O94" s="386"/>
    </row>
    <row r="95" spans="2:15" x14ac:dyDescent="0.15">
      <c r="B95" s="385"/>
      <c r="C95" s="531"/>
      <c r="D95" s="531"/>
      <c r="E95" s="531"/>
      <c r="F95" s="531"/>
      <c r="G95" s="531"/>
      <c r="H95" s="137" t="str" cm="1">
        <f t="array" ref="H95">INDEX(Kirjasto!D4:K125,117,Kirjasto!B4)</f>
        <v>Inlet water temperature</v>
      </c>
      <c r="I95" s="608"/>
      <c r="J95" s="531"/>
      <c r="K95" s="531"/>
      <c r="L95" s="531"/>
      <c r="M95" s="537" t="str">
        <f>Tulokset!N48</f>
        <v>-</v>
      </c>
      <c r="N95" s="538" t="s">
        <v>509</v>
      </c>
      <c r="O95" s="386"/>
    </row>
    <row r="96" spans="2:15" x14ac:dyDescent="0.15">
      <c r="B96" s="385"/>
      <c r="C96" s="531"/>
      <c r="D96" s="531"/>
      <c r="E96" s="531"/>
      <c r="F96" s="531"/>
      <c r="G96" s="531"/>
      <c r="H96" s="137" t="str" cm="1">
        <f t="array" ref="H96">INDEX(Kirjasto!D4:K125,118,Kirjasto!B4)</f>
        <v>Outlet water temperature</v>
      </c>
      <c r="I96" s="608"/>
      <c r="J96" s="531"/>
      <c r="K96" s="531"/>
      <c r="L96" s="531"/>
      <c r="M96" s="537" t="str">
        <f>Tulokset!N49</f>
        <v>-</v>
      </c>
      <c r="N96" s="538" t="s">
        <v>509</v>
      </c>
      <c r="O96" s="386"/>
    </row>
    <row r="97" spans="2:15" x14ac:dyDescent="0.15">
      <c r="B97" s="385"/>
      <c r="C97" s="531"/>
      <c r="D97" s="531"/>
      <c r="E97" s="531"/>
      <c r="F97" s="531"/>
      <c r="G97" s="531"/>
      <c r="H97" s="137" t="str" cm="1">
        <f t="array" ref="H97">INDEX(Kirjasto!D4:K125,119,Kirjasto!B4)</f>
        <v>Volume flow</v>
      </c>
      <c r="I97" s="608"/>
      <c r="J97" s="531"/>
      <c r="K97" s="531"/>
      <c r="L97" s="531"/>
      <c r="M97" s="539" t="str">
        <f>Tulokset!N50</f>
        <v>-</v>
      </c>
      <c r="N97" s="538" t="s">
        <v>974</v>
      </c>
      <c r="O97" s="386"/>
    </row>
    <row r="98" spans="2:15" x14ac:dyDescent="0.15">
      <c r="B98" s="385"/>
      <c r="C98" s="531"/>
      <c r="D98" s="531"/>
      <c r="E98" s="531"/>
      <c r="F98" s="531"/>
      <c r="G98" s="531"/>
      <c r="H98" s="137" t="str" cm="1">
        <f t="array" ref="H98">INDEX(Kirjasto!D4:K125,120,Kirjasto!B4)</f>
        <v>Heating coil fluid side pressure loss</v>
      </c>
      <c r="I98" s="608"/>
      <c r="J98" s="531"/>
      <c r="K98" s="531"/>
      <c r="L98" s="531"/>
      <c r="M98" s="537" t="str">
        <f>Tulokset!N51</f>
        <v>-</v>
      </c>
      <c r="N98" s="538" t="s">
        <v>500</v>
      </c>
      <c r="O98" s="386"/>
    </row>
    <row r="99" spans="2:15" x14ac:dyDescent="0.15">
      <c r="B99" s="385"/>
      <c r="C99" s="880" t="str" cm="1">
        <f t="array" ref="C99">INDEX(Kirjasto!D4:K125,114,Kirjasto!B4)</f>
        <v>*Using Oras DN15S Radiator valve body &amp; Stabila radiator valve (fully open, CV = 1.00)</v>
      </c>
      <c r="D99" s="880"/>
      <c r="E99" s="880"/>
      <c r="F99" s="880"/>
      <c r="G99" s="531"/>
      <c r="H99" s="137" t="str" cm="1">
        <f t="array" ref="H99">INDEX(Kirjasto!D4:K125,121,Kirjasto!B4)</f>
        <v>Control valve pressure loss*</v>
      </c>
      <c r="I99" s="608"/>
      <c r="J99" s="531"/>
      <c r="K99" s="531"/>
      <c r="L99" s="531"/>
      <c r="M99" s="537" t="str">
        <f>Tulokset!N52</f>
        <v>-</v>
      </c>
      <c r="N99" s="538" t="s">
        <v>500</v>
      </c>
      <c r="O99" s="386"/>
    </row>
    <row r="100" spans="2:15" x14ac:dyDescent="0.15">
      <c r="B100" s="385"/>
      <c r="C100" s="880"/>
      <c r="D100" s="880"/>
      <c r="E100" s="880"/>
      <c r="F100" s="880"/>
      <c r="G100" s="531"/>
      <c r="H100" s="543" t="str" cm="1">
        <f t="array" ref="H100">INDEX(Kirjasto!D4:K125,122,Kirjasto!B4)</f>
        <v>Flow velocity</v>
      </c>
      <c r="I100" s="609"/>
      <c r="J100" s="544"/>
      <c r="K100" s="544"/>
      <c r="L100" s="544"/>
      <c r="M100" s="545" t="str">
        <f>Tulokset!N53</f>
        <v>-</v>
      </c>
      <c r="N100" s="546" t="s">
        <v>502</v>
      </c>
      <c r="O100" s="386"/>
    </row>
    <row r="101" spans="2:15" x14ac:dyDescent="0.15">
      <c r="B101" s="385"/>
      <c r="C101" s="445"/>
      <c r="D101" s="445"/>
      <c r="E101" s="445"/>
      <c r="F101" s="445"/>
      <c r="G101" s="126"/>
      <c r="H101" s="559" t="str">
        <f>Tulokset!M64</f>
        <v/>
      </c>
      <c r="I101" s="559"/>
      <c r="J101" s="383"/>
      <c r="K101" s="383"/>
      <c r="L101" s="383"/>
      <c r="M101" s="448"/>
      <c r="N101" s="383"/>
      <c r="O101" s="386"/>
    </row>
    <row r="102" spans="2:15" x14ac:dyDescent="0.15">
      <c r="B102" s="38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447" t="str">
        <f>O2</f>
        <v>Version 6.1</v>
      </c>
    </row>
  </sheetData>
  <sheetProtection algorithmName="SHA-512" hashValue="cN0zBeouLropENbEKoaEyZaLDfcAYg0h7hXMxfWnPMMMClQYyRMnzZbSj3qLN/TX7uQwsNjojvpgdccS5rwKXQ==" saltValue="FXviShAuZYOzywVwSaqXAA==" spinCount="100000" sheet="1" objects="1" scenarios="1"/>
  <mergeCells count="48">
    <mergeCell ref="N51:N52"/>
    <mergeCell ref="N60:N61"/>
    <mergeCell ref="M51:M52"/>
    <mergeCell ref="D60:L60"/>
    <mergeCell ref="I52:J52"/>
    <mergeCell ref="M60:M61"/>
    <mergeCell ref="D51:L51"/>
    <mergeCell ref="I53:J53"/>
    <mergeCell ref="I54:J54"/>
    <mergeCell ref="I55:J55"/>
    <mergeCell ref="I56:J56"/>
    <mergeCell ref="I57:J57"/>
    <mergeCell ref="C99:F100"/>
    <mergeCell ref="G72:H72"/>
    <mergeCell ref="R71:AC72"/>
    <mergeCell ref="M70:N70"/>
    <mergeCell ref="C76:N77"/>
    <mergeCell ref="M71:N71"/>
    <mergeCell ref="M72:N72"/>
    <mergeCell ref="M73:N73"/>
    <mergeCell ref="M74:N74"/>
    <mergeCell ref="G73:H74"/>
    <mergeCell ref="I71:J72"/>
    <mergeCell ref="I73:J74"/>
    <mergeCell ref="G71:H71"/>
    <mergeCell ref="M69:N69"/>
    <mergeCell ref="M67:N67"/>
    <mergeCell ref="R3:AB3"/>
    <mergeCell ref="D4:I4"/>
    <mergeCell ref="D5:I5"/>
    <mergeCell ref="J36:K37"/>
    <mergeCell ref="M66:N66"/>
    <mergeCell ref="R6:U6"/>
    <mergeCell ref="R15:R16"/>
    <mergeCell ref="R12:R13"/>
    <mergeCell ref="R18:R19"/>
    <mergeCell ref="C66:H66"/>
    <mergeCell ref="W63:AC68"/>
    <mergeCell ref="C67:H67"/>
    <mergeCell ref="C51:C52"/>
    <mergeCell ref="R7:U7"/>
    <mergeCell ref="C60:C61"/>
    <mergeCell ref="W59:AC60"/>
    <mergeCell ref="W57:AC58"/>
    <mergeCell ref="W61:AC62"/>
    <mergeCell ref="M68:N68"/>
    <mergeCell ref="I61:J61"/>
    <mergeCell ref="I62:J62"/>
  </mergeCells>
  <conditionalFormatting sqref="F46:H47">
    <cfRule type="expression" dxfId="15" priority="28">
      <formula>$G$46="-"</formula>
    </cfRule>
  </conditionalFormatting>
  <conditionalFormatting sqref="I73">
    <cfRule type="expression" dxfId="14" priority="29">
      <formula>$I$71&gt;0</formula>
    </cfRule>
    <cfRule type="expression" dxfId="13" priority="30">
      <formula>$I$71&lt;-42</formula>
    </cfRule>
    <cfRule type="expression" dxfId="12" priority="31">
      <formula>$I$71&lt;-34</formula>
    </cfRule>
    <cfRule type="expression" dxfId="11" priority="32">
      <formula>$I$71&lt;-26</formula>
    </cfRule>
    <cfRule type="expression" dxfId="10" priority="33">
      <formula>$I$71&lt;-23</formula>
    </cfRule>
    <cfRule type="expression" dxfId="9" priority="34">
      <formula>$I$71&lt;-20</formula>
    </cfRule>
    <cfRule type="expression" dxfId="8" priority="35">
      <formula>$I$71&lt;-10</formula>
    </cfRule>
    <cfRule type="expression" dxfId="7" priority="36">
      <formula>$I$71&lt;0</formula>
    </cfRule>
  </conditionalFormatting>
  <conditionalFormatting sqref="W10:AC54">
    <cfRule type="expression" dxfId="0" priority="10">
      <formula>$AC10=0</formula>
    </cfRule>
  </conditionalFormatting>
  <dataValidations disablePrompts="1" count="1">
    <dataValidation type="decimal" allowBlank="1" showInputMessage="1" showErrorMessage="1" errorTitle="Incorrect input value" error="Value must be between 15 °C to 40 °C." sqref="T26" xr:uid="{851BD5D9-A2F2-4339-9B99-A4E053CCD84C}">
      <formula1>15</formula1>
      <formula2>40</formula2>
    </dataValidation>
  </dataValidations>
  <hyperlinks>
    <hyperlink ref="E75" r:id="rId1" xr:uid="{CB801612-7E9C-4FC3-BAB8-DB8F7FCE26DB}"/>
    <hyperlink ref="F75" r:id="rId2" xr:uid="{4BAEB775-25D1-4460-943A-14223D3A9242}"/>
    <hyperlink ref="T70" r:id="rId3" xr:uid="{1611D7FE-D3DB-4BB8-AC9E-7314B07F607F}"/>
  </hyperlinks>
  <pageMargins left="0.70866141732283472" right="0.70866141732283472" top="0.74803149606299213" bottom="0.74803149606299213" header="0.31496062992125984" footer="0.31496062992125984"/>
  <pageSetup paperSize="9" scale="56" orientation="portrait" r:id="rId4"/>
  <headerFooter>
    <oddFooter>&amp;C&amp;P/(&amp;N)</oddFooter>
  </headerFooter>
  <ignoredErrors>
    <ignoredError sqref="T11" unlockedFormula="1"/>
    <ignoredError sqref="G38" formula="1"/>
  </ignoredErrors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7" name="Drop Down 1">
              <controlPr defaultSize="0" autoLine="0" autoPict="0">
                <anchor moveWithCells="1">
                  <from>
                    <xdr:col>2</xdr:col>
                    <xdr:colOff>1168400</xdr:colOff>
                    <xdr:row>6</xdr:row>
                    <xdr:rowOff>25400</xdr:rowOff>
                  </from>
                  <to>
                    <xdr:col>4</xdr:col>
                    <xdr:colOff>114300</xdr:colOff>
                    <xdr:row>6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8" name="Drop Down 2">
              <controlPr defaultSize="0" autoLine="0" autoPict="0">
                <anchor moveWithCells="1">
                  <from>
                    <xdr:col>3</xdr:col>
                    <xdr:colOff>63500</xdr:colOff>
                    <xdr:row>70</xdr:row>
                    <xdr:rowOff>0</xdr:rowOff>
                  </from>
                  <to>
                    <xdr:col>5</xdr:col>
                    <xdr:colOff>698500</xdr:colOff>
                    <xdr:row>70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9" name="Drop Down 4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38100</xdr:rowOff>
                  </from>
                  <to>
                    <xdr:col>5</xdr:col>
                    <xdr:colOff>685800</xdr:colOff>
                    <xdr:row>71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10" name="Drop Down 5">
              <controlPr defaultSize="0" autoLine="0" autoPict="0">
                <anchor moveWithCells="1">
                  <from>
                    <xdr:col>3</xdr:col>
                    <xdr:colOff>63500</xdr:colOff>
                    <xdr:row>71</xdr:row>
                    <xdr:rowOff>266700</xdr:rowOff>
                  </from>
                  <to>
                    <xdr:col>5</xdr:col>
                    <xdr:colOff>673100</xdr:colOff>
                    <xdr:row>72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1" name="Drop Down 6">
              <controlPr defaultSize="0" autoLine="0" autoPict="0">
                <anchor moveWithCells="1">
                  <from>
                    <xdr:col>3</xdr:col>
                    <xdr:colOff>63500</xdr:colOff>
                    <xdr:row>72</xdr:row>
                    <xdr:rowOff>254000</xdr:rowOff>
                  </from>
                  <to>
                    <xdr:col>5</xdr:col>
                    <xdr:colOff>673100</xdr:colOff>
                    <xdr:row>73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2" name="Check Box 7">
              <controlPr defaultSize="0" autoFill="0" autoLine="0" autoPict="0" altText="Sound insulated casing: dB-package">
                <anchor moveWithCells="1">
                  <from>
                    <xdr:col>4</xdr:col>
                    <xdr:colOff>609600</xdr:colOff>
                    <xdr:row>5</xdr:row>
                    <xdr:rowOff>215900</xdr:rowOff>
                  </from>
                  <to>
                    <xdr:col>9</xdr:col>
                    <xdr:colOff>647700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 altText="">
                <anchor moveWithCells="1">
                  <from>
                    <xdr:col>2</xdr:col>
                    <xdr:colOff>1333500</xdr:colOff>
                    <xdr:row>56</xdr:row>
                    <xdr:rowOff>0</xdr:rowOff>
                  </from>
                  <to>
                    <xdr:col>3</xdr:col>
                    <xdr:colOff>25400</xdr:colOff>
                    <xdr:row>56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 altText="Sound insulated casing: dB-package">
                <anchor moveWithCells="1">
                  <from>
                    <xdr:col>4</xdr:col>
                    <xdr:colOff>596900</xdr:colOff>
                    <xdr:row>6</xdr:row>
                    <xdr:rowOff>215900</xdr:rowOff>
                  </from>
                  <to>
                    <xdr:col>7</xdr:col>
                    <xdr:colOff>101600</xdr:colOff>
                    <xdr:row>8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5" name="Option Button 16">
              <controlPr defaultSize="0" autoFill="0" autoLine="0" autoPict="0" altText="Suomi">
                <anchor moveWithCells="1">
                  <from>
                    <xdr:col>9</xdr:col>
                    <xdr:colOff>711200</xdr:colOff>
                    <xdr:row>1</xdr:row>
                    <xdr:rowOff>127000</xdr:rowOff>
                  </from>
                  <to>
                    <xdr:col>11</xdr:col>
                    <xdr:colOff>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6" name="Option Button 17">
              <controlPr defaultSize="0" autoFill="0" autoLine="0" autoPict="0">
                <anchor moveWithCells="1">
                  <from>
                    <xdr:col>10</xdr:col>
                    <xdr:colOff>482600</xdr:colOff>
                    <xdr:row>1</xdr:row>
                    <xdr:rowOff>114300</xdr:rowOff>
                  </from>
                  <to>
                    <xdr:col>11</xdr:col>
                    <xdr:colOff>584200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7" name="Option Button 18">
              <controlPr defaultSize="0" autoFill="0" autoLine="0" autoPict="0">
                <anchor moveWithCells="1">
                  <from>
                    <xdr:col>11</xdr:col>
                    <xdr:colOff>368300</xdr:colOff>
                    <xdr:row>1</xdr:row>
                    <xdr:rowOff>114300</xdr:rowOff>
                  </from>
                  <to>
                    <xdr:col>12</xdr:col>
                    <xdr:colOff>330200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8" name="Option Button 19">
              <controlPr defaultSize="0" autoFill="0" autoLine="0" autoPict="0">
                <anchor moveWithCells="1">
                  <from>
                    <xdr:col>12</xdr:col>
                    <xdr:colOff>266700</xdr:colOff>
                    <xdr:row>1</xdr:row>
                    <xdr:rowOff>114300</xdr:rowOff>
                  </from>
                  <to>
                    <xdr:col>13</xdr:col>
                    <xdr:colOff>254000</xdr:colOff>
                    <xdr:row>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9" name="Drop Down 28">
              <controlPr defaultSize="0" autoLine="0" autoPict="0">
                <anchor moveWithCells="1">
                  <from>
                    <xdr:col>18</xdr:col>
                    <xdr:colOff>25400</xdr:colOff>
                    <xdr:row>23</xdr:row>
                    <xdr:rowOff>190500</xdr:rowOff>
                  </from>
                  <to>
                    <xdr:col>20</xdr:col>
                    <xdr:colOff>12700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0" name="Drop Down 29">
              <controlPr defaultSize="0" autoLine="0" autoPict="0">
                <anchor moveWithCells="1">
                  <from>
                    <xdr:col>18</xdr:col>
                    <xdr:colOff>25400</xdr:colOff>
                    <xdr:row>27</xdr:row>
                    <xdr:rowOff>25400</xdr:rowOff>
                  </from>
                  <to>
                    <xdr:col>20</xdr:col>
                    <xdr:colOff>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21" name="Option Button 30">
              <controlPr defaultSize="0" autoFill="0" autoLine="0" autoPict="0" altText="EST">
                <anchor moveWithCells="1">
                  <from>
                    <xdr:col>9</xdr:col>
                    <xdr:colOff>711200</xdr:colOff>
                    <xdr:row>2</xdr:row>
                    <xdr:rowOff>266700</xdr:rowOff>
                  </from>
                  <to>
                    <xdr:col>11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22" name="Option Button 31">
              <controlPr defaultSize="0" autoFill="0" autoLine="0" autoPict="0" altText="EST">
                <anchor moveWithCells="1">
                  <from>
                    <xdr:col>10</xdr:col>
                    <xdr:colOff>482600</xdr:colOff>
                    <xdr:row>2</xdr:row>
                    <xdr:rowOff>254000</xdr:rowOff>
                  </from>
                  <to>
                    <xdr:col>11</xdr:col>
                    <xdr:colOff>571500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23" name="Option Button 32">
              <controlPr defaultSize="0" autoFill="0" autoLine="0" autoPict="0" altText="EST">
                <anchor moveWithCells="1">
                  <from>
                    <xdr:col>11</xdr:col>
                    <xdr:colOff>368300</xdr:colOff>
                    <xdr:row>2</xdr:row>
                    <xdr:rowOff>254000</xdr:rowOff>
                  </from>
                  <to>
                    <xdr:col>12</xdr:col>
                    <xdr:colOff>330200</xdr:colOff>
                    <xdr:row>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4" name="Option Button 33">
              <controlPr defaultSize="0" autoFill="0" autoLine="0" autoPict="0" altText="EST">
                <anchor moveWithCells="1">
                  <from>
                    <xdr:col>12</xdr:col>
                    <xdr:colOff>279400</xdr:colOff>
                    <xdr:row>2</xdr:row>
                    <xdr:rowOff>254000</xdr:rowOff>
                  </from>
                  <to>
                    <xdr:col>13</xdr:col>
                    <xdr:colOff>215900</xdr:colOff>
                    <xdr:row>3</xdr:row>
                    <xdr:rowOff>63500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" id="{15822089-5F4D-4FA1-AEE1-E33B6C54B26E}">
            <xm:f>Tulokset!$BD$4</xm:f>
            <x14:dxf>
              <font>
                <color rgb="FFC00000"/>
              </font>
            </x14:dxf>
          </x14:cfRule>
          <xm:sqref>D62:I62 K62:M62 N63:N64</xm:sqref>
        </x14:conditionalFormatting>
        <x14:conditionalFormatting xmlns:xm="http://schemas.microsoft.com/office/excel/2006/main">
          <x14:cfRule type="beginsWith" priority="5" operator="beginsWith" id="{838BEB81-6100-440C-BD52-C81651FF74D9}">
            <xm:f>LEFT(D42,LEN("-"))="-"</xm:f>
            <xm:f>"-"</xm:f>
            <x14:dxf>
              <font>
                <color rgb="FFFF0000"/>
              </font>
            </x14:dxf>
          </x14:cfRule>
          <xm:sqref>E42:E43 G42:G43 D45:D47</xm:sqref>
        </x14:conditionalFormatting>
        <x14:conditionalFormatting xmlns:xm="http://schemas.microsoft.com/office/excel/2006/main">
          <x14:cfRule type="beginsWith" priority="4" operator="beginsWith" id="{66384623-6EDF-41DF-8FD0-892733BB31CF}">
            <xm:f>LEFT(L37,LEN("-"))="-"</xm:f>
            <xm:f>"-"</xm:f>
            <x14:dxf>
              <font>
                <color rgb="FFFF0000"/>
              </font>
            </x14:dxf>
          </x14:cfRule>
          <xm:sqref>L37:M37</xm:sqref>
        </x14:conditionalFormatting>
        <x14:conditionalFormatting xmlns:xm="http://schemas.microsoft.com/office/excel/2006/main">
          <x14:cfRule type="beginsWith" priority="6" operator="beginsWith" id="{33F67715-E6F3-4D57-9AFB-C5845B15646E}">
            <xm:f>LEFT(L44,LEN("-"))="-"</xm:f>
            <xm:f>"-"</xm:f>
            <x14:dxf>
              <font>
                <color rgb="FFFF0000"/>
              </font>
            </x14:dxf>
          </x14:cfRule>
          <xm:sqref>L44:M47</xm:sqref>
        </x14:conditionalFormatting>
        <x14:conditionalFormatting xmlns:xm="http://schemas.microsoft.com/office/excel/2006/main">
          <x14:cfRule type="expression" priority="24" id="{65B80636-7500-4EAC-AFF6-1E874419FB91}">
            <xm:f>Tulokset!$BD$4</xm:f>
            <x14:dxf>
              <font>
                <b/>
                <i val="0"/>
                <color rgb="FFC00000"/>
              </font>
            </x14:dxf>
          </x14:cfRule>
          <xm:sqref>N62</xm:sqref>
        </x14:conditionalFormatting>
        <x14:conditionalFormatting xmlns:xm="http://schemas.microsoft.com/office/excel/2006/main">
          <x14:cfRule type="expression" priority="2" id="{02283E41-4255-4B32-8C51-C0F939287223}">
            <xm:f>Laskenta_vuosihyötysuhde!$C$38</xm:f>
            <x14:dxf>
              <font>
                <color theme="0"/>
              </font>
            </x14:dxf>
          </x14:cfRule>
          <xm:sqref>R29:S29 U29</xm:sqref>
        </x14:conditionalFormatting>
        <x14:conditionalFormatting xmlns:xm="http://schemas.microsoft.com/office/excel/2006/main">
          <x14:cfRule type="expression" priority="1" id="{5D1877FF-3366-4862-8B3F-35086DF58F08}">
            <xm:f>Kirjasto!$V$6</xm:f>
            <x14:dxf>
              <font>
                <color theme="0"/>
              </font>
              <border>
                <bottom/>
                <vertical/>
                <horizontal/>
              </border>
            </x14:dxf>
          </x14:cfRule>
          <xm:sqref>R22:T23</xm:sqref>
        </x14:conditionalFormatting>
        <x14:conditionalFormatting xmlns:xm="http://schemas.microsoft.com/office/excel/2006/main">
          <x14:cfRule type="expression" priority="3" id="{0EC8C386-ADA1-48B5-9010-96823F571242}">
            <xm:f>Laskenta_vuosihyötysuhde!$C$38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left/>
                <right/>
                <top/>
                <bottom style="thin">
                  <color auto="1"/>
                </bottom>
              </border>
            </x14:dxf>
          </x14:cfRule>
          <xm:sqref>T29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8"/>
  <dimension ref="C2:AP99"/>
  <sheetViews>
    <sheetView topLeftCell="H1" zoomScale="85" zoomScaleNormal="85" workbookViewId="0">
      <selection activeCell="AL36" sqref="AL36"/>
    </sheetView>
  </sheetViews>
  <sheetFormatPr baseColWidth="10" defaultColWidth="8.83203125" defaultRowHeight="13" x14ac:dyDescent="0.15"/>
  <cols>
    <col min="16" max="16" width="10.83203125" customWidth="1"/>
    <col min="22" max="22" width="14.83203125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Tulostus!G33</f>
        <v>40</v>
      </c>
      <c r="K3" t="s">
        <v>13</v>
      </c>
      <c r="L3" s="7">
        <f>Tulostus!G39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18.654827092232345</v>
      </c>
      <c r="Q5" s="52">
        <v>-20.149080982363287</v>
      </c>
      <c r="R5" t="s">
        <v>8</v>
      </c>
      <c r="T5" s="4"/>
      <c r="U5" s="39" t="s">
        <v>43</v>
      </c>
      <c r="V5" t="s">
        <v>8</v>
      </c>
      <c r="W5" s="9">
        <f>$P$5*LN($J$3)+$Q$5</f>
        <v>48.666327398220631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19.488668888700786</v>
      </c>
      <c r="Q6" s="52">
        <v>-13.19681182651216</v>
      </c>
      <c r="R6" t="s">
        <v>57</v>
      </c>
      <c r="T6" s="4"/>
      <c r="U6" s="39" t="s">
        <v>43</v>
      </c>
      <c r="V6" t="s">
        <v>57</v>
      </c>
      <c r="W6" s="9">
        <f>$P$6*LN($J$3)+$Q$6</f>
        <v>58.69453842504565</v>
      </c>
      <c r="X6" t="s">
        <v>31</v>
      </c>
      <c r="AA6" s="55">
        <v>25</v>
      </c>
      <c r="AB6" s="56">
        <f t="shared" ref="AB6:AB12" si="0">(-$D$9-SQRT($D$9^2-(4*$C$9*($E$9-AA6))))/(2*$C$9)</f>
        <v>116.53439357132875</v>
      </c>
      <c r="AC6" s="55">
        <v>24</v>
      </c>
      <c r="AD6" s="57">
        <f t="shared" ref="AD6:AD12" si="1">(-$D$14-SQRT($D$14^2-(4*$C$14*($E$14-AC6))))/(2*$C$14)</f>
        <v>112.6869797142791</v>
      </c>
      <c r="AE6" s="55">
        <v>17</v>
      </c>
      <c r="AF6" s="57">
        <f t="shared" ref="AF6:AF11" si="2">(-$D$19-SQRT($D$19^2-(4*$C$19*($E$19-AE6))))/(2*$C$19)</f>
        <v>72.284594299567686</v>
      </c>
      <c r="AG6" s="56">
        <v>10</v>
      </c>
      <c r="AH6" s="57">
        <f>(-$D$24-SQRT($D$24^2-(4*$C$24*($E$24-AG6))))/(2*$C$24)</f>
        <v>36.100405459595137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106.04294190771634</v>
      </c>
      <c r="AC7" s="55">
        <v>100</v>
      </c>
      <c r="AD7" s="57">
        <f t="shared" si="1"/>
        <v>101.16251296817727</v>
      </c>
      <c r="AE7" s="55">
        <v>40</v>
      </c>
      <c r="AF7" s="57">
        <f t="shared" si="2"/>
        <v>65.038512656650866</v>
      </c>
      <c r="AG7" s="56">
        <v>20</v>
      </c>
      <c r="AH7" s="57">
        <f>(-$D$24-SQRT($D$24^2-(4*$C$24*($E$24-AG7))))/(2*$C$24)</f>
        <v>30.228941518656235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97.229113962616722</v>
      </c>
      <c r="AC8" s="55">
        <v>150</v>
      </c>
      <c r="AD8" s="57">
        <f t="shared" si="1"/>
        <v>92.618224317416534</v>
      </c>
      <c r="AE8" s="55">
        <v>60</v>
      </c>
      <c r="AF8" s="57">
        <f t="shared" si="2"/>
        <v>58.173257245729815</v>
      </c>
      <c r="AG8" s="56">
        <v>30</v>
      </c>
      <c r="AH8" s="57">
        <f>(-$D$24-SQRT($D$24^2-(4*$C$24*($E$24-AG8))))/(2*$C$24)</f>
        <v>23.211710481821601</v>
      </c>
    </row>
    <row r="9" spans="3:34" x14ac:dyDescent="0.15">
      <c r="C9" s="8">
        <v>-5.7648754865543043E-2</v>
      </c>
      <c r="D9" s="8">
        <v>3.7763152889204412</v>
      </c>
      <c r="E9" s="8">
        <v>367.81474923817939</v>
      </c>
      <c r="H9" s="2"/>
      <c r="P9" t="s">
        <v>23</v>
      </c>
      <c r="Q9" s="52">
        <f t="array" ref="Q9:R9">LINEST(AC35:AC37,U35:U37)</f>
        <v>11.966610775115159</v>
      </c>
      <c r="R9" s="52">
        <v>-8.592922389176735</v>
      </c>
      <c r="U9" s="39" t="s">
        <v>42</v>
      </c>
      <c r="V9" t="s">
        <v>58</v>
      </c>
      <c r="W9" s="273">
        <f>IF($J$3&gt;$AC$35,($J$3-$R$10)/$Q$10,($J$3-$R$9)/$Q$9)</f>
        <v>4.0607088592057181</v>
      </c>
      <c r="X9" t="s">
        <v>25</v>
      </c>
      <c r="AA9" s="55">
        <v>250</v>
      </c>
      <c r="AB9" s="56">
        <f t="shared" si="0"/>
        <v>88.57761083726021</v>
      </c>
      <c r="AC9" s="55">
        <v>200</v>
      </c>
      <c r="AD9" s="57">
        <f t="shared" si="1"/>
        <v>82.962402646329451</v>
      </c>
      <c r="AE9" s="55">
        <v>80</v>
      </c>
      <c r="AF9" s="57">
        <f t="shared" si="2"/>
        <v>50.616285442767648</v>
      </c>
      <c r="AG9" s="56">
        <v>35</v>
      </c>
      <c r="AH9" s="57">
        <f>(-$D$24-SQRT($D$24^2-(4*$C$24*($E$24-AG9))))/(2*$C$24)</f>
        <v>18.983097435077962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3.0158214799001248</v>
      </c>
      <c r="R10" s="52">
        <v>58.820181938578948</v>
      </c>
      <c r="W10" t="b">
        <f>IF(AND(W9&lt;=10.01,Tulostus!G33&gt;=W11),TRUE,FALSE)</f>
        <v>1</v>
      </c>
      <c r="AA10" s="55">
        <v>320</v>
      </c>
      <c r="AB10" s="56">
        <f t="shared" si="0"/>
        <v>76.366556139312408</v>
      </c>
      <c r="AC10" s="55">
        <v>250</v>
      </c>
      <c r="AD10" s="57">
        <f t="shared" si="1"/>
        <v>71.599428630662572</v>
      </c>
      <c r="AE10" s="55">
        <v>100</v>
      </c>
      <c r="AF10" s="57">
        <f t="shared" si="2"/>
        <v>42.103641313068522</v>
      </c>
      <c r="AG10" s="56">
        <v>43</v>
      </c>
      <c r="AH10" s="57">
        <f>(-$D$24-SQRT($D$24^2-(4*$C$24*($E$24-AG10))))/(2*$C$24)</f>
        <v>10.086604002383522</v>
      </c>
    </row>
    <row r="11" spans="3:34" x14ac:dyDescent="0.15">
      <c r="C11" s="2" t="s">
        <v>9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58.980839057652446</v>
      </c>
      <c r="AC11" s="55">
        <v>300</v>
      </c>
      <c r="AD11" s="57">
        <f t="shared" si="1"/>
        <v>57.073060803556054</v>
      </c>
      <c r="AE11" s="55">
        <v>140</v>
      </c>
      <c r="AF11" s="57">
        <f t="shared" si="2"/>
        <v>19.574933517601881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422</v>
      </c>
      <c r="AB12" s="59">
        <f t="shared" si="0"/>
        <v>44.277754454596312</v>
      </c>
      <c r="AC12" s="58">
        <v>340</v>
      </c>
      <c r="AD12" s="60">
        <f t="shared" si="1"/>
        <v>39.254349206872753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2.35706288161159E-2</v>
      </c>
      <c r="Q13" s="51">
        <v>-1.0540153206693166</v>
      </c>
      <c r="R13" s="51">
        <v>19.054392079729496</v>
      </c>
      <c r="U13" s="39" t="s">
        <v>43</v>
      </c>
      <c r="V13" t="s">
        <v>58</v>
      </c>
      <c r="W13" s="9">
        <f>$P$13*J3^2+$Q$13*J3+$R$13</f>
        <v>14.606785358742272</v>
      </c>
      <c r="X13" t="s">
        <v>49</v>
      </c>
    </row>
    <row r="14" spans="3:34" x14ac:dyDescent="0.15">
      <c r="C14" s="8">
        <v>-3.7012907733774747E-2</v>
      </c>
      <c r="D14" s="8">
        <v>1.3205263241356524</v>
      </c>
      <c r="E14" s="8">
        <v>345.19693358447245</v>
      </c>
      <c r="H14" s="2"/>
      <c r="V14" t="s">
        <v>52</v>
      </c>
      <c r="W14" s="3">
        <f>IF(W13&gt;118,118,W13)</f>
        <v>14.606785358742272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</row>
    <row r="17" spans="3:35" x14ac:dyDescent="0.15">
      <c r="C17" t="s">
        <v>11</v>
      </c>
      <c r="D17" s="1"/>
      <c r="E17" s="1"/>
      <c r="H17" s="1"/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-1.8489332347862378E-2</v>
      </c>
      <c r="D19" s="8">
        <v>-0.63511672913465744</v>
      </c>
      <c r="E19" s="8">
        <v>159.51707354992274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AB21" s="6"/>
      <c r="AC21" s="6"/>
    </row>
    <row r="22" spans="3:35" x14ac:dyDescent="0.15">
      <c r="C22" t="s">
        <v>11</v>
      </c>
      <c r="D22" s="1"/>
      <c r="E22" s="1"/>
      <c r="H22" s="1"/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-2.1576213285929312E-2</v>
      </c>
      <c r="D24" s="8">
        <v>-0.27201661971312024</v>
      </c>
      <c r="E24" s="8">
        <v>47.938878809306331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3.125E-2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-5.7648754865543043E-2</v>
      </c>
      <c r="W34" s="32">
        <f>D9</f>
        <v>3.7763152889204412</v>
      </c>
      <c r="X34" s="29">
        <f>E9</f>
        <v>367.81474923817939</v>
      </c>
      <c r="Y34" s="36">
        <f>C9-U29</f>
        <v>-8.889875486554305E-2</v>
      </c>
      <c r="Z34" s="28">
        <f>(-W34+SQRT(W34^2-(4*Y34*X34)))/(2*Y34)</f>
        <v>-46.499564557849276</v>
      </c>
      <c r="AA34" s="29">
        <f>(-W34-SQRT(W34^2-(4*Y34*X34)))/(2*Y34)</f>
        <v>88.978396737580198</v>
      </c>
      <c r="AB34" s="36">
        <f>AB6</f>
        <v>116.53439357132875</v>
      </c>
      <c r="AC34" s="53">
        <f>IF(Z34&lt;0,AA34,IF(Z34&gt;AB34,AA34,Z34))</f>
        <v>88.978396737580198</v>
      </c>
      <c r="AD34" s="53">
        <f>V34*AC34^2+W34*AC34+X34</f>
        <v>247.41109643719449</v>
      </c>
      <c r="AE34" s="53">
        <f>X51*AC34^2+Y51*AC34+Z51</f>
        <v>113.4007744492723</v>
      </c>
      <c r="AF34" s="53">
        <f>$H$60*AC34+$I$60</f>
        <v>63.889211842680233</v>
      </c>
      <c r="AG34" s="53">
        <f>$R$60*AC34^2+$S$60*AC34+$T$60</f>
        <v>74.223274999880104</v>
      </c>
      <c r="AI34" s="618">
        <f>AC34/J3-1</f>
        <v>1.2244599184395049</v>
      </c>
      <c r="AL34" s="278" t="b">
        <f>IF(AI36&gt;AC34,FALSE,TRUE)</f>
        <v>1</v>
      </c>
      <c r="AM34" t="s">
        <v>1117</v>
      </c>
    </row>
    <row r="35" spans="21:42" x14ac:dyDescent="0.15">
      <c r="U35" s="35">
        <v>7.5</v>
      </c>
      <c r="V35" s="28">
        <f>C14</f>
        <v>-3.7012907733774747E-2</v>
      </c>
      <c r="W35" s="32">
        <f>D14</f>
        <v>1.3205263241356524</v>
      </c>
      <c r="X35" s="29">
        <f>E14</f>
        <v>345.19693358447245</v>
      </c>
      <c r="Y35" s="36">
        <f>C14-U29</f>
        <v>-6.8262907733774747E-2</v>
      </c>
      <c r="Z35" s="28">
        <f t="shared" ref="Z35:Z37" si="3">(-W35+SQRT(W35^2-(4*Y35*X35)))/(2*Y35)</f>
        <v>-62.094130543517394</v>
      </c>
      <c r="AA35" s="29">
        <f t="shared" ref="AA35:AA37" si="4">(-W35-SQRT(W35^2-(4*Y35*X35)))/(2*Y35)</f>
        <v>81.438843037829884</v>
      </c>
      <c r="AB35" s="36">
        <f>AD6</f>
        <v>112.6869797142791</v>
      </c>
      <c r="AC35" s="53">
        <f t="shared" ref="AC35:AC37" si="5">IF(Z35&lt;0,AA35,IF(Z35&gt;AB35,AA35,Z35))</f>
        <v>81.438843037829884</v>
      </c>
      <c r="AD35" s="53">
        <f>V35*AC35^2+W35*AC35+X35</f>
        <v>207.25891110438414</v>
      </c>
      <c r="AE35" s="53">
        <f t="shared" ref="AE35:AE37" si="6">X52*AC35^2+Y52*AC35+Z52</f>
        <v>87.388769482027939</v>
      </c>
      <c r="AF35" s="53">
        <f>$H$65*AC35+$I$65</f>
        <v>61.734710521894606</v>
      </c>
      <c r="AG35" s="53">
        <f>$R$65*AC35^2+$S$65*AC35+$T$65</f>
        <v>72.56366439815146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-1.8489332347862378E-2</v>
      </c>
      <c r="W36" s="32">
        <f>D19</f>
        <v>-0.63511672913465744</v>
      </c>
      <c r="X36" s="29">
        <f>E19</f>
        <v>159.51707354992274</v>
      </c>
      <c r="Y36" s="36">
        <f>C19-U29</f>
        <v>-4.9739332347862375E-2</v>
      </c>
      <c r="Z36" s="28">
        <f t="shared" si="3"/>
        <v>-63.374119489705237</v>
      </c>
      <c r="AA36" s="29">
        <f t="shared" si="4"/>
        <v>50.605216105702482</v>
      </c>
      <c r="AB36" s="36">
        <f>AF6</f>
        <v>72.284594299567686</v>
      </c>
      <c r="AC36" s="53">
        <f t="shared" si="5"/>
        <v>50.605216105702482</v>
      </c>
      <c r="AD36" s="53">
        <f>V36*AC36^2+W36*AC36+X36</f>
        <v>80.027746784526528</v>
      </c>
      <c r="AE36" s="53">
        <f t="shared" si="6"/>
        <v>27.069827123327443</v>
      </c>
      <c r="AF36" s="53">
        <f>$H$70*AC36^2+$I$70*AC36+$J$70</f>
        <v>52.805617634435279</v>
      </c>
      <c r="AG36" s="53">
        <f>$R$70*AC36^2+$S$70*AC36+$T$70</f>
        <v>63.35616514792607</v>
      </c>
      <c r="AI36" s="279">
        <f>Tulokset!$CS$16</f>
        <v>48</v>
      </c>
      <c r="AJ36" t="s">
        <v>13</v>
      </c>
      <c r="AL36" s="619">
        <f>IF($AI$36&gt;$AC$35,($AI$36-$R$10)/$Q$10,($AI$36-$R$9)/$Q$9)</f>
        <v>4.7292356585093431</v>
      </c>
      <c r="AM36" t="s">
        <v>25</v>
      </c>
    </row>
    <row r="37" spans="21:42" x14ac:dyDescent="0.15">
      <c r="U37" s="38">
        <v>3</v>
      </c>
      <c r="V37" s="30">
        <f>C24</f>
        <v>-2.1576213285929312E-2</v>
      </c>
      <c r="W37" s="33">
        <f>D24</f>
        <v>-0.27201661971312024</v>
      </c>
      <c r="X37" s="31">
        <f>E24</f>
        <v>47.938878809306331</v>
      </c>
      <c r="Y37" s="37">
        <f>C24-U29</f>
        <v>-5.2826213285929312E-2</v>
      </c>
      <c r="Z37" s="30">
        <f t="shared" si="3"/>
        <v>-32.808914194411187</v>
      </c>
      <c r="AA37" s="31">
        <f t="shared" si="4"/>
        <v>27.659640703222408</v>
      </c>
      <c r="AB37" s="37">
        <f>AH6</f>
        <v>36.100405459595137</v>
      </c>
      <c r="AC37" s="53">
        <f t="shared" si="5"/>
        <v>27.659640703222408</v>
      </c>
      <c r="AD37" s="53">
        <f>V37*AC37^2+W37*AC37+X37</f>
        <v>23.907991369729931</v>
      </c>
      <c r="AE37" s="53">
        <f t="shared" si="6"/>
        <v>7.577495451311739</v>
      </c>
      <c r="AF37" s="53">
        <f>$H$75*AC37^2+$I$75*AC37+$J$75</f>
        <v>41.918935790440017</v>
      </c>
      <c r="AG37" s="53">
        <f>$R$75*AC37^2+$S$75*AC37+$T$75</f>
        <v>51.466212988854835</v>
      </c>
      <c r="AI37" s="279">
        <f>Tulokset!$CS$17</f>
        <v>72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23</v>
      </c>
      <c r="X43" s="49">
        <v>4</v>
      </c>
      <c r="Y43" s="49">
        <v>-1</v>
      </c>
      <c r="Z43" s="49">
        <v>-4</v>
      </c>
      <c r="AA43" s="49">
        <v>-10</v>
      </c>
      <c r="AB43" s="49">
        <v>-17</v>
      </c>
      <c r="AC43" s="49">
        <v>-26</v>
      </c>
      <c r="AD43" s="49">
        <v>-32</v>
      </c>
      <c r="AE43" s="39" t="s">
        <v>42</v>
      </c>
      <c r="AF43" s="53">
        <f>$W$5+W43</f>
        <v>71.666327398220631</v>
      </c>
      <c r="AG43" s="53">
        <f t="shared" ref="AG43:AM43" si="7">$W$5+X43</f>
        <v>52.666327398220631</v>
      </c>
      <c r="AH43" s="53">
        <f t="shared" si="7"/>
        <v>47.666327398220631</v>
      </c>
      <c r="AI43" s="53">
        <f t="shared" si="7"/>
        <v>44.666327398220631</v>
      </c>
      <c r="AJ43" s="53">
        <f t="shared" si="7"/>
        <v>38.666327398220631</v>
      </c>
      <c r="AK43" s="53">
        <f t="shared" si="7"/>
        <v>31.666327398220631</v>
      </c>
      <c r="AL43" s="53">
        <f t="shared" si="7"/>
        <v>22.666327398220631</v>
      </c>
      <c r="AM43" s="53">
        <f t="shared" si="7"/>
        <v>16.666327398220631</v>
      </c>
      <c r="AN43" s="5">
        <f t="array" ref="AN43">10*LOG10(SUM(10^(AF43:AM43/10)))</f>
        <v>71.74884709234172</v>
      </c>
      <c r="AO43" s="5">
        <f t="array" ref="AO43">10*LOG10(SUM(10^((AF43:AM43+AF46:AM46)/10)))</f>
        <v>48.536006325304307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20</v>
      </c>
      <c r="X44" s="49">
        <v>4</v>
      </c>
      <c r="Y44" s="49">
        <v>2</v>
      </c>
      <c r="Z44" s="49">
        <v>-5</v>
      </c>
      <c r="AA44" s="49">
        <v>-8</v>
      </c>
      <c r="AB44" s="49">
        <v>-10</v>
      </c>
      <c r="AC44" s="49">
        <v>-15</v>
      </c>
      <c r="AD44" s="49">
        <v>-19</v>
      </c>
      <c r="AE44" s="39" t="s">
        <v>43</v>
      </c>
      <c r="AF44" s="53">
        <f>$W$6+W44</f>
        <v>78.69453842504565</v>
      </c>
      <c r="AG44" s="53">
        <f t="shared" ref="AG44:AM44" si="8">$W$6+X44</f>
        <v>62.69453842504565</v>
      </c>
      <c r="AH44" s="53">
        <f t="shared" si="8"/>
        <v>60.69453842504565</v>
      </c>
      <c r="AI44" s="53">
        <f t="shared" si="8"/>
        <v>53.69453842504565</v>
      </c>
      <c r="AJ44" s="53">
        <f t="shared" si="8"/>
        <v>50.69453842504565</v>
      </c>
      <c r="AK44" s="53">
        <f t="shared" si="8"/>
        <v>48.69453842504565</v>
      </c>
      <c r="AL44" s="53">
        <f t="shared" si="8"/>
        <v>43.69453842504565</v>
      </c>
      <c r="AM44" s="53">
        <f t="shared" si="8"/>
        <v>39.69453842504565</v>
      </c>
      <c r="AN44" s="5">
        <f t="array" ref="AN44">10*LOG10(SUM(10^(AF44:AM44/10)))</f>
        <v>78.894656789813283</v>
      </c>
      <c r="AO44" s="5">
        <f t="array" ref="AO44">10*LOG10(SUM(10^((AF44:AM44+AF46:AM46)/10)))</f>
        <v>58.744511409516377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-1.3543588948920359E-2</v>
      </c>
      <c r="Y51" s="54">
        <v>2.7451535643955243</v>
      </c>
      <c r="Z51" s="54">
        <v>-23.631894379589269</v>
      </c>
    </row>
    <row r="52" spans="3:26" x14ac:dyDescent="0.15">
      <c r="W52" t="s">
        <v>9</v>
      </c>
      <c r="X52" s="54">
        <f t="array" ref="X52:Z52">LINEST(Y67:Y74,X67:X74^{1,2})</f>
        <v>2.3760486244052246E-4</v>
      </c>
      <c r="Y52" s="54">
        <v>0.64970759674500533</v>
      </c>
      <c r="Z52" s="54">
        <v>32.901471288224826</v>
      </c>
    </row>
    <row r="53" spans="3:26" x14ac:dyDescent="0.15">
      <c r="W53" t="s">
        <v>10</v>
      </c>
      <c r="X53" s="54">
        <f t="array" ref="X53:Z53">LINEST(Y76:Y82,X76:X82^{1,2})</f>
        <v>-1.3805580669731764E-3</v>
      </c>
      <c r="Y53" s="54">
        <v>0.47197019966020703</v>
      </c>
      <c r="Z53" s="54">
        <v>6.7211276190331919</v>
      </c>
    </row>
    <row r="54" spans="3:26" x14ac:dyDescent="0.15">
      <c r="W54" t="s">
        <v>12</v>
      </c>
      <c r="X54" s="54">
        <f t="array" ref="X54:Z54">LINEST(Y84:Y90,X84:X90^{1,2})</f>
        <v>2.5923496714234362E-3</v>
      </c>
      <c r="Y54" s="54">
        <v>-1.8306120187920719E-2</v>
      </c>
      <c r="Z54" s="54">
        <v>6.1005442040847928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107.87470909090911</v>
      </c>
      <c r="E59" s="68">
        <v>63.493905363116568</v>
      </c>
      <c r="F59" s="69">
        <v>115.5265385403938</v>
      </c>
      <c r="H59" t="s">
        <v>4</v>
      </c>
      <c r="I59" t="s">
        <v>5</v>
      </c>
      <c r="K59" s="24"/>
      <c r="M59" s="10" t="s">
        <v>3</v>
      </c>
      <c r="N59" s="67">
        <v>105.87988000000001</v>
      </c>
      <c r="O59" s="68">
        <v>74.153114524051219</v>
      </c>
      <c r="P59" s="69">
        <v>114.51147458167894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107.87470909090911</v>
      </c>
      <c r="Y59" s="20">
        <f>F59</f>
        <v>115.5265385403938</v>
      </c>
    </row>
    <row r="60" spans="3:26" x14ac:dyDescent="0.15">
      <c r="C60" s="12"/>
      <c r="D60" s="67">
        <v>100.38941818181817</v>
      </c>
      <c r="E60" s="68">
        <v>63.297960771432606</v>
      </c>
      <c r="F60" s="69">
        <v>115.61548841235609</v>
      </c>
      <c r="H60" s="2">
        <f t="array" ref="H60:I60">LINEST(E59:E62,D59:D62)</f>
        <v>-2.8460911121789619E-2</v>
      </c>
      <c r="I60" s="2">
        <v>66.421618083987838</v>
      </c>
      <c r="K60" s="24"/>
      <c r="M60" s="12"/>
      <c r="N60" s="67">
        <v>93.874200000000016</v>
      </c>
      <c r="O60" s="68">
        <v>74.019684338213324</v>
      </c>
      <c r="P60" s="69">
        <v>114.59145317497428</v>
      </c>
      <c r="R60" s="2">
        <f t="array" ref="R60:T60">LINEST(O59:O62,N59:N62^{1,2})</f>
        <v>1.6442760010941017E-4</v>
      </c>
      <c r="S60" s="2">
        <v>-4.0116730499039355E-2</v>
      </c>
      <c r="T60" s="27">
        <v>76.490998551554824</v>
      </c>
      <c r="W60" s="12"/>
      <c r="X60" s="17">
        <f t="shared" ref="X60" si="9">D60</f>
        <v>100.38941818181817</v>
      </c>
      <c r="Y60" s="13">
        <f>F60</f>
        <v>115.61548841235609</v>
      </c>
    </row>
    <row r="61" spans="3:26" x14ac:dyDescent="0.15">
      <c r="C61" s="12"/>
      <c r="D61" s="67">
        <v>81.448654545454545</v>
      </c>
      <c r="E61" s="68">
        <v>64.272693827427119</v>
      </c>
      <c r="F61" s="69">
        <v>105.53121203262157</v>
      </c>
      <c r="K61" s="24"/>
      <c r="M61" s="12"/>
      <c r="N61" s="67">
        <v>78.199472727272749</v>
      </c>
      <c r="O61" s="68">
        <v>74.473808384522599</v>
      </c>
      <c r="P61" s="69">
        <v>107.97492327537397</v>
      </c>
      <c r="T61" s="24"/>
      <c r="W61" s="12"/>
      <c r="X61" s="17">
        <f>D62</f>
        <v>53.089945454545457</v>
      </c>
      <c r="Y61" s="13">
        <f>F62</f>
        <v>82.467336854174889</v>
      </c>
    </row>
    <row r="62" spans="3:26" x14ac:dyDescent="0.15">
      <c r="C62" s="14"/>
      <c r="D62" s="67">
        <v>53.089945454545457</v>
      </c>
      <c r="E62" s="68">
        <v>64.865434420758902</v>
      </c>
      <c r="F62" s="69">
        <v>82.467336854174889</v>
      </c>
      <c r="K62" s="24"/>
      <c r="M62" s="14"/>
      <c r="N62" s="67">
        <v>56.082470000000015</v>
      </c>
      <c r="O62" s="68">
        <v>74.731939131631037</v>
      </c>
      <c r="P62" s="69">
        <v>89.453528617995275</v>
      </c>
      <c r="T62" s="24"/>
      <c r="W62" s="12"/>
      <c r="X62" s="17">
        <f>N59</f>
        <v>105.87988000000001</v>
      </c>
      <c r="Y62" s="13">
        <f>P59</f>
        <v>114.51147458167894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93.874200000000016</v>
      </c>
      <c r="Y63" s="13">
        <f>P60</f>
        <v>114.59145317497428</v>
      </c>
    </row>
    <row r="64" spans="3:26" x14ac:dyDescent="0.15">
      <c r="C64" s="10" t="s">
        <v>30</v>
      </c>
      <c r="D64" s="67">
        <v>101.3108</v>
      </c>
      <c r="E64" s="68">
        <v>61.793578745932216</v>
      </c>
      <c r="F64" s="69">
        <v>98.884138967030296</v>
      </c>
      <c r="H64" t="s">
        <v>4</v>
      </c>
      <c r="I64" t="s">
        <v>5</v>
      </c>
      <c r="K64" s="24"/>
      <c r="M64" s="10" t="s">
        <v>30</v>
      </c>
      <c r="N64" s="67">
        <v>102.35830999999999</v>
      </c>
      <c r="O64" s="68">
        <v>73.498378980241881</v>
      </c>
      <c r="P64" s="69">
        <v>105.13583741824799</v>
      </c>
      <c r="R64" t="s">
        <v>4</v>
      </c>
      <c r="S64" t="s">
        <v>5</v>
      </c>
      <c r="T64" s="24" t="s">
        <v>6</v>
      </c>
      <c r="W64" s="12"/>
      <c r="X64" s="17">
        <f>N61</f>
        <v>78.199472727272749</v>
      </c>
      <c r="Y64" s="13">
        <f>P61</f>
        <v>107.97492327537397</v>
      </c>
    </row>
    <row r="65" spans="3:25" x14ac:dyDescent="0.15">
      <c r="C65" s="12"/>
      <c r="D65" s="67">
        <v>91.942481818181818</v>
      </c>
      <c r="E65" s="68">
        <v>61.699170450617359</v>
      </c>
      <c r="F65" s="69">
        <v>90.840740895422627</v>
      </c>
      <c r="H65" s="2">
        <f t="array" ref="H65:I65">LINEST(E64:E67,D64:D67)</f>
        <v>-3.39532370790682E-3</v>
      </c>
      <c r="I65" s="2">
        <v>62.011221756405455</v>
      </c>
      <c r="K65" s="24"/>
      <c r="M65" s="12"/>
      <c r="N65" s="67">
        <v>86.961870000000005</v>
      </c>
      <c r="O65" s="68">
        <v>72.346734218995607</v>
      </c>
      <c r="P65" s="69">
        <v>94.442699474731185</v>
      </c>
      <c r="R65" s="2">
        <f t="array" ref="R65:T65">LINEST(O64:O67,N64:N67^{1,2})</f>
        <v>9.235080960323267E-4</v>
      </c>
      <c r="S65" s="2">
        <v>-0.13111430655115566</v>
      </c>
      <c r="T65" s="27">
        <v>77.116492793233164</v>
      </c>
      <c r="W65" s="14"/>
      <c r="X65" s="18">
        <f>N62</f>
        <v>56.082470000000015</v>
      </c>
      <c r="Y65" s="15">
        <f>P62</f>
        <v>89.453528617995275</v>
      </c>
    </row>
    <row r="66" spans="3:25" x14ac:dyDescent="0.15">
      <c r="C66" s="12"/>
      <c r="D66" s="67">
        <v>73.066327272727278</v>
      </c>
      <c r="E66" s="68">
        <v>61.499502073968259</v>
      </c>
      <c r="F66" s="69">
        <v>77.408747968745246</v>
      </c>
      <c r="K66" s="24"/>
      <c r="M66" s="12"/>
      <c r="N66" s="67">
        <v>71.166445454545453</v>
      </c>
      <c r="O66" s="68">
        <v>72.760088595110957</v>
      </c>
      <c r="P66" s="69">
        <v>84.026670350589114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47.035418181818187</v>
      </c>
      <c r="E67" s="68">
        <v>61.988694002013098</v>
      </c>
      <c r="F67" s="69">
        <v>60.596137104000228</v>
      </c>
      <c r="K67" s="24"/>
      <c r="M67" s="14"/>
      <c r="N67" s="67">
        <v>48.991949999999996</v>
      </c>
      <c r="O67" s="68">
        <v>72.837280093152657</v>
      </c>
      <c r="P67" s="69">
        <v>68.8379859505214</v>
      </c>
      <c r="T67" s="24"/>
      <c r="W67" s="10" t="s">
        <v>9</v>
      </c>
      <c r="X67" s="19">
        <f>D64</f>
        <v>101.3108</v>
      </c>
      <c r="Y67" s="20">
        <f>F64</f>
        <v>98.884138967030296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91.942481818181818</v>
      </c>
      <c r="Y68" s="13">
        <f t="shared" ref="Y68" si="11">F65</f>
        <v>90.840740895422627</v>
      </c>
    </row>
    <row r="69" spans="3:25" x14ac:dyDescent="0.15">
      <c r="C69" s="10" t="s">
        <v>10</v>
      </c>
      <c r="D69" s="67">
        <v>65.452754545454553</v>
      </c>
      <c r="E69" s="68">
        <v>52.868290053988929</v>
      </c>
      <c r="F69" s="69">
        <v>31.212721729490024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64.71593</v>
      </c>
      <c r="O69" s="68">
        <v>63.976360137079489</v>
      </c>
      <c r="P69" s="69">
        <v>31.955364545733858</v>
      </c>
      <c r="R69" t="s">
        <v>4</v>
      </c>
      <c r="S69" t="s">
        <v>5</v>
      </c>
      <c r="T69" s="24" t="s">
        <v>6</v>
      </c>
      <c r="W69" s="12"/>
      <c r="X69" s="17">
        <f t="shared" ref="X69" si="12">D66</f>
        <v>73.066327272727278</v>
      </c>
      <c r="Y69" s="13">
        <f t="shared" ref="Y69" si="13">F66</f>
        <v>77.408747968745246</v>
      </c>
    </row>
    <row r="70" spans="3:25" x14ac:dyDescent="0.15">
      <c r="C70" s="12"/>
      <c r="D70" s="67">
        <v>57.993681818181834</v>
      </c>
      <c r="E70" s="68">
        <v>52.712110718059428</v>
      </c>
      <c r="F70" s="69">
        <v>28.459703322904957</v>
      </c>
      <c r="H70" s="2">
        <f t="array" ref="H70:J70">LINEST(E69:E72,D69:D72^{1,2})</f>
        <v>1.2182598011191148E-3</v>
      </c>
      <c r="I70" s="2">
        <v>-0.13873179543764957</v>
      </c>
      <c r="J70" s="2">
        <v>56.706343343074344</v>
      </c>
      <c r="K70" s="24"/>
      <c r="M70" s="12"/>
      <c r="N70" s="67">
        <v>56.397649999999999</v>
      </c>
      <c r="O70" s="68">
        <v>63.699748362510455</v>
      </c>
      <c r="P70" s="69">
        <v>30.238845390907304</v>
      </c>
      <c r="R70" s="2">
        <f t="array" ref="R70:T70">LINEST(O69:O72,N69:N72^{1,2})</f>
        <v>6.8252849511760822E-4</v>
      </c>
      <c r="S70" s="2">
        <v>-3.1472385145352687E-2</v>
      </c>
      <c r="T70" s="27">
        <v>63.200953036992672</v>
      </c>
      <c r="W70" s="12"/>
      <c r="X70" s="17">
        <f>D67</f>
        <v>47.035418181818187</v>
      </c>
      <c r="Y70" s="13">
        <f>F67</f>
        <v>60.596137104000228</v>
      </c>
    </row>
    <row r="71" spans="3:25" x14ac:dyDescent="0.15">
      <c r="C71" s="12"/>
      <c r="D71" s="67">
        <v>44.934218181818181</v>
      </c>
      <c r="E71" s="68">
        <v>52.963067261199228</v>
      </c>
      <c r="F71" s="69">
        <v>23.590297436442608</v>
      </c>
      <c r="K71" s="24"/>
      <c r="M71" s="12"/>
      <c r="N71" s="67">
        <v>44.364674999999998</v>
      </c>
      <c r="O71" s="68">
        <v>63.071506226769486</v>
      </c>
      <c r="P71" s="69">
        <v>24.543088740881917</v>
      </c>
      <c r="T71" s="24"/>
      <c r="W71" s="12"/>
      <c r="X71" s="17">
        <f>N64</f>
        <v>102.35830999999999</v>
      </c>
      <c r="Y71" s="13">
        <f>P64</f>
        <v>105.13583741824799</v>
      </c>
    </row>
    <row r="72" spans="3:25" x14ac:dyDescent="0.15">
      <c r="C72" s="14"/>
      <c r="D72" s="67">
        <v>29.378409090909091</v>
      </c>
      <c r="E72" s="68">
        <v>53.674108156872919</v>
      </c>
      <c r="F72" s="69">
        <v>18.71431127175531</v>
      </c>
      <c r="K72" s="24"/>
      <c r="M72" s="14"/>
      <c r="N72" s="67">
        <v>29.709320000000002</v>
      </c>
      <c r="O72" s="68">
        <v>62.888425314827082</v>
      </c>
      <c r="P72" s="69">
        <v>20.317309915841626</v>
      </c>
      <c r="T72" s="24"/>
      <c r="W72" s="12"/>
      <c r="X72" s="17">
        <f>N65</f>
        <v>86.961870000000005</v>
      </c>
      <c r="Y72" s="13">
        <f>P65</f>
        <v>94.442699474731185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71.166445454545453</v>
      </c>
      <c r="Y73" s="13">
        <f>P66</f>
        <v>84.026670350589114</v>
      </c>
    </row>
    <row r="74" spans="3:25" x14ac:dyDescent="0.15">
      <c r="C74" s="10" t="s">
        <v>12</v>
      </c>
      <c r="D74" s="67">
        <v>34.816809090909096</v>
      </c>
      <c r="E74" s="68">
        <v>42.366259498052571</v>
      </c>
      <c r="F74" s="69">
        <v>8.57527594617628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35.238360000000007</v>
      </c>
      <c r="O74" s="68">
        <v>51.518710353097447</v>
      </c>
      <c r="P74" s="69">
        <v>8.7614555456006471</v>
      </c>
      <c r="R74" t="s">
        <v>4</v>
      </c>
      <c r="S74" t="s">
        <v>5</v>
      </c>
      <c r="T74" s="24" t="s">
        <v>6</v>
      </c>
      <c r="W74" s="14"/>
      <c r="X74" s="18">
        <f>N67</f>
        <v>48.991949999999996</v>
      </c>
      <c r="Y74" s="15">
        <f>P67</f>
        <v>68.8379859505214</v>
      </c>
    </row>
    <row r="75" spans="3:25" x14ac:dyDescent="0.15">
      <c r="C75" s="12"/>
      <c r="D75" s="67">
        <v>30.149972727272729</v>
      </c>
      <c r="E75" s="68">
        <v>42.107331253167118</v>
      </c>
      <c r="F75" s="69">
        <v>7.4900016895483406</v>
      </c>
      <c r="H75" s="2">
        <f t="array" ref="H75:J75">LINEST(E74:E77,D74:D77^{1,2})</f>
        <v>-3.9836603844324789E-3</v>
      </c>
      <c r="I75" s="2">
        <v>0.31070328209938664</v>
      </c>
      <c r="J75" s="2">
        <v>36.37271682116932</v>
      </c>
      <c r="K75" s="24"/>
      <c r="M75" s="12"/>
      <c r="N75" s="67">
        <v>30.224881818181821</v>
      </c>
      <c r="O75" s="68">
        <v>51.287101111206105</v>
      </c>
      <c r="P75" s="69">
        <v>8.1736959880407234</v>
      </c>
      <c r="R75" s="2">
        <f t="array" ref="R75:T75">LINEST(O74:O77,N74:N77^{1,2})</f>
        <v>-2.601327092242099E-3</v>
      </c>
      <c r="S75" s="2">
        <v>0.15980211313381038</v>
      </c>
      <c r="T75" s="27">
        <v>49.036304137435344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24.396954545454545</v>
      </c>
      <c r="E76" s="68">
        <v>41.590965679616225</v>
      </c>
      <c r="F76" s="69">
        <v>6.8879062319654958</v>
      </c>
      <c r="K76" s="24"/>
      <c r="M76" s="12"/>
      <c r="N76" s="67">
        <v>24.517433333333333</v>
      </c>
      <c r="O76" s="68">
        <v>51.541325939689521</v>
      </c>
      <c r="P76" s="69">
        <v>7.6407882843044428</v>
      </c>
      <c r="T76" s="24"/>
      <c r="W76" s="10" t="s">
        <v>10</v>
      </c>
      <c r="X76" s="19">
        <f>D69</f>
        <v>65.452754545454553</v>
      </c>
      <c r="Y76" s="20">
        <f>F69</f>
        <v>31.212721729490024</v>
      </c>
    </row>
    <row r="77" spans="3:25" x14ac:dyDescent="0.15">
      <c r="C77" s="14"/>
      <c r="D77" s="70">
        <v>16.460336363636365</v>
      </c>
      <c r="E77" s="71">
        <v>40.405469839560325</v>
      </c>
      <c r="F77" s="72">
        <v>6.1089657970871434</v>
      </c>
      <c r="G77" s="25"/>
      <c r="H77" s="25"/>
      <c r="I77" s="25"/>
      <c r="J77" s="25"/>
      <c r="K77" s="26"/>
      <c r="M77" s="14"/>
      <c r="N77" s="70">
        <v>14.840427272727274</v>
      </c>
      <c r="O77" s="71">
        <v>50.805528934021993</v>
      </c>
      <c r="P77" s="72">
        <v>6.3783448520588015</v>
      </c>
      <c r="Q77" s="25"/>
      <c r="R77" s="25"/>
      <c r="S77" s="25"/>
      <c r="T77" s="26"/>
      <c r="W77" s="12"/>
      <c r="X77" s="17">
        <f t="shared" ref="X77" si="14">D70</f>
        <v>57.993681818181834</v>
      </c>
      <c r="Y77" s="13">
        <f>F70</f>
        <v>28.459703322904957</v>
      </c>
    </row>
    <row r="78" spans="3:25" x14ac:dyDescent="0.15">
      <c r="W78" s="12"/>
      <c r="X78" s="17">
        <f>D72</f>
        <v>29.378409090909091</v>
      </c>
      <c r="Y78" s="13">
        <f>F72</f>
        <v>18.71431127175531</v>
      </c>
    </row>
    <row r="79" spans="3:25" x14ac:dyDescent="0.15">
      <c r="F79" s="5"/>
      <c r="W79" s="12"/>
      <c r="X79" s="17">
        <f>N69</f>
        <v>64.71593</v>
      </c>
      <c r="Y79" s="13">
        <f>P69</f>
        <v>31.955364545733858</v>
      </c>
    </row>
    <row r="80" spans="3:25" x14ac:dyDescent="0.15">
      <c r="F80" s="5"/>
      <c r="W80" s="12"/>
      <c r="X80" s="17">
        <f>N70</f>
        <v>56.397649999999999</v>
      </c>
      <c r="Y80" s="13">
        <f>P70</f>
        <v>30.238845390907304</v>
      </c>
    </row>
    <row r="81" spans="6:25" x14ac:dyDescent="0.15">
      <c r="F81" s="5"/>
      <c r="W81" s="12"/>
      <c r="X81" s="17">
        <f>N71</f>
        <v>44.364674999999998</v>
      </c>
      <c r="Y81" s="13">
        <f>P71</f>
        <v>24.543088740881917</v>
      </c>
    </row>
    <row r="82" spans="6:25" x14ac:dyDescent="0.15">
      <c r="F82" s="5"/>
      <c r="W82" s="14"/>
      <c r="X82" s="18">
        <f>N72</f>
        <v>29.709320000000002</v>
      </c>
      <c r="Y82" s="15">
        <f>P72</f>
        <v>20.317309915841626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34.816809090909096</v>
      </c>
      <c r="Y84" s="20">
        <f>F74</f>
        <v>8.57527594617628</v>
      </c>
    </row>
    <row r="85" spans="6:25" x14ac:dyDescent="0.15">
      <c r="W85" s="12"/>
      <c r="X85" s="17">
        <f>D75</f>
        <v>30.149972727272729</v>
      </c>
      <c r="Y85" s="13">
        <f>F75</f>
        <v>7.4900016895483406</v>
      </c>
    </row>
    <row r="86" spans="6:25" x14ac:dyDescent="0.15">
      <c r="W86" s="12"/>
      <c r="X86" s="17">
        <f>D76</f>
        <v>24.396954545454545</v>
      </c>
      <c r="Y86" s="13">
        <f>F76</f>
        <v>6.8879062319654958</v>
      </c>
    </row>
    <row r="87" spans="6:25" x14ac:dyDescent="0.15">
      <c r="F87" s="5"/>
      <c r="W87" s="12"/>
      <c r="X87" s="17">
        <f>N74</f>
        <v>35.238360000000007</v>
      </c>
      <c r="Y87" s="13">
        <f>P74</f>
        <v>8.7614555456006471</v>
      </c>
    </row>
    <row r="88" spans="6:25" x14ac:dyDescent="0.15">
      <c r="F88" s="5"/>
      <c r="L88" t="s">
        <v>101</v>
      </c>
      <c r="W88" s="12"/>
      <c r="X88" s="17">
        <f>N75</f>
        <v>30.224881818181821</v>
      </c>
      <c r="Y88" s="13">
        <f>P75</f>
        <v>8.1736959880407234</v>
      </c>
    </row>
    <row r="89" spans="6:25" x14ac:dyDescent="0.15">
      <c r="F89" s="5"/>
      <c r="W89" s="12"/>
      <c r="X89" s="17">
        <f>N76</f>
        <v>24.517433333333333</v>
      </c>
      <c r="Y89" s="13">
        <f>P76</f>
        <v>7.6407882843044428</v>
      </c>
    </row>
    <row r="90" spans="6:25" x14ac:dyDescent="0.15">
      <c r="F90" s="5"/>
      <c r="W90" s="14"/>
      <c r="X90" s="18">
        <f>N77</f>
        <v>14.840427272727274</v>
      </c>
      <c r="Y90" s="15">
        <f>P77</f>
        <v>6.3783448520588015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475BF-C84A-4E6D-A229-2DB90AA4D576}">
  <sheetPr codeName="Taul9"/>
  <dimension ref="A1:L34"/>
  <sheetViews>
    <sheetView workbookViewId="0">
      <selection activeCell="L15" sqref="L15"/>
    </sheetView>
  </sheetViews>
  <sheetFormatPr baseColWidth="10" defaultColWidth="8.83203125" defaultRowHeight="13" x14ac:dyDescent="0.15"/>
  <cols>
    <col min="2" max="2" width="44.6640625" customWidth="1"/>
    <col min="8" max="8" width="10" customWidth="1"/>
  </cols>
  <sheetData>
    <row r="1" spans="1:11" x14ac:dyDescent="0.15">
      <c r="A1" s="39" t="s">
        <v>362</v>
      </c>
    </row>
    <row r="4" spans="1:11" x14ac:dyDescent="0.15">
      <c r="B4" s="2" t="s">
        <v>363</v>
      </c>
    </row>
    <row r="6" spans="1:11" ht="15" x14ac:dyDescent="0.15">
      <c r="B6" t="s">
        <v>289</v>
      </c>
      <c r="C6" s="4">
        <f>Tulostus!G33</f>
        <v>40</v>
      </c>
      <c r="D6" s="4" t="s">
        <v>72</v>
      </c>
      <c r="E6" s="4"/>
      <c r="F6" s="4"/>
      <c r="G6" s="4"/>
      <c r="H6" s="4"/>
      <c r="I6" s="4"/>
      <c r="J6" s="4"/>
      <c r="K6" s="4"/>
    </row>
    <row r="7" spans="1:11" x14ac:dyDescent="0.15">
      <c r="B7" t="s">
        <v>364</v>
      </c>
      <c r="C7" s="4">
        <f>Tulostus!G39</f>
        <v>50</v>
      </c>
      <c r="D7" s="4" t="s">
        <v>14</v>
      </c>
      <c r="E7" s="4"/>
      <c r="F7" s="4"/>
      <c r="G7" s="4"/>
      <c r="H7" s="4"/>
      <c r="I7" s="4"/>
      <c r="J7" s="4"/>
      <c r="K7" s="4"/>
    </row>
    <row r="8" spans="1:11" x14ac:dyDescent="0.15">
      <c r="B8" t="s">
        <v>365</v>
      </c>
      <c r="C8" s="4">
        <f>Tulostus!G42</f>
        <v>4.0607088592057181</v>
      </c>
      <c r="D8" s="4" t="s">
        <v>25</v>
      </c>
      <c r="E8" s="4"/>
      <c r="F8" s="4"/>
      <c r="G8" s="4"/>
      <c r="H8" s="4"/>
      <c r="I8" s="4"/>
      <c r="J8" s="4"/>
      <c r="K8" s="4"/>
    </row>
    <row r="9" spans="1:11" x14ac:dyDescent="0.15">
      <c r="C9" s="4"/>
      <c r="D9" s="4"/>
      <c r="E9" s="4"/>
      <c r="F9" s="4"/>
      <c r="G9" s="4"/>
      <c r="H9" s="4"/>
      <c r="I9" s="4"/>
      <c r="J9" s="4"/>
      <c r="K9" s="4"/>
    </row>
    <row r="10" spans="1:11" x14ac:dyDescent="0.15">
      <c r="B10" s="2" t="s">
        <v>368</v>
      </c>
      <c r="C10" s="4"/>
      <c r="D10" s="4"/>
      <c r="E10" s="4"/>
      <c r="F10" s="4"/>
      <c r="G10" s="4"/>
      <c r="H10" s="4"/>
      <c r="I10" s="4"/>
      <c r="J10" s="4"/>
      <c r="K10" s="4"/>
    </row>
    <row r="11" spans="1:11" x14ac:dyDescent="0.15">
      <c r="B11" s="2" t="s">
        <v>369</v>
      </c>
      <c r="C11" s="104" t="s">
        <v>4</v>
      </c>
      <c r="D11" s="104" t="s">
        <v>5</v>
      </c>
      <c r="E11" s="4"/>
      <c r="F11" s="4"/>
      <c r="G11" s="4"/>
      <c r="H11" s="4"/>
      <c r="I11" s="4"/>
      <c r="J11" s="4"/>
      <c r="K11" s="4"/>
    </row>
    <row r="12" spans="1:11" ht="17" x14ac:dyDescent="0.25">
      <c r="B12" t="s">
        <v>370</v>
      </c>
      <c r="C12" s="5">
        <v>22.944657855695581</v>
      </c>
      <c r="D12" s="5">
        <v>22.011112500835296</v>
      </c>
      <c r="E12" s="82" t="s">
        <v>375</v>
      </c>
      <c r="F12" s="5">
        <f>$C$12*LN($C$8)+$D$12</f>
        <v>54.164782116298419</v>
      </c>
      <c r="G12" s="4" t="s">
        <v>31</v>
      </c>
      <c r="H12" s="4"/>
      <c r="I12" s="4"/>
      <c r="J12" s="4"/>
      <c r="K12" s="4"/>
    </row>
    <row r="13" spans="1:11" x14ac:dyDescent="0.15">
      <c r="C13" s="4"/>
      <c r="D13" s="4"/>
      <c r="E13" s="4"/>
      <c r="F13" s="4"/>
      <c r="G13" s="4"/>
      <c r="H13" s="4"/>
      <c r="I13" s="4"/>
      <c r="J13" s="4"/>
      <c r="K13" s="4"/>
    </row>
    <row r="14" spans="1:11" x14ac:dyDescent="0.15">
      <c r="B14" s="2" t="s">
        <v>373</v>
      </c>
      <c r="C14" s="104" t="s">
        <v>4</v>
      </c>
      <c r="D14" s="104" t="s">
        <v>5</v>
      </c>
      <c r="E14" s="4"/>
      <c r="F14" s="4"/>
      <c r="G14" s="4"/>
      <c r="H14" s="4"/>
      <c r="I14" s="4"/>
      <c r="J14" s="4"/>
      <c r="K14" s="4"/>
    </row>
    <row r="15" spans="1:11" ht="17" x14ac:dyDescent="0.25">
      <c r="B15" t="s">
        <v>374</v>
      </c>
      <c r="C15" s="4">
        <v>0.977199807616978</v>
      </c>
      <c r="D15" s="4">
        <v>60.969790372343709</v>
      </c>
      <c r="E15" s="82" t="s">
        <v>375</v>
      </c>
      <c r="F15" s="5">
        <f>$C$15*$C$8+$D$15</f>
        <v>64.937914288348097</v>
      </c>
      <c r="G15" s="4" t="s">
        <v>31</v>
      </c>
      <c r="H15" s="4"/>
      <c r="I15" s="4"/>
      <c r="J15" s="4"/>
      <c r="K15" s="4"/>
    </row>
    <row r="16" spans="1:11" x14ac:dyDescent="0.15">
      <c r="C16" s="4"/>
      <c r="D16" s="4"/>
      <c r="E16" s="4"/>
      <c r="F16" s="4"/>
      <c r="G16" s="4"/>
      <c r="H16" s="4"/>
      <c r="I16" s="4"/>
      <c r="J16" s="4"/>
      <c r="K16" s="4"/>
    </row>
    <row r="17" spans="2:12" x14ac:dyDescent="0.15">
      <c r="B17" s="2" t="s">
        <v>381</v>
      </c>
      <c r="C17" s="104" t="s">
        <v>27</v>
      </c>
      <c r="D17" s="6">
        <f>IF(C8&lt;=7.5,F12,F15)</f>
        <v>54.164782116298419</v>
      </c>
      <c r="E17" s="104" t="s">
        <v>31</v>
      </c>
      <c r="F17" s="4"/>
      <c r="G17" s="4"/>
      <c r="H17" s="4"/>
      <c r="I17" s="4"/>
      <c r="J17" s="4"/>
      <c r="K17" s="4"/>
    </row>
    <row r="19" spans="2:12" x14ac:dyDescent="0.15">
      <c r="C19" s="4"/>
      <c r="D19" s="4"/>
      <c r="H19" s="930" t="s">
        <v>386</v>
      </c>
      <c r="I19" s="931"/>
      <c r="J19" s="128"/>
      <c r="K19" s="276"/>
      <c r="L19" s="277"/>
    </row>
    <row r="20" spans="2:12" x14ac:dyDescent="0.15">
      <c r="B20" s="2" t="s">
        <v>382</v>
      </c>
      <c r="C20" s="4"/>
      <c r="D20" s="4"/>
      <c r="H20" s="924" t="s">
        <v>387</v>
      </c>
      <c r="I20" s="925"/>
      <c r="J20" s="4" t="s">
        <v>371</v>
      </c>
      <c r="K20" s="4" t="s">
        <v>367</v>
      </c>
      <c r="L20" s="153" t="s">
        <v>372</v>
      </c>
    </row>
    <row r="21" spans="2:12" x14ac:dyDescent="0.15">
      <c r="B21" t="s">
        <v>366</v>
      </c>
      <c r="C21" s="4">
        <f>'Laskenta poistopuoli 60'!U29</f>
        <v>3.125E-2</v>
      </c>
      <c r="D21" s="4"/>
      <c r="H21" s="926" t="s">
        <v>388</v>
      </c>
      <c r="I21" s="927"/>
      <c r="J21" s="208">
        <v>0.30199999999999999</v>
      </c>
      <c r="K21" s="208">
        <v>5.0999999999999997E-2</v>
      </c>
      <c r="L21" s="11">
        <v>1.3100000000000001E-2</v>
      </c>
    </row>
    <row r="22" spans="2:12" x14ac:dyDescent="0.15">
      <c r="B22" t="s">
        <v>389</v>
      </c>
      <c r="C22" s="4">
        <f>SQRT(C21)</f>
        <v>0.17677669529663689</v>
      </c>
      <c r="D22" s="4"/>
      <c r="H22" s="928" t="s">
        <v>389</v>
      </c>
      <c r="I22" s="929"/>
      <c r="J22" s="102">
        <f>SQRT(J21)</f>
        <v>0.54954526656136349</v>
      </c>
      <c r="K22" s="102">
        <f t="shared" ref="K22:L22" si="0">SQRT(K21)</f>
        <v>0.22583179581272428</v>
      </c>
      <c r="L22" s="103">
        <f t="shared" si="0"/>
        <v>0.11445523142259598</v>
      </c>
    </row>
    <row r="23" spans="2:12" x14ac:dyDescent="0.15">
      <c r="H23" s="928" t="s">
        <v>383</v>
      </c>
      <c r="I23" s="929"/>
      <c r="J23" s="50">
        <v>-2.4</v>
      </c>
      <c r="K23" s="50">
        <v>0</v>
      </c>
      <c r="L23" s="48">
        <v>1</v>
      </c>
    </row>
    <row r="24" spans="2:12" x14ac:dyDescent="0.15">
      <c r="C24" s="4" t="s">
        <v>4</v>
      </c>
      <c r="D24" s="4" t="s">
        <v>5</v>
      </c>
    </row>
    <row r="25" spans="2:12" x14ac:dyDescent="0.15">
      <c r="B25" t="s">
        <v>380</v>
      </c>
      <c r="C25" s="4">
        <f t="array" ref="C25:D25">LINEST(J23:L23,J22:L22)</f>
        <v>-7.7246547675588397</v>
      </c>
      <c r="D25" s="4">
        <v>1.8245490902014569</v>
      </c>
      <c r="E25" s="39" t="s">
        <v>375</v>
      </c>
      <c r="F25" s="274">
        <f>C25*C22+D25</f>
        <v>0.45901014808499441</v>
      </c>
      <c r="G25" s="104" t="s">
        <v>31</v>
      </c>
    </row>
    <row r="27" spans="2:12" ht="17" x14ac:dyDescent="0.25">
      <c r="B27" s="2" t="s">
        <v>384</v>
      </c>
      <c r="C27" s="104" t="s">
        <v>385</v>
      </c>
      <c r="D27" s="6">
        <f>D17+F25</f>
        <v>54.623792264383411</v>
      </c>
      <c r="E27" s="104" t="s">
        <v>31</v>
      </c>
    </row>
    <row r="30" spans="2:12" x14ac:dyDescent="0.15">
      <c r="B30" s="2" t="s">
        <v>377</v>
      </c>
      <c r="C30" s="275">
        <v>63</v>
      </c>
      <c r="D30" s="275">
        <v>125</v>
      </c>
      <c r="E30" s="275">
        <v>250</v>
      </c>
      <c r="F30" s="275">
        <v>500</v>
      </c>
      <c r="G30" s="275">
        <v>1000</v>
      </c>
      <c r="H30" s="275">
        <v>2000</v>
      </c>
      <c r="I30" s="275">
        <v>4000</v>
      </c>
      <c r="J30" s="275">
        <v>8000</v>
      </c>
      <c r="K30" t="s">
        <v>391</v>
      </c>
      <c r="L30" t="s">
        <v>378</v>
      </c>
    </row>
    <row r="31" spans="2:12" x14ac:dyDescent="0.15">
      <c r="B31" t="s">
        <v>376</v>
      </c>
      <c r="C31" s="4">
        <v>13</v>
      </c>
      <c r="D31" s="4">
        <v>8</v>
      </c>
      <c r="E31" s="4">
        <v>4</v>
      </c>
      <c r="F31" s="4">
        <v>-3</v>
      </c>
      <c r="G31" s="4">
        <v>-6</v>
      </c>
      <c r="H31" s="4">
        <v>-15</v>
      </c>
      <c r="I31" s="4">
        <v>-26</v>
      </c>
      <c r="J31" s="4">
        <v>-34</v>
      </c>
    </row>
    <row r="32" spans="2:12" x14ac:dyDescent="0.15">
      <c r="B32" t="s">
        <v>379</v>
      </c>
      <c r="C32" s="108">
        <f>ROUND($D$27+C31,0)</f>
        <v>68</v>
      </c>
      <c r="D32" s="108">
        <f t="shared" ref="D32:J32" si="1">ROUND($D$27+D31,0)</f>
        <v>63</v>
      </c>
      <c r="E32" s="108">
        <f t="shared" si="1"/>
        <v>59</v>
      </c>
      <c r="F32" s="108">
        <f t="shared" si="1"/>
        <v>52</v>
      </c>
      <c r="G32" s="108">
        <f t="shared" si="1"/>
        <v>49</v>
      </c>
      <c r="H32" s="108">
        <f t="shared" si="1"/>
        <v>40</v>
      </c>
      <c r="I32" s="108">
        <f t="shared" si="1"/>
        <v>29</v>
      </c>
      <c r="J32" s="108">
        <f t="shared" si="1"/>
        <v>21</v>
      </c>
      <c r="K32" s="5">
        <f t="array" ref="K32">10*LOG10(SUM(10^(C32:J32/10)))</f>
        <v>69.707189991030347</v>
      </c>
      <c r="L32" s="5">
        <f t="array" ref="L32">10*LOG10(SUM(10^((C32:J32+$C$34:$J$34)/10)))</f>
        <v>55.357145188304891</v>
      </c>
    </row>
    <row r="34" spans="2:11" x14ac:dyDescent="0.15">
      <c r="B34" t="s">
        <v>185</v>
      </c>
      <c r="C34" s="4">
        <v>-26.2</v>
      </c>
      <c r="D34" s="4">
        <v>-16.100000000000001</v>
      </c>
      <c r="E34" s="4">
        <v>-8.6</v>
      </c>
      <c r="F34" s="4">
        <v>-3.2</v>
      </c>
      <c r="G34" s="4">
        <v>0</v>
      </c>
      <c r="H34" s="4">
        <v>1.2</v>
      </c>
      <c r="I34" s="4">
        <v>1</v>
      </c>
      <c r="J34" s="4">
        <v>-1.1000000000000001</v>
      </c>
      <c r="K34" s="4"/>
    </row>
  </sheetData>
  <mergeCells count="5">
    <mergeCell ref="H20:I20"/>
    <mergeCell ref="H21:I21"/>
    <mergeCell ref="H22:I22"/>
    <mergeCell ref="H23:I23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0B810-4EAC-4462-A465-8D3198710BF5}">
  <sheetPr codeName="Taul10"/>
  <dimension ref="B3:W49"/>
  <sheetViews>
    <sheetView workbookViewId="0">
      <selection activeCell="W10" sqref="W1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Tulokset!E23</f>
        <v>4.6056989925805771</v>
      </c>
      <c r="D4" t="s">
        <v>25</v>
      </c>
    </row>
    <row r="5" spans="2:7" x14ac:dyDescent="0.15">
      <c r="B5" t="s">
        <v>8</v>
      </c>
      <c r="C5" s="3">
        <f>Tulokset!H23</f>
        <v>4.0607088592057181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8">
        <v>6.5052438643146573</v>
      </c>
      <c r="D12" s="8">
        <v>34.283693221863942</v>
      </c>
    </row>
    <row r="13" spans="2:7" x14ac:dyDescent="0.15">
      <c r="B13" t="s">
        <v>81</v>
      </c>
      <c r="C13" s="8">
        <v>24.744215720124998</v>
      </c>
      <c r="D13" s="8">
        <v>-2.5012573171610342</v>
      </c>
    </row>
    <row r="15" spans="2:7" x14ac:dyDescent="0.15">
      <c r="B15" t="s">
        <v>91</v>
      </c>
      <c r="C15" s="3">
        <f>MAX(C4,C5)</f>
        <v>4.6056989925805771</v>
      </c>
      <c r="D15" t="s">
        <v>25</v>
      </c>
      <c r="E15" s="82" t="s">
        <v>42</v>
      </c>
      <c r="F15" s="5">
        <f>IF(C15&gt;7.5,C12*LN(C15)+D12,C13*LN(C15)+D13)</f>
        <v>35.29044597497564</v>
      </c>
      <c r="G15" t="s">
        <v>31</v>
      </c>
    </row>
    <row r="16" spans="2:7" x14ac:dyDescent="0.15">
      <c r="B16" t="s">
        <v>92</v>
      </c>
      <c r="C16" s="79">
        <f>(2*MAX(C4,C5)+MIN(C4,C5))/3</f>
        <v>4.4240356147889575</v>
      </c>
      <c r="D16" t="s">
        <v>25</v>
      </c>
      <c r="E16" s="82" t="s">
        <v>42</v>
      </c>
      <c r="F16" s="5">
        <f>IF(C16&gt;7.5,C12*LN(C16)+D12,C13*LN(C16)+D13)</f>
        <v>34.294685941096091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Tulostus!N54</f>
        <v>49.966638054503562</v>
      </c>
      <c r="E21" t="s">
        <v>31</v>
      </c>
    </row>
    <row r="22" spans="2:5" x14ac:dyDescent="0.15">
      <c r="B22" s="25"/>
      <c r="C22" s="25" t="s">
        <v>8</v>
      </c>
      <c r="D22" s="81">
        <f>Tulostus!N55</f>
        <v>48.666327398220631</v>
      </c>
      <c r="E22" t="s">
        <v>31</v>
      </c>
    </row>
    <row r="23" spans="2:5" x14ac:dyDescent="0.15">
      <c r="C23" t="s">
        <v>87</v>
      </c>
      <c r="D23" s="3">
        <f>ABS(D21-D22)</f>
        <v>1.3003106562829316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Tulostus!N53</f>
        <v>60.554075562111798</v>
      </c>
      <c r="E25" t="s">
        <v>31</v>
      </c>
    </row>
    <row r="26" spans="2:5" x14ac:dyDescent="0.15">
      <c r="B26" s="25"/>
      <c r="C26" s="25" t="s">
        <v>57</v>
      </c>
      <c r="D26" s="81">
        <f>Tulostus!N56</f>
        <v>58.69453842504565</v>
      </c>
      <c r="E26" t="s">
        <v>31</v>
      </c>
    </row>
    <row r="27" spans="2:5" x14ac:dyDescent="0.15">
      <c r="C27" t="s">
        <v>87</v>
      </c>
      <c r="D27" s="3">
        <f>ABS(D25-D26)</f>
        <v>1.8595371370661482</v>
      </c>
      <c r="E27" t="s">
        <v>31</v>
      </c>
    </row>
    <row r="29" spans="2:5" x14ac:dyDescent="0.15">
      <c r="B29" t="s">
        <v>94</v>
      </c>
      <c r="C29" s="3">
        <f>AVERAGE(D27,D23)</f>
        <v>1.5799238966745399</v>
      </c>
      <c r="D29" t="s">
        <v>31</v>
      </c>
    </row>
    <row r="30" spans="2:5" x14ac:dyDescent="0.15">
      <c r="B30" t="s">
        <v>93</v>
      </c>
      <c r="C30" s="3">
        <f>-10*LOG10((1-10^(-C29/10)))-3</f>
        <v>2.1575213231084573</v>
      </c>
      <c r="D30" t="s">
        <v>31</v>
      </c>
    </row>
    <row r="32" spans="2:5" x14ac:dyDescent="0.15">
      <c r="B32" t="s">
        <v>83</v>
      </c>
      <c r="C32" s="3">
        <f>F15+C30</f>
        <v>37.447967298084095</v>
      </c>
      <c r="D32" t="s">
        <v>31</v>
      </c>
    </row>
    <row r="33" spans="2:23" x14ac:dyDescent="0.15">
      <c r="B33" t="s">
        <v>95</v>
      </c>
      <c r="C33" s="3">
        <f>F15-2.6</f>
        <v>32.690445974975638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34.294685941096091</v>
      </c>
      <c r="D35" s="2" t="s">
        <v>31</v>
      </c>
      <c r="F35" s="5">
        <f>C35+10*LOG10(4/10)</f>
        <v>30.315285854375716</v>
      </c>
      <c r="G35" s="5">
        <f>C35+10*LOG10(4/2.5)</f>
        <v>36.335885767655341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14</v>
      </c>
      <c r="D39" s="85">
        <v>10</v>
      </c>
      <c r="E39" s="85">
        <v>5</v>
      </c>
      <c r="F39" s="85">
        <v>-4</v>
      </c>
      <c r="G39" s="85">
        <v>-12</v>
      </c>
      <c r="H39" s="85">
        <v>-18</v>
      </c>
      <c r="I39" s="85">
        <v>-25</v>
      </c>
      <c r="J39" s="85">
        <v>-26</v>
      </c>
      <c r="K39" s="87" t="s">
        <v>42</v>
      </c>
      <c r="L39" s="86">
        <f>$C$35+C39</f>
        <v>48.294685941096091</v>
      </c>
      <c r="M39" s="86">
        <f t="shared" ref="M39:S39" si="0">$C$35+D39</f>
        <v>44.294685941096091</v>
      </c>
      <c r="N39" s="86">
        <f t="shared" si="0"/>
        <v>39.294685941096091</v>
      </c>
      <c r="O39" s="86">
        <f t="shared" si="0"/>
        <v>30.294685941096091</v>
      </c>
      <c r="P39" s="86">
        <f t="shared" si="0"/>
        <v>22.294685941096091</v>
      </c>
      <c r="Q39" s="86">
        <f t="shared" si="0"/>
        <v>16.294685941096091</v>
      </c>
      <c r="R39" s="86">
        <f t="shared" si="0"/>
        <v>9.2946859410960911</v>
      </c>
      <c r="S39" s="86">
        <f t="shared" si="0"/>
        <v>8.2946859410960911</v>
      </c>
      <c r="T39" s="5">
        <f t="array" ref="T39">10*LOG10(SUM(10^(L39:S39/10)))</f>
        <v>50.178956998707633</v>
      </c>
      <c r="U39" s="5">
        <f t="array" ref="U39">10*LOG10(SUM(10^((L39:S39+L41:S41)/10)))</f>
        <v>34.392204028223105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1A4F8-FB88-4AAB-85CA-EAE353747E0F}">
  <sheetPr codeName="Taul11"/>
  <dimension ref="B1:AX99"/>
  <sheetViews>
    <sheetView topLeftCell="K3" zoomScale="70" zoomScaleNormal="70" workbookViewId="0">
      <selection activeCell="AS35" sqref="AS35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2:50" x14ac:dyDescent="0.15">
      <c r="P1" t="s">
        <v>518</v>
      </c>
      <c r="Z1" s="2" t="s">
        <v>30</v>
      </c>
      <c r="AA1" s="2">
        <f t="array" ref="AA1:AC1">LINEST(AA6:AA12,AB6:AB12^{1,2})</f>
        <v>-6.2567305087769002E-3</v>
      </c>
      <c r="AB1" s="2">
        <v>0.52719406327833773</v>
      </c>
      <c r="AC1" s="2">
        <v>353.83430230637669</v>
      </c>
    </row>
    <row r="2" spans="2:50" x14ac:dyDescent="0.15">
      <c r="C2" s="2" t="s">
        <v>0</v>
      </c>
      <c r="J2" t="s">
        <v>15</v>
      </c>
      <c r="P2" s="259">
        <f t="array" ref="P2:R2">LINEST(AL34:AL37,AC34:AC37^{1,2})</f>
        <v>3.0025341927214007E-2</v>
      </c>
      <c r="Q2" s="259">
        <v>0.96444054500770915</v>
      </c>
      <c r="R2" s="259">
        <v>-9.2334763605581429</v>
      </c>
      <c r="V2" t="s">
        <v>519</v>
      </c>
      <c r="W2" s="84">
        <f>P2*J3^2+Q2*J3+R2</f>
        <v>77.384692523292642</v>
      </c>
      <c r="X2" t="s">
        <v>14</v>
      </c>
      <c r="AU2" t="s">
        <v>533</v>
      </c>
    </row>
    <row r="3" spans="2:50" ht="18" thickBot="1" x14ac:dyDescent="0.3">
      <c r="J3" s="7">
        <f>Tulostus!E33</f>
        <v>40</v>
      </c>
      <c r="K3" t="s">
        <v>13</v>
      </c>
      <c r="L3" s="122">
        <f>Tulostus!E39</f>
        <v>50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2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430" t="s">
        <v>30</v>
      </c>
      <c r="AB4" s="431"/>
      <c r="AC4" s="432" t="s">
        <v>30</v>
      </c>
      <c r="AD4" s="433"/>
      <c r="AE4" s="432" t="s">
        <v>405</v>
      </c>
      <c r="AF4" s="433"/>
      <c r="AG4" s="431" t="s">
        <v>406</v>
      </c>
      <c r="AH4" s="434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2:50" x14ac:dyDescent="0.15">
      <c r="C5" t="s">
        <v>2</v>
      </c>
      <c r="D5" s="1"/>
      <c r="E5" s="1"/>
      <c r="H5" s="1"/>
      <c r="P5" s="52">
        <f t="array" ref="P5:Q5">LINEST(AF34:AF37,LN(AC34:AC37))</f>
        <v>19.333418822528945</v>
      </c>
      <c r="Q5" s="52">
        <v>-36.229927737917649</v>
      </c>
      <c r="R5" t="s">
        <v>28</v>
      </c>
      <c r="T5" s="4"/>
      <c r="U5" s="39" t="s">
        <v>43</v>
      </c>
      <c r="V5" t="s">
        <v>28</v>
      </c>
      <c r="W5" s="9">
        <f>$P$5*LN($J$3)+$Q$5</f>
        <v>35.088723734289019</v>
      </c>
      <c r="X5" t="s">
        <v>31</v>
      </c>
      <c r="AA5" s="435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43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2:50" x14ac:dyDescent="0.15">
      <c r="C6" s="2" t="s">
        <v>3</v>
      </c>
      <c r="D6" s="1"/>
      <c r="E6" s="1"/>
      <c r="H6" s="1"/>
      <c r="P6" s="52">
        <f t="array" ref="P6:Q6">LINEST(AG34:AG37,LN(AC34:AC37))</f>
        <v>19.115071465704872</v>
      </c>
      <c r="Q6" s="52">
        <v>-17.835873584571843</v>
      </c>
      <c r="R6" t="s">
        <v>7</v>
      </c>
      <c r="T6" s="4"/>
      <c r="U6" s="39" t="s">
        <v>43</v>
      </c>
      <c r="V6" t="s">
        <v>7</v>
      </c>
      <c r="W6" s="9">
        <f>$P$6*LN($J$3)+$Q$6</f>
        <v>52.677320809186426</v>
      </c>
      <c r="X6" t="s">
        <v>31</v>
      </c>
      <c r="AA6" s="437">
        <v>20</v>
      </c>
      <c r="AB6" s="56">
        <f>(-$AW$27-SQRT($AW$27^2-(4*$AV$27*($AX$27-AA6))))/(2*$AV$27)</f>
        <v>276.93002872317612</v>
      </c>
      <c r="AC6" s="55">
        <v>20</v>
      </c>
      <c r="AD6" s="57">
        <f>AB6</f>
        <v>276.93002872317612</v>
      </c>
      <c r="AE6" s="55">
        <v>10</v>
      </c>
      <c r="AF6" s="57">
        <f t="shared" ref="AF6:AF11" si="0">(-$D$19-SQRT($D$19^2-(4*$C$19*($E$19-AE6))))/(2*$C$19)</f>
        <v>213.61335762915562</v>
      </c>
      <c r="AG6" s="56">
        <v>10</v>
      </c>
      <c r="AH6" s="438">
        <f>(-$D$24-SQRT($D$24^2-(4*$C$24*($E$24-AG6))))/(2*$C$24)</f>
        <v>122.85148290021115</v>
      </c>
      <c r="AM6" s="129" t="s">
        <v>226</v>
      </c>
      <c r="AN6" s="227">
        <f>'Kojeet ja kennon hyötysuhde'!M7</f>
        <v>0.79500000000000004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2:50" x14ac:dyDescent="0.15">
      <c r="C7" t="s">
        <v>11</v>
      </c>
      <c r="D7" s="1"/>
      <c r="E7" s="1"/>
      <c r="H7" s="1"/>
      <c r="T7" s="4"/>
      <c r="U7" s="5"/>
      <c r="AA7" s="437">
        <f t="shared" ref="AA7:AA10" si="1">AC7</f>
        <v>50</v>
      </c>
      <c r="AB7" s="56">
        <f t="shared" ref="AB7:AB12" si="2">(-$AW$27-SQRT($AW$27^2-(4*$AV$27*($AX$27-AA7))))/(2*$AV$27)</f>
        <v>266.48733485462003</v>
      </c>
      <c r="AC7" s="55">
        <v>50</v>
      </c>
      <c r="AD7" s="57">
        <f t="shared" ref="AD7:AD12" si="3">AB7</f>
        <v>266.48733485462003</v>
      </c>
      <c r="AE7" s="55">
        <v>50</v>
      </c>
      <c r="AF7" s="57">
        <f t="shared" si="0"/>
        <v>195.72898551317115</v>
      </c>
      <c r="AG7" s="56">
        <v>20</v>
      </c>
      <c r="AH7" s="438">
        <f>(-$D$24-SQRT($D$24^2-(4*$C$24*($E$24-AG7))))/(2*$C$24)</f>
        <v>114.87245597479257</v>
      </c>
      <c r="AU7" t="s">
        <v>534</v>
      </c>
    </row>
    <row r="8" spans="2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437">
        <f t="shared" si="1"/>
        <v>100</v>
      </c>
      <c r="AB8" s="56">
        <f t="shared" si="2"/>
        <v>247.90855499235673</v>
      </c>
      <c r="AC8" s="55">
        <v>100</v>
      </c>
      <c r="AD8" s="57">
        <f t="shared" si="3"/>
        <v>247.90855499235673</v>
      </c>
      <c r="AE8" s="55">
        <v>90</v>
      </c>
      <c r="AF8" s="57">
        <f t="shared" si="0"/>
        <v>175.4581740263832</v>
      </c>
      <c r="AG8" s="56">
        <v>40</v>
      </c>
      <c r="AH8" s="438">
        <f>(-$D$24-SQRT($D$24^2-(4*$C$24*($E$24-AG8))))/(2*$C$24)</f>
        <v>97.290460384499539</v>
      </c>
      <c r="AM8" s="129" t="s">
        <v>527</v>
      </c>
      <c r="AN8" s="3">
        <f>W2</f>
        <v>77.384692523292642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2:50" x14ac:dyDescent="0.15">
      <c r="C9" s="8">
        <f>AV17</f>
        <v>-6.3124369392543317E-3</v>
      </c>
      <c r="D9" s="8">
        <f t="shared" ref="D9:E9" si="4">AW17</f>
        <v>0.63457514688226124</v>
      </c>
      <c r="E9" s="8">
        <f t="shared" si="4"/>
        <v>646.42542368946533</v>
      </c>
      <c r="H9" s="2"/>
      <c r="P9" t="s">
        <v>415</v>
      </c>
      <c r="Q9" s="52">
        <f t="array" ref="Q9:R9">LINEST(AC35:AC37,U35:U37)</f>
        <v>15.553531616130611</v>
      </c>
      <c r="R9" s="52">
        <v>-12.140954125572534</v>
      </c>
      <c r="T9" s="111">
        <f>(J3-R9)/Q9</f>
        <v>3.3523546556781358</v>
      </c>
      <c r="U9" s="39" t="s">
        <v>42</v>
      </c>
      <c r="V9" t="s">
        <v>44</v>
      </c>
      <c r="W9" s="125">
        <f>IF($J$3&gt;$AJ$35,AVERAGE(T10,T11,T11),AVERAGE(T9,T9,T11))</f>
        <v>3.36194665396199</v>
      </c>
      <c r="X9" t="s">
        <v>25</v>
      </c>
      <c r="Y9" t="str">
        <f>IF(W9&gt;10,"Ei käyttöalueella","OK")</f>
        <v>OK</v>
      </c>
      <c r="AA9" s="437">
        <f t="shared" si="1"/>
        <v>150</v>
      </c>
      <c r="AB9" s="56">
        <f t="shared" si="2"/>
        <v>227.47673751838894</v>
      </c>
      <c r="AC9" s="55">
        <v>150</v>
      </c>
      <c r="AD9" s="57">
        <f t="shared" si="3"/>
        <v>227.47673751838894</v>
      </c>
      <c r="AE9" s="55">
        <v>130</v>
      </c>
      <c r="AF9" s="57">
        <f t="shared" si="0"/>
        <v>151.47576534370617</v>
      </c>
      <c r="AG9" s="56">
        <v>60</v>
      </c>
      <c r="AH9" s="438">
        <f>(-$D$24-SQRT($D$24^2-(4*$C$24*($E$24-AG9))))/(2*$C$24)</f>
        <v>76.542309887609477</v>
      </c>
      <c r="AM9" s="129" t="s">
        <v>528</v>
      </c>
      <c r="AN9" s="3">
        <f>'Laskenta poistopuoli 250'!W2</f>
        <v>71.225569239318858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2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12.062217052511391</v>
      </c>
      <c r="R10" s="52">
        <v>19.280876947000408</v>
      </c>
      <c r="T10" s="111">
        <f>(J3-R10)/Q10</f>
        <v>1.7176877984205903</v>
      </c>
      <c r="W10" t="b">
        <f>IF(AND(W9&lt;=7.51,J3&gt;=W11),TRUE,FALSE)</f>
        <v>1</v>
      </c>
      <c r="AA10" s="437">
        <f t="shared" si="1"/>
        <v>230</v>
      </c>
      <c r="AB10" s="56">
        <f t="shared" si="2"/>
        <v>188.98765340427627</v>
      </c>
      <c r="AC10" s="55">
        <v>230</v>
      </c>
      <c r="AD10" s="57">
        <f t="shared" si="3"/>
        <v>188.98765340427627</v>
      </c>
      <c r="AE10" s="55">
        <v>170</v>
      </c>
      <c r="AF10" s="57">
        <f t="shared" si="0"/>
        <v>120.42188405539274</v>
      </c>
      <c r="AG10" s="56">
        <v>80</v>
      </c>
      <c r="AH10" s="438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2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4.9404902901950976E-5</v>
      </c>
      <c r="R11" s="7">
        <v>5.7071383342699775E-2</v>
      </c>
      <c r="S11" s="7">
        <v>1.0192274721785859</v>
      </c>
      <c r="T11" s="111">
        <f>Q11*J3^2+R11*J3+S11</f>
        <v>3.3811306505296987</v>
      </c>
      <c r="V11" t="s">
        <v>348</v>
      </c>
      <c r="W11" s="294">
        <v>40</v>
      </c>
      <c r="X11" t="s">
        <v>13</v>
      </c>
      <c r="AA11" s="437">
        <f>AC11</f>
        <v>300</v>
      </c>
      <c r="AB11" s="56">
        <f t="shared" si="2"/>
        <v>144.00838062097975</v>
      </c>
      <c r="AC11" s="55">
        <v>300</v>
      </c>
      <c r="AD11" s="57">
        <f t="shared" si="3"/>
        <v>144.00838062097975</v>
      </c>
      <c r="AE11" s="55">
        <v>205</v>
      </c>
      <c r="AF11" s="57">
        <f t="shared" si="0"/>
        <v>73.943002844798301</v>
      </c>
      <c r="AG11" s="56"/>
      <c r="AH11" s="438"/>
      <c r="AM11" s="129" t="s">
        <v>525</v>
      </c>
      <c r="AN11" s="227">
        <f>(J3/1000*AN8)/W14</f>
        <v>0.13662908070155974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2:50" ht="14" thickBot="1" x14ac:dyDescent="0.2">
      <c r="C12" t="s">
        <v>11</v>
      </c>
      <c r="D12" s="1"/>
      <c r="E12" s="1"/>
      <c r="H12" s="1"/>
      <c r="P12" s="2" t="s">
        <v>51</v>
      </c>
      <c r="AA12" s="439">
        <f>AC12</f>
        <v>340</v>
      </c>
      <c r="AB12" s="440">
        <f t="shared" si="2"/>
        <v>105.265386166816</v>
      </c>
      <c r="AC12" s="441">
        <v>340</v>
      </c>
      <c r="AD12" s="442">
        <f t="shared" si="3"/>
        <v>105.265386166816</v>
      </c>
      <c r="AE12" s="441"/>
      <c r="AF12" s="442"/>
      <c r="AG12" s="440"/>
      <c r="AH12" s="443"/>
      <c r="AM12" s="129" t="s">
        <v>526</v>
      </c>
      <c r="AN12" s="227">
        <f>('Laskenta poistopuoli 250'!J3/1000*AN9)/'Laskenta poistopuoli 250'!W14</f>
        <v>0.12992666184398902</v>
      </c>
    </row>
    <row r="13" spans="2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2.4563641339123497E-2</v>
      </c>
      <c r="Q13" s="51">
        <v>-2.0053525059981339</v>
      </c>
      <c r="R13" s="51">
        <v>67.439369747171241</v>
      </c>
      <c r="U13" s="39" t="s">
        <v>43</v>
      </c>
      <c r="V13" t="s">
        <v>44</v>
      </c>
      <c r="W13" s="295">
        <f>P18</f>
        <v>22.655408973240419</v>
      </c>
      <c r="X13" t="s">
        <v>49</v>
      </c>
      <c r="Y13" s="129" t="s">
        <v>414</v>
      </c>
      <c r="AU13" t="s">
        <v>535</v>
      </c>
    </row>
    <row r="14" spans="2:50" ht="14" thickBot="1" x14ac:dyDescent="0.2">
      <c r="C14" s="642">
        <f>AV18</f>
        <v>-5.8938322601629753E-3</v>
      </c>
      <c r="D14" s="642">
        <f t="shared" ref="D14:E14" si="5">AW18</f>
        <v>0.41704887403929791</v>
      </c>
      <c r="E14" s="642">
        <f t="shared" si="5"/>
        <v>424.65374076504946</v>
      </c>
      <c r="H14" s="2"/>
      <c r="O14" t="s">
        <v>413</v>
      </c>
      <c r="P14">
        <f t="array" ref="P14:S14">LINEST(AE34:AE37,AC34:AC37^{1,2,3})</f>
        <v>1.1346553243096099E-4</v>
      </c>
      <c r="Q14">
        <v>-7.8459495607362956E-3</v>
      </c>
      <c r="R14">
        <v>0.87626572339698727</v>
      </c>
      <c r="S14">
        <v>-10.975181417645558</v>
      </c>
      <c r="V14" t="s">
        <v>52</v>
      </c>
      <c r="W14" s="296">
        <f>IF(W13&gt;Y14,Y14,W13)</f>
        <v>22.655408973240419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1100+((AN6-0.73)*3000)-300*(J3/1000)/2-AN5</f>
        <v>1289.0000000000002</v>
      </c>
      <c r="AU14" s="451" t="b">
        <f>Tulokset!D40</f>
        <v>0</v>
      </c>
      <c r="AV14" s="2"/>
    </row>
    <row r="15" spans="2:50" x14ac:dyDescent="0.15">
      <c r="B15" s="446" t="s">
        <v>564</v>
      </c>
      <c r="C15" s="446">
        <f>AA1</f>
        <v>-6.2567305087769002E-3</v>
      </c>
      <c r="D15" s="446">
        <f t="shared" ref="D15:E15" si="6">AB1</f>
        <v>0.52719406327833773</v>
      </c>
      <c r="E15" s="446">
        <f t="shared" si="6"/>
        <v>353.83430230637669</v>
      </c>
      <c r="H15" s="2"/>
    </row>
    <row r="16" spans="2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26.527095649843481</v>
      </c>
      <c r="Q16" t="s">
        <v>49</v>
      </c>
      <c r="V16" t="s">
        <v>58</v>
      </c>
      <c r="W16">
        <f>'Laskenta poistopuoli 250'!W13</f>
        <v>21.927930181056698</v>
      </c>
      <c r="AM16" s="129" t="s">
        <v>521</v>
      </c>
      <c r="AN16" s="3">
        <f>(AN8-L3)/AN11</f>
        <v>200.4309213139573</v>
      </c>
      <c r="AU16" t="s">
        <v>21</v>
      </c>
    </row>
    <row r="17" spans="3:50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18.783722296637357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250'!L3)/AN12</f>
        <v>163.36577064379375</v>
      </c>
      <c r="AU17" s="2" t="s">
        <v>102</v>
      </c>
      <c r="AV17" s="2">
        <f>IF($AU$14,AV8,AV3)</f>
        <v>-6.3124369392543317E-3</v>
      </c>
      <c r="AW17" s="2">
        <f t="shared" ref="AW17:AX17" si="7">IF($AU$14,AW8,AW3)</f>
        <v>0.63457514688226124</v>
      </c>
      <c r="AX17" s="2">
        <f t="shared" si="7"/>
        <v>646.42542368946533</v>
      </c>
    </row>
    <row r="18" spans="3:50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22.655408973240419</v>
      </c>
      <c r="Q18" t="s">
        <v>49</v>
      </c>
      <c r="AM18" s="297" t="s">
        <v>529</v>
      </c>
      <c r="AN18" s="84">
        <f>AN16+AN17</f>
        <v>363.79669195775102</v>
      </c>
      <c r="AU18" s="2" t="s">
        <v>404</v>
      </c>
      <c r="AV18" s="2">
        <f t="shared" ref="AV18:AX20" si="8">IF($AU$14,AV9,AV4)</f>
        <v>-5.8938322601629753E-3</v>
      </c>
      <c r="AW18" s="2">
        <f t="shared" si="8"/>
        <v>0.41704887403929791</v>
      </c>
      <c r="AX18" s="2">
        <f t="shared" si="8"/>
        <v>424.65374076504946</v>
      </c>
    </row>
    <row r="19" spans="3:50" x14ac:dyDescent="0.15">
      <c r="C19" s="8">
        <f>AV19</f>
        <v>-6.900999826613176E-3</v>
      </c>
      <c r="D19" s="8">
        <f t="shared" ref="D19:E19" si="9">AW19</f>
        <v>0.58828187691278289</v>
      </c>
      <c r="E19" s="8">
        <f t="shared" si="9"/>
        <v>199.23235504253068</v>
      </c>
      <c r="V19" s="74" t="s">
        <v>74</v>
      </c>
      <c r="W19" s="77">
        <f>W13+W16+W17</f>
        <v>46.953339154297119</v>
      </c>
      <c r="X19" s="75" t="s">
        <v>49</v>
      </c>
      <c r="AB19" s="6"/>
      <c r="AC19" s="6"/>
      <c r="AU19" s="2" t="s">
        <v>411</v>
      </c>
      <c r="AV19" s="2">
        <f t="shared" si="8"/>
        <v>-6.900999826613176E-3</v>
      </c>
      <c r="AW19" s="2">
        <f t="shared" si="8"/>
        <v>0.58828187691278289</v>
      </c>
      <c r="AX19" s="2">
        <f t="shared" si="8"/>
        <v>199.23235504253068</v>
      </c>
    </row>
    <row r="20" spans="3:50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8"/>
        <v>-0.1767038368018404</v>
      </c>
      <c r="AX20" s="2">
        <f t="shared" si="8"/>
        <v>100.05776360579901</v>
      </c>
    </row>
    <row r="21" spans="3:50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40</v>
      </c>
      <c r="X21" t="s">
        <v>13</v>
      </c>
      <c r="AB21" s="6"/>
      <c r="AC21" s="6"/>
    </row>
    <row r="22" spans="3:50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1.1738334788574281</v>
      </c>
      <c r="X22" t="s">
        <v>77</v>
      </c>
      <c r="AB22" s="6"/>
      <c r="AC22" s="6"/>
      <c r="AU22" s="2" t="s">
        <v>564</v>
      </c>
    </row>
    <row r="23" spans="3:50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  <c r="AU23" t="s">
        <v>533</v>
      </c>
      <c r="AV23">
        <v>-6.2567305087769089E-3</v>
      </c>
      <c r="AW23">
        <v>0.52719406327834151</v>
      </c>
      <c r="AX23">
        <v>353.83430230637634</v>
      </c>
    </row>
    <row r="24" spans="3:50" x14ac:dyDescent="0.15">
      <c r="C24" s="8">
        <f>AV20</f>
        <v>-4.5287059645176828E-3</v>
      </c>
      <c r="D24" s="8">
        <f t="shared" ref="D24:E24" si="10">AW20</f>
        <v>-0.1767038368018404</v>
      </c>
      <c r="E24" s="8">
        <f t="shared" si="10"/>
        <v>100.05776360579901</v>
      </c>
      <c r="H24" s="1"/>
      <c r="AU24" t="s">
        <v>534</v>
      </c>
      <c r="AV24">
        <v>-6.3537296653299272E-3</v>
      </c>
      <c r="AW24">
        <v>0.51879926071761351</v>
      </c>
      <c r="AX24">
        <v>353.38933722243871</v>
      </c>
    </row>
    <row r="25" spans="3:50" x14ac:dyDescent="0.15">
      <c r="G25" s="2"/>
      <c r="H25" s="1"/>
    </row>
    <row r="27" spans="3:50" x14ac:dyDescent="0.15">
      <c r="U27" t="s">
        <v>407</v>
      </c>
      <c r="AU27" t="s">
        <v>21</v>
      </c>
      <c r="AV27" s="2">
        <f>IF($AU$14,AV24,AV23)</f>
        <v>-6.2567305087769089E-3</v>
      </c>
      <c r="AW27" s="2">
        <f t="shared" ref="AW27:AX27" si="11">IF($AU$14,AW24,AW23)</f>
        <v>0.52719406327834151</v>
      </c>
      <c r="AX27" s="2">
        <f t="shared" si="11"/>
        <v>353.83430230637634</v>
      </c>
    </row>
    <row r="28" spans="3:50" x14ac:dyDescent="0.15">
      <c r="U28" s="4" t="s">
        <v>17</v>
      </c>
    </row>
    <row r="29" spans="3:50" x14ac:dyDescent="0.15">
      <c r="U29" s="4">
        <f>L3/J3^2</f>
        <v>3.125E-2</v>
      </c>
    </row>
    <row r="31" spans="3:50" x14ac:dyDescent="0.15">
      <c r="U31" s="2" t="s">
        <v>16</v>
      </c>
      <c r="AP31" s="2" t="s">
        <v>1110</v>
      </c>
    </row>
    <row r="32" spans="3:50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-3.7562436939254332E-2</v>
      </c>
      <c r="Z34" s="28">
        <f>(-W34+SQRT(W34^2-(4*Y34*X34)))/(2*Y34)</f>
        <v>-123.0091716059534</v>
      </c>
      <c r="AA34" s="29">
        <f>(-W34-SQRT(W34^2-(4*Y34*X34)))/(2*Y34)</f>
        <v>139.90304747211434</v>
      </c>
      <c r="AB34" s="36">
        <f>AB6</f>
        <v>276.93002872317612</v>
      </c>
      <c r="AC34" s="53">
        <f>IF(Z34&lt;0,AA34,IF(Z34&gt;AB34,AA34,Z34))</f>
        <v>139.90304747211434</v>
      </c>
      <c r="AD34" s="53">
        <f>V34*AC34^2+W34*AC34+X34</f>
        <v>611.65195912452123</v>
      </c>
      <c r="AE34" s="53">
        <f>X51*AC34^2+Y51*AC34+Z51</f>
        <v>268.75239379202606</v>
      </c>
      <c r="AF34" s="53">
        <f>AVERAGE(K61:K62,K61)</f>
        <v>59.737044700335069</v>
      </c>
      <c r="AG34" s="53">
        <f>AVERAGE(U61:U62,U61)</f>
        <v>76.543205057874175</v>
      </c>
      <c r="AI34">
        <v>10</v>
      </c>
      <c r="AJ34" s="3">
        <f>AC34</f>
        <v>139.90304747211434</v>
      </c>
      <c r="AL34">
        <f>AN52*AC34^2+AO52*AC34+AP52</f>
        <v>714.40517854892778</v>
      </c>
      <c r="AM34" t="s">
        <v>14</v>
      </c>
      <c r="AP34" s="618">
        <f>AC38/$J$3-1</f>
        <v>1.6102532799985232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-3.7143832260162976E-2</v>
      </c>
      <c r="Z35" s="28">
        <f t="shared" ref="Z35:Z37" si="12">(-W35+SQRT(W35^2-(4*Y35*X35)))/(2*Y35)</f>
        <v>-101.45704112145005</v>
      </c>
      <c r="AA35" s="29">
        <f t="shared" ref="AA35:AA38" si="13">(-W35-SQRT(W35^2-(4*Y35*X35)))/(2*Y35)</f>
        <v>112.68498526889834</v>
      </c>
      <c r="AB35" s="36">
        <f>AD6</f>
        <v>276.93002872317612</v>
      </c>
      <c r="AC35" s="53">
        <f t="shared" ref="AC35:AC38" si="14">IF(Z35&lt;0,AA35,IF(Z35&gt;AB35,AA35,Z35))</f>
        <v>112.68498526889834</v>
      </c>
      <c r="AD35" s="53">
        <f>V35*AC35^2+W35*AC35+X35</f>
        <v>396.80955953286991</v>
      </c>
      <c r="AE35" s="53">
        <f t="shared" ref="AE35:AE37" si="15">X52*AC35^2+Y52*AC35+Z52</f>
        <v>150.49335014974707</v>
      </c>
      <c r="AF35" s="53">
        <f>AVERAGE(K66:K67,K66)</f>
        <v>54.330601351062427</v>
      </c>
      <c r="AG35" s="53">
        <f>AVERAGE(U66:U67,U66)</f>
        <v>72.295768769069682</v>
      </c>
      <c r="AI35">
        <v>9</v>
      </c>
      <c r="AJ35" s="3">
        <f>Q9*AI35+R9</f>
        <v>127.84083041960295</v>
      </c>
      <c r="AL35">
        <f t="shared" ref="AL35:AL37" si="16">AN53*AC35^2+AO53*AC35+AP53</f>
        <v>477.97892549245955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-3.8150999826613179E-2</v>
      </c>
      <c r="Z36" s="28">
        <f t="shared" si="12"/>
        <v>-64.965034075278851</v>
      </c>
      <c r="AA36" s="29">
        <f t="shared" si="13"/>
        <v>80.384862640359131</v>
      </c>
      <c r="AB36" s="36">
        <f>AF6</f>
        <v>213.61335762915562</v>
      </c>
      <c r="AC36" s="53">
        <f t="shared" si="14"/>
        <v>80.384862640359131</v>
      </c>
      <c r="AD36" s="53">
        <f>V36*AC36^2+W36*AC36+X36</f>
        <v>201.92894192841896</v>
      </c>
      <c r="AE36" s="53">
        <f t="shared" si="15"/>
        <v>67.701771599402178</v>
      </c>
      <c r="AF36" s="53">
        <f>AVERAGE(K71:K72,K71)</f>
        <v>48.964857255222057</v>
      </c>
      <c r="AG36" s="53">
        <f>AVERAGE(U71:U72,U71)</f>
        <v>66.476049239445118</v>
      </c>
      <c r="AI36">
        <v>8</v>
      </c>
      <c r="AJ36" s="3">
        <f>AC35</f>
        <v>112.68498526889834</v>
      </c>
      <c r="AL36">
        <f t="shared" si="16"/>
        <v>264.89975982595797</v>
      </c>
      <c r="AM36" t="s">
        <v>14</v>
      </c>
      <c r="AP36" s="611">
        <f>Tulokset!$CR$16</f>
        <v>48</v>
      </c>
      <c r="AQ36" t="s">
        <v>13</v>
      </c>
      <c r="AS36" s="629">
        <f>IF($AP$36&gt;$AJ$35,AVERAGE(AS40,AS41,AS41),AVERAGE(AS39,AS39,AS41))</f>
        <v>3.868632451362664</v>
      </c>
      <c r="AT36" t="s">
        <v>25</v>
      </c>
    </row>
    <row r="37" spans="21:47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-3.5778705964517682E-2</v>
      </c>
      <c r="Z37" s="30">
        <f t="shared" si="12"/>
        <v>-55.409657792161553</v>
      </c>
      <c r="AA37" s="31">
        <f t="shared" si="13"/>
        <v>50.470858804375901</v>
      </c>
      <c r="AB37" s="37">
        <f>AH6</f>
        <v>122.85148290021115</v>
      </c>
      <c r="AC37" s="53">
        <f t="shared" si="14"/>
        <v>50.470858804375901</v>
      </c>
      <c r="AD37" s="53">
        <f>V37*AC37^2+W37*AC37+X37</f>
        <v>79.60336213910152</v>
      </c>
      <c r="AE37" s="53">
        <f t="shared" si="15"/>
        <v>27.852328996974983</v>
      </c>
      <c r="AF37" s="53">
        <f>AVERAGE(K76:K77,K76)</f>
        <v>39.542167377187063</v>
      </c>
      <c r="AG37" s="53">
        <f>AVERAGE(U76:U77,U76)</f>
        <v>56.911339528894267</v>
      </c>
      <c r="AI37">
        <v>6</v>
      </c>
      <c r="AJ37" s="3">
        <f t="shared" ref="AJ37:AJ38" si="17">AC36</f>
        <v>80.384862640359131</v>
      </c>
      <c r="AL37">
        <f t="shared" si="16"/>
        <v>115.03111351902663</v>
      </c>
      <c r="AM37" t="s">
        <v>14</v>
      </c>
      <c r="AP37" s="611">
        <f>Tulokset!$CR$17</f>
        <v>72</v>
      </c>
      <c r="AQ37" t="s">
        <v>14</v>
      </c>
    </row>
    <row r="38" spans="21:47" x14ac:dyDescent="0.15">
      <c r="U38" s="641">
        <v>7.5</v>
      </c>
      <c r="V38" s="635">
        <f>C15</f>
        <v>-6.2567305087769002E-3</v>
      </c>
      <c r="W38" s="636">
        <f t="shared" ref="W38:X38" si="18">D15</f>
        <v>0.52719406327833773</v>
      </c>
      <c r="X38" s="637">
        <f t="shared" si="18"/>
        <v>353.83430230637669</v>
      </c>
      <c r="Y38" s="638">
        <f>C15-U29</f>
        <v>-3.7506730508776898E-2</v>
      </c>
      <c r="Z38" s="639">
        <f>(-W38+SQRT(W38^2-(4*Y38*X38)))/(2*Y38)</f>
        <v>-90.354145617434085</v>
      </c>
      <c r="AA38" s="640">
        <f t="shared" si="13"/>
        <v>104.41013119994093</v>
      </c>
      <c r="AB38" s="638">
        <f>AD6</f>
        <v>276.93002872317612</v>
      </c>
      <c r="AC38" s="53">
        <f t="shared" si="14"/>
        <v>104.41013119994093</v>
      </c>
      <c r="AD38" s="53">
        <f>V38*AC38^2+W38*AC38+X38</f>
        <v>340.67110928715238</v>
      </c>
      <c r="AE38" s="2" t="s">
        <v>1156</v>
      </c>
      <c r="AI38">
        <v>4</v>
      </c>
      <c r="AJ38" s="3">
        <f t="shared" si="17"/>
        <v>50.470858804375901</v>
      </c>
      <c r="AS38" s="4" t="s">
        <v>418</v>
      </c>
    </row>
    <row r="39" spans="21:47" x14ac:dyDescent="0.15">
      <c r="AR39" t="s">
        <v>415</v>
      </c>
      <c r="AS39" s="111">
        <f>(AP36-R9)/Q9</f>
        <v>3.8667072925868609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2.3809157908512502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3.8724827689142698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50.088723734289019</v>
      </c>
      <c r="AG43" s="53">
        <f t="shared" ref="AG43:AM43" si="19">$W$5+X43</f>
        <v>48.088723734289019</v>
      </c>
      <c r="AH43" s="53">
        <f t="shared" si="19"/>
        <v>36.088723734289019</v>
      </c>
      <c r="AI43" s="53">
        <f t="shared" si="19"/>
        <v>30.088723734289019</v>
      </c>
      <c r="AJ43" s="53">
        <f t="shared" si="19"/>
        <v>26.088723734289019</v>
      </c>
      <c r="AK43" s="53">
        <f t="shared" si="19"/>
        <v>21.088723734289019</v>
      </c>
      <c r="AL43" s="53">
        <f t="shared" si="19"/>
        <v>11.088723734289019</v>
      </c>
      <c r="AM43" s="53">
        <f t="shared" si="19"/>
        <v>6.0887237342890188</v>
      </c>
      <c r="AN43" s="5">
        <f t="array" ref="AN43">10*LOG10(SUM(10^(AF43:AM43/10)))</f>
        <v>52.357747005092705</v>
      </c>
      <c r="AO43" s="5">
        <f t="array" ref="AO43">10*LOG10(SUM(10^((AF43:AM43+AF46:AM46)/10)))</f>
        <v>35.403354468191694</v>
      </c>
      <c r="AP43" t="str">
        <f>IF(ABS(W5-AO43)&lt;0.5,"OK","Tarkista laskenta!")</f>
        <v>OK</v>
      </c>
    </row>
    <row r="44" spans="21:47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58.677320809186426</v>
      </c>
      <c r="AG44" s="53">
        <f t="shared" ref="AG44:AM44" si="20">$W$6+X44</f>
        <v>60.677320809186426</v>
      </c>
      <c r="AH44" s="53">
        <f t="shared" si="20"/>
        <v>51.677320809186426</v>
      </c>
      <c r="AI44" s="53">
        <f t="shared" si="20"/>
        <v>48.677320809186426</v>
      </c>
      <c r="AJ44" s="53">
        <f t="shared" si="20"/>
        <v>47.677320809186426</v>
      </c>
      <c r="AK44" s="53">
        <f t="shared" si="20"/>
        <v>42.677320809186426</v>
      </c>
      <c r="AL44" s="53">
        <f t="shared" si="20"/>
        <v>38.677320809186426</v>
      </c>
      <c r="AM44" s="53">
        <f t="shared" si="20"/>
        <v>36.677320809186426</v>
      </c>
      <c r="AN44" s="5">
        <f t="array" ref="AN44">10*LOG10(SUM(10^(AF44:AM44/10)))</f>
        <v>63.456171210965245</v>
      </c>
      <c r="AO44" s="5">
        <f t="array" ref="AO44">10*LOG10(SUM(10^((AF44:AM44+AF46:AM46)/10)))</f>
        <v>52.599744955630982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61.525593387938109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77.497528583381694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59.824746623464208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76.848017116969686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59.561640854076771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75.933580939683182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55.16626740760006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73.491167848340339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54.538542567646942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72.604781716161682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53.914718917893403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71.677742874885666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51.978067586130656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67.015443376837354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49.076363946085927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66.715577909720096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48.741843873494318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65.996991898895189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43.165140049464647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57.586621253672838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39.674436589674826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57.078826962392604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39.277628952211529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56.576364661897586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CB61-A207-49B1-B7C9-CD148CB33789}">
  <sheetPr codeName="Taul12"/>
  <dimension ref="B1:AU100"/>
  <sheetViews>
    <sheetView zoomScale="70" zoomScaleNormal="70" workbookViewId="0">
      <selection activeCell="U38" sqref="U38:AE38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2:38" x14ac:dyDescent="0.15">
      <c r="P1" t="s">
        <v>518</v>
      </c>
    </row>
    <row r="2" spans="2:38" x14ac:dyDescent="0.15">
      <c r="C2" s="2" t="s">
        <v>59</v>
      </c>
      <c r="J2" t="s">
        <v>15</v>
      </c>
      <c r="P2" s="259">
        <f t="array" ref="P2:R2">LINEST(AL34:AL37,AC34:AC37^{1,2})</f>
        <v>3.2210854484053038E-2</v>
      </c>
      <c r="Q2" s="259">
        <v>0.33753758405126572</v>
      </c>
      <c r="R2" s="259">
        <v>6.1866987027833602</v>
      </c>
      <c r="V2" t="s">
        <v>519</v>
      </c>
      <c r="W2" s="84">
        <f>P2*J3^2+Q2*J3+R2</f>
        <v>71.225569239318858</v>
      </c>
      <c r="X2" t="s">
        <v>14</v>
      </c>
    </row>
    <row r="3" spans="2:38" x14ac:dyDescent="0.15">
      <c r="J3" s="7">
        <f>Tulostus!G33</f>
        <v>40</v>
      </c>
      <c r="K3" t="s">
        <v>13</v>
      </c>
      <c r="L3" s="122">
        <f>Tulostus!G39</f>
        <v>50</v>
      </c>
      <c r="M3" t="s">
        <v>14</v>
      </c>
      <c r="P3" t="s">
        <v>34</v>
      </c>
      <c r="AA3" s="2" t="s">
        <v>53</v>
      </c>
    </row>
    <row r="4" spans="2:38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30</v>
      </c>
      <c r="AB4" s="62"/>
      <c r="AC4" s="61" t="s">
        <v>30</v>
      </c>
      <c r="AD4" s="63"/>
      <c r="AE4" s="61" t="s">
        <v>405</v>
      </c>
      <c r="AF4" s="63"/>
      <c r="AG4" s="62" t="s">
        <v>406</v>
      </c>
      <c r="AH4" s="63"/>
      <c r="AJ4" s="2" t="s">
        <v>30</v>
      </c>
      <c r="AK4" s="2"/>
      <c r="AL4" s="2"/>
    </row>
    <row r="5" spans="2:38" x14ac:dyDescent="0.15">
      <c r="C5" t="s">
        <v>2</v>
      </c>
      <c r="D5" s="1"/>
      <c r="E5" s="1"/>
      <c r="H5" s="1"/>
      <c r="P5" s="52">
        <f t="array" ref="P5:Q5">LINEST(AF34:AF37,LN(AC34:AC37))</f>
        <v>18.593682665033512</v>
      </c>
      <c r="Q5" s="52">
        <v>-33.811819640798269</v>
      </c>
      <c r="R5" t="s">
        <v>8</v>
      </c>
      <c r="T5" s="4"/>
      <c r="U5" s="39" t="s">
        <v>43</v>
      </c>
      <c r="V5" t="s">
        <v>8</v>
      </c>
      <c r="W5" s="9">
        <f>$P$5*LN($J$3)+$Q$5</f>
        <v>34.778034318558305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J5" s="2">
        <f t="array" ref="AJ5:AL5">LINEST(AA6:AA12,AB6:AB12^{1,2})</f>
        <v>-5.3124999999999943E-3</v>
      </c>
      <c r="AK5" s="2">
        <v>0.4448106060606038</v>
      </c>
      <c r="AL5" s="2">
        <v>359.59848484848504</v>
      </c>
    </row>
    <row r="6" spans="2:38" x14ac:dyDescent="0.15">
      <c r="C6" s="2" t="s">
        <v>3</v>
      </c>
      <c r="D6" s="1"/>
      <c r="E6" s="1"/>
      <c r="H6" s="1"/>
      <c r="P6" s="52">
        <f t="array" ref="P6:Q6">LINEST(AG34:AG37,LN(AC34:AC37))</f>
        <v>20.947747288314947</v>
      </c>
      <c r="Q6" s="52">
        <v>-27.382118021037741</v>
      </c>
      <c r="R6" t="s">
        <v>57</v>
      </c>
      <c r="T6" s="4"/>
      <c r="U6" s="39" t="s">
        <v>43</v>
      </c>
      <c r="V6" t="s">
        <v>57</v>
      </c>
      <c r="W6" s="9">
        <f>$P$6*LN($J$3)+$Q$6</f>
        <v>49.891596560798192</v>
      </c>
      <c r="X6" t="s">
        <v>31</v>
      </c>
      <c r="AA6" s="55">
        <v>25</v>
      </c>
      <c r="AB6" s="56">
        <f>(-$D$15-SQRT($D$15^2-(4*$C$15*($E$15-AA6))))/(2*$C$15)</f>
        <v>296.29699977143565</v>
      </c>
      <c r="AC6" s="55">
        <f>AA6</f>
        <v>25</v>
      </c>
      <c r="AD6" s="57">
        <f>AB6</f>
        <v>296.29699977143565</v>
      </c>
      <c r="AE6" s="55">
        <v>10</v>
      </c>
      <c r="AF6" s="57">
        <f t="shared" ref="AF6:AF11" si="0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2:38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ref="AB7:AB12" si="1">(-$D$15-SQRT($D$15^2-(4*$C$15*($E$15-AA7))))/(2*$C$15)</f>
        <v>266.84949561947269</v>
      </c>
      <c r="AC7" s="55">
        <f t="shared" ref="AC7:AC12" si="2">AA7</f>
        <v>100</v>
      </c>
      <c r="AD7" s="57">
        <f t="shared" ref="AD7:AD12" si="3">AB7</f>
        <v>266.84949561947269</v>
      </c>
      <c r="AE7" s="55">
        <v>50</v>
      </c>
      <c r="AF7" s="57">
        <f t="shared" si="0"/>
        <v>211.56213987435652</v>
      </c>
      <c r="AG7" s="56">
        <v>20</v>
      </c>
      <c r="AH7" s="57">
        <f>(-$D$24-SQRT($D$24^2-(4*$C$24*($E$24-AG7))))/(2*$C$24)</f>
        <v>129.5056281141523</v>
      </c>
    </row>
    <row r="8" spans="2:38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1"/>
        <v>220.17522952287823</v>
      </c>
      <c r="AC8" s="55">
        <f t="shared" si="2"/>
        <v>200</v>
      </c>
      <c r="AD8" s="57">
        <f t="shared" si="3"/>
        <v>220.17522952287823</v>
      </c>
      <c r="AE8" s="55">
        <v>90</v>
      </c>
      <c r="AF8" s="57">
        <f t="shared" si="0"/>
        <v>189.11321368100411</v>
      </c>
      <c r="AG8" s="56">
        <v>40</v>
      </c>
      <c r="AH8" s="57">
        <f>(-$D$24-SQRT($D$24^2-(4*$C$24*($E$24-AG8))))/(2*$C$24)</f>
        <v>110.92570358593754</v>
      </c>
    </row>
    <row r="9" spans="2:38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15.667814130507452</v>
      </c>
      <c r="R9" s="52">
        <v>-11.953066834981087</v>
      </c>
      <c r="T9" s="111">
        <f>(J3-R9)/Q9</f>
        <v>3.3159103370917014</v>
      </c>
      <c r="U9" s="39" t="s">
        <v>42</v>
      </c>
      <c r="V9" t="s">
        <v>58</v>
      </c>
      <c r="W9" s="125">
        <f>IF($J$3&gt;$AJ$35,AVERAGE(T10,T11,T11),AVERAGE(T9,T9,T11))</f>
        <v>3.3294638131130845</v>
      </c>
      <c r="X9" t="s">
        <v>25</v>
      </c>
      <c r="Y9" t="str">
        <f>IF(W9&gt;10,"Ei käyttöalueella","OK")</f>
        <v>OK</v>
      </c>
      <c r="AA9" s="55">
        <v>230</v>
      </c>
      <c r="AB9" s="56">
        <f t="shared" si="1"/>
        <v>203.56687017959618</v>
      </c>
      <c r="AC9" s="55">
        <f t="shared" si="2"/>
        <v>230</v>
      </c>
      <c r="AD9" s="57">
        <f t="shared" si="3"/>
        <v>203.56687017959618</v>
      </c>
      <c r="AE9" s="55">
        <v>130</v>
      </c>
      <c r="AF9" s="57">
        <f t="shared" si="0"/>
        <v>162.761483860868</v>
      </c>
      <c r="AG9" s="56">
        <v>60</v>
      </c>
      <c r="AH9" s="57">
        <f>(-$D$24-SQRT($D$24^2-(4*$C$24*($E$24-AG9))))/(2*$C$24)</f>
        <v>88.098495554899614</v>
      </c>
    </row>
    <row r="10" spans="2:38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11.553232027274504</v>
      </c>
      <c r="R10" s="52">
        <v>25.07817209411543</v>
      </c>
      <c r="T10" s="111">
        <f>(J3-R10)/Q10</f>
        <v>1.2915717325383573</v>
      </c>
      <c r="W10" t="b">
        <f>IF(AND(W9&lt;=7.51,J3&gt;=W11),TRUE,FALSE)</f>
        <v>1</v>
      </c>
      <c r="AA10" s="55">
        <v>270</v>
      </c>
      <c r="AB10" s="56">
        <f t="shared" si="1"/>
        <v>178.31318398600729</v>
      </c>
      <c r="AC10" s="55">
        <f t="shared" si="2"/>
        <v>270</v>
      </c>
      <c r="AD10" s="57">
        <f t="shared" si="3"/>
        <v>178.31318398600729</v>
      </c>
      <c r="AE10" s="55">
        <v>170</v>
      </c>
      <c r="AF10" s="57">
        <f t="shared" si="0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2:38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5.9976711893069474E-5</v>
      </c>
      <c r="R11" s="7">
        <v>5.4867742957411578E-2</v>
      </c>
      <c r="S11" s="7">
        <v>1.0658983078304769</v>
      </c>
      <c r="T11" s="111">
        <f>Q11*J3^2+R11*J3+S11</f>
        <v>3.3565707651558512</v>
      </c>
      <c r="V11" t="s">
        <v>348</v>
      </c>
      <c r="W11" s="294">
        <v>40</v>
      </c>
      <c r="X11" t="s">
        <v>13</v>
      </c>
      <c r="AA11" s="55">
        <v>300</v>
      </c>
      <c r="AB11" s="56">
        <f t="shared" si="1"/>
        <v>155.75560277579419</v>
      </c>
      <c r="AC11" s="55">
        <f t="shared" si="2"/>
        <v>300</v>
      </c>
      <c r="AD11" s="57">
        <f t="shared" si="3"/>
        <v>155.75560277579419</v>
      </c>
      <c r="AE11" s="55">
        <v>200</v>
      </c>
      <c r="AF11" s="57">
        <f t="shared" si="0"/>
        <v>92.408694768599474</v>
      </c>
      <c r="AG11" s="56"/>
      <c r="AH11" s="57"/>
    </row>
    <row r="12" spans="2:38" x14ac:dyDescent="0.15">
      <c r="C12" t="s">
        <v>11</v>
      </c>
      <c r="D12" s="1"/>
      <c r="E12" s="1"/>
      <c r="H12" s="1"/>
      <c r="P12" s="2" t="s">
        <v>51</v>
      </c>
      <c r="AA12" s="58">
        <v>340</v>
      </c>
      <c r="AB12" s="59">
        <f t="shared" si="1"/>
        <v>115.63284896931589</v>
      </c>
      <c r="AC12" s="58">
        <f t="shared" si="2"/>
        <v>340</v>
      </c>
      <c r="AD12" s="60">
        <f t="shared" si="3"/>
        <v>115.63284896931589</v>
      </c>
      <c r="AE12" s="58"/>
      <c r="AF12" s="60"/>
      <c r="AG12" s="59"/>
      <c r="AH12" s="60"/>
    </row>
    <row r="13" spans="2:38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1.7739065482719352E-2</v>
      </c>
      <c r="Q13" s="51">
        <v>-1.0134906495797029</v>
      </c>
      <c r="R13" s="51">
        <v>32.365774397101205</v>
      </c>
      <c r="U13" s="39" t="s">
        <v>43</v>
      </c>
      <c r="V13" t="s">
        <v>58</v>
      </c>
      <c r="W13" s="295">
        <f>P18</f>
        <v>21.927930181056698</v>
      </c>
      <c r="X13" t="s">
        <v>49</v>
      </c>
      <c r="Y13" s="129" t="s">
        <v>414</v>
      </c>
    </row>
    <row r="14" spans="2:38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-4.697528495685329E-5</v>
      </c>
      <c r="Q14">
        <v>3.1252666369707929E-2</v>
      </c>
      <c r="R14">
        <v>-2.2248284721632694</v>
      </c>
      <c r="S14">
        <v>65.642498108086045</v>
      </c>
      <c r="V14" t="s">
        <v>52</v>
      </c>
      <c r="W14" s="296">
        <f>IF(W13&gt;Y14,Y14,W13)</f>
        <v>21.927930181056698</v>
      </c>
      <c r="X14" t="s">
        <v>49</v>
      </c>
      <c r="Y14" s="129">
        <v>516</v>
      </c>
      <c r="Z14" t="s">
        <v>49</v>
      </c>
    </row>
    <row r="15" spans="2:38" x14ac:dyDescent="0.15">
      <c r="B15" s="446" t="s">
        <v>9</v>
      </c>
      <c r="C15" s="446">
        <v>-5.3124999999999943E-3</v>
      </c>
      <c r="D15" s="446">
        <v>0.44481060606060391</v>
      </c>
      <c r="E15" s="446">
        <v>359.59848484848504</v>
      </c>
      <c r="H15" s="2"/>
    </row>
    <row r="16" spans="2:38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20.208653186264051</v>
      </c>
      <c r="Q16" t="s">
        <v>49</v>
      </c>
    </row>
    <row r="17" spans="3:4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23.647207175849346</v>
      </c>
      <c r="Q17" t="s">
        <v>49</v>
      </c>
    </row>
    <row r="18" spans="3:4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21.927930181056698</v>
      </c>
      <c r="Q18" t="s">
        <v>49</v>
      </c>
    </row>
    <row r="19" spans="3:4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42" x14ac:dyDescent="0.15">
      <c r="C20" s="2"/>
      <c r="D20" s="2"/>
      <c r="E20" s="2"/>
      <c r="H20" s="1"/>
      <c r="AB20" s="6"/>
      <c r="AC20" s="6"/>
    </row>
    <row r="21" spans="3:42" x14ac:dyDescent="0.15">
      <c r="C21" s="2" t="s">
        <v>12</v>
      </c>
      <c r="D21" s="1"/>
      <c r="E21" s="1"/>
      <c r="H21" s="1"/>
      <c r="AB21" s="6"/>
      <c r="AC21" s="6"/>
    </row>
    <row r="22" spans="3:42" x14ac:dyDescent="0.15">
      <c r="C22" t="s">
        <v>11</v>
      </c>
      <c r="D22" s="1"/>
      <c r="E22" s="1"/>
      <c r="H22" s="1"/>
      <c r="AB22" s="6"/>
      <c r="AC22" s="6"/>
    </row>
    <row r="23" spans="3:42" x14ac:dyDescent="0.15">
      <c r="C23" t="s">
        <v>4</v>
      </c>
      <c r="D23" t="s">
        <v>5</v>
      </c>
      <c r="E23" t="s">
        <v>6</v>
      </c>
      <c r="H23" s="1"/>
    </row>
    <row r="24" spans="3:4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42" x14ac:dyDescent="0.15">
      <c r="G25" s="2"/>
      <c r="H25" s="1"/>
    </row>
    <row r="27" spans="3:42" x14ac:dyDescent="0.15">
      <c r="U27" t="s">
        <v>407</v>
      </c>
    </row>
    <row r="28" spans="3:42" x14ac:dyDescent="0.15">
      <c r="U28" s="4" t="s">
        <v>17</v>
      </c>
    </row>
    <row r="29" spans="3:42" x14ac:dyDescent="0.15">
      <c r="U29" s="4">
        <f>L3/J3^2</f>
        <v>3.125E-2</v>
      </c>
      <c r="AP29" s="2" t="s">
        <v>1155</v>
      </c>
    </row>
    <row r="31" spans="3:42" x14ac:dyDescent="0.15">
      <c r="U31" s="2" t="s">
        <v>16</v>
      </c>
      <c r="AP31" s="2" t="s">
        <v>1110</v>
      </c>
    </row>
    <row r="32" spans="3:4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P33" s="2" t="s">
        <v>1107</v>
      </c>
      <c r="AS33" t="s">
        <v>1115</v>
      </c>
    </row>
    <row r="34" spans="21:47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-3.8063968810098443E-2</v>
      </c>
      <c r="Z34" s="28">
        <f>(-W34+SQRT(W34^2-(4*Y34*X34)))/(2*Y34)</f>
        <v>-109.36414583606454</v>
      </c>
      <c r="AA34" s="29">
        <f>(-W34-SQRT(W34^2-(4*Y34*X34)))/(2*Y34)</f>
        <v>140.61049236686048</v>
      </c>
      <c r="AB34" s="36">
        <f>AB6</f>
        <v>296.29699977143565</v>
      </c>
      <c r="AC34" s="53">
        <f>IF(Z34&lt;0,AA34,IF(Z34&gt;AB34,AA34,Z34))</f>
        <v>140.61049236686048</v>
      </c>
      <c r="AD34" s="53">
        <f>V34*AC34^2+W34*AC34+X34</f>
        <v>617.85345511409162</v>
      </c>
      <c r="AE34" s="53">
        <f>X51*AC34^2+Y51*AC34+Z51</f>
        <v>240.12062857515843</v>
      </c>
      <c r="AF34" s="53">
        <f>AVERAGE(K61:K62,K61)</f>
        <v>58.550817297949926</v>
      </c>
      <c r="AG34" s="53">
        <f>AVERAGE(U61:U62,U61)</f>
        <v>76.451684867355979</v>
      </c>
      <c r="AI34">
        <v>10</v>
      </c>
      <c r="AJ34" s="3">
        <f>AC34</f>
        <v>140.61049236686048</v>
      </c>
      <c r="AL34">
        <f>AN52*AC34^2+AO52*AC34+AP52</f>
        <v>692.1703690900581</v>
      </c>
      <c r="AM34" t="s">
        <v>14</v>
      </c>
      <c r="AP34" s="618">
        <f>AC38/$J$3-1</f>
        <v>1.6360423200904832</v>
      </c>
      <c r="AS34" s="278" t="b">
        <f>IF(AP36&gt;AC38,FALSE,TRUE)</f>
        <v>1</v>
      </c>
      <c r="AT34" t="s">
        <v>1117</v>
      </c>
    </row>
    <row r="35" spans="21:47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-3.6448209453870811E-2</v>
      </c>
      <c r="Z35" s="28">
        <f t="shared" ref="Z35:Z37" si="4">(-W35+SQRT(W35^2-(4*Y35*X35)))/(2*Y35)</f>
        <v>-102.01826851054602</v>
      </c>
      <c r="AA35" s="29">
        <f t="shared" ref="AA35:AA37" si="5">(-W35-SQRT(W35^2-(4*Y35*X35)))/(2*Y35)</f>
        <v>113.80164516270624</v>
      </c>
      <c r="AB35" s="36">
        <f>AD6</f>
        <v>296.29699977143565</v>
      </c>
      <c r="AC35" s="53">
        <f t="shared" ref="AC35:AC38" si="6">IF(Z35&lt;0,AA35,IF(Z35&gt;AB35,AA35,Z35))</f>
        <v>113.80164516270624</v>
      </c>
      <c r="AD35" s="53">
        <f>V35*AC35^2+W35*AC35+X35</f>
        <v>404.71295130432816</v>
      </c>
      <c r="AE35" s="53">
        <f t="shared" ref="AE35:AE37" si="7">X52*AC35^2+Y52*AC35+Z52</f>
        <v>147.96753884388113</v>
      </c>
      <c r="AF35" s="53">
        <f>AVERAGE(K66:K67,K66)</f>
        <v>53.286984713426598</v>
      </c>
      <c r="AG35" s="53">
        <f>AVERAGE(U66:U67,U66)</f>
        <v>71.378562641017609</v>
      </c>
      <c r="AI35">
        <v>9</v>
      </c>
      <c r="AJ35" s="3">
        <f>Q9*AI35+R9</f>
        <v>129.05726033958598</v>
      </c>
      <c r="AL35">
        <f t="shared" ref="AL35:AL37" si="8">AN53*AC35^2+AO53*AC35+AP53</f>
        <v>457.40497487066557</v>
      </c>
      <c r="AM35" t="s">
        <v>14</v>
      </c>
      <c r="AP35" t="s">
        <v>1114</v>
      </c>
      <c r="AS35" t="s">
        <v>1116</v>
      </c>
    </row>
    <row r="36" spans="21:47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-3.6657622045638071E-2</v>
      </c>
      <c r="Z36" s="28">
        <f t="shared" si="4"/>
        <v>-70.730145036467661</v>
      </c>
      <c r="AA36" s="29">
        <f t="shared" si="5"/>
        <v>81.229420040808208</v>
      </c>
      <c r="AB36" s="36">
        <f>AF6</f>
        <v>231.45482058174542</v>
      </c>
      <c r="AC36" s="53">
        <f t="shared" si="6"/>
        <v>81.229420040808208</v>
      </c>
      <c r="AD36" s="53">
        <f>V36*AC36^2+W36*AC36+X36</f>
        <v>206.19433375518921</v>
      </c>
      <c r="AE36" s="53">
        <f t="shared" si="7"/>
        <v>65.95557977379346</v>
      </c>
      <c r="AF36" s="53">
        <f>AVERAGE(K71:K72,K71)</f>
        <v>48.690298762441216</v>
      </c>
      <c r="AG36" s="53">
        <f>AVERAGE(U71:U72,U71)</f>
        <v>64.95441512459476</v>
      </c>
      <c r="AI36">
        <v>8</v>
      </c>
      <c r="AJ36" s="3">
        <f>AC35</f>
        <v>113.80164516270624</v>
      </c>
      <c r="AL36">
        <f t="shared" si="8"/>
        <v>250.22891770891647</v>
      </c>
      <c r="AM36" t="s">
        <v>14</v>
      </c>
      <c r="AP36" s="279">
        <f>Tulokset!$CS$16</f>
        <v>48</v>
      </c>
      <c r="AQ36" t="s">
        <v>13</v>
      </c>
      <c r="AS36" s="629">
        <f>IF($AP$36&gt;$AJ$35,AVERAGE(AS40,AS41,AS41),AVERAGE(AS39,AS39,AS41))</f>
        <v>3.830252929557652</v>
      </c>
      <c r="AT36" t="s">
        <v>25</v>
      </c>
    </row>
    <row r="37" spans="21:47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-3.6086924934450842E-2</v>
      </c>
      <c r="Z37" s="30">
        <f t="shared" si="4"/>
        <v>-48.732909048592752</v>
      </c>
      <c r="AA37" s="31">
        <f t="shared" si="5"/>
        <v>51.130388640676429</v>
      </c>
      <c r="AB37" s="37">
        <f>AH6</f>
        <v>137.79479127749656</v>
      </c>
      <c r="AC37" s="53">
        <f t="shared" si="6"/>
        <v>51.130388640676429</v>
      </c>
      <c r="AD37" s="53">
        <f>V37*AC37^2+W37*AC37+X37</f>
        <v>81.697395079581668</v>
      </c>
      <c r="AE37" s="53">
        <f t="shared" si="7"/>
        <v>27.31128494672393</v>
      </c>
      <c r="AF37" s="53">
        <f>AVERAGE(K76:K77,K76)</f>
        <v>39.136023983286201</v>
      </c>
      <c r="AG37" s="53">
        <f>AVERAGE(U76:U77,U76)</f>
        <v>54.999932689469176</v>
      </c>
      <c r="AI37">
        <v>6</v>
      </c>
      <c r="AJ37" s="3">
        <f t="shared" ref="AJ37:AJ38" si="9">AC36</f>
        <v>81.229420040808208</v>
      </c>
      <c r="AL37">
        <f t="shared" si="8"/>
        <v>106.2438431110663</v>
      </c>
      <c r="AM37" t="s">
        <v>14</v>
      </c>
      <c r="AP37" s="279">
        <f>Tulokset!$CS$17</f>
        <v>72</v>
      </c>
      <c r="AQ37" t="s">
        <v>14</v>
      </c>
    </row>
    <row r="38" spans="21:47" x14ac:dyDescent="0.15">
      <c r="U38" s="641">
        <v>7.5</v>
      </c>
      <c r="V38" s="635">
        <f>C15</f>
        <v>-5.3124999999999943E-3</v>
      </c>
      <c r="W38" s="636">
        <f t="shared" ref="W38:X38" si="10">D15</f>
        <v>0.44481060606060391</v>
      </c>
      <c r="X38" s="637">
        <f t="shared" si="10"/>
        <v>359.59848484848504</v>
      </c>
      <c r="Y38" s="638">
        <f>C15-U29</f>
        <v>-3.6562499999999998E-2</v>
      </c>
      <c r="Z38" s="639">
        <f>(-W38+SQRT(W38^2-(4*Y38*X38)))/(2*Y38)</f>
        <v>-93.275932637859214</v>
      </c>
      <c r="AA38" s="640">
        <f t="shared" ref="AA38" si="11">(-W38-SQRT(W38^2-(4*Y38*X38)))/(2*Y38)</f>
        <v>105.44169280361933</v>
      </c>
      <c r="AB38" s="638">
        <f>AD6</f>
        <v>296.29699977143565</v>
      </c>
      <c r="AC38" s="53">
        <f t="shared" si="6"/>
        <v>105.44169280361933</v>
      </c>
      <c r="AD38" s="53">
        <f>V38*AC38^2+W38*AC38+X38</f>
        <v>347.43595566540091</v>
      </c>
      <c r="AE38" s="2" t="s">
        <v>1156</v>
      </c>
      <c r="AI38">
        <v>4</v>
      </c>
      <c r="AJ38" s="3">
        <f t="shared" si="9"/>
        <v>51.130388640676429</v>
      </c>
      <c r="AS38" s="4" t="s">
        <v>418</v>
      </c>
    </row>
    <row r="39" spans="21:47" x14ac:dyDescent="0.15">
      <c r="AR39" t="s">
        <v>415</v>
      </c>
      <c r="AS39" s="111">
        <f>(AP36-R9)/Q9</f>
        <v>3.8265112373425456</v>
      </c>
      <c r="AT39" t="s">
        <v>25</v>
      </c>
      <c r="AU39" t="s">
        <v>1148</v>
      </c>
    </row>
    <row r="40" spans="21:47" x14ac:dyDescent="0.15">
      <c r="U40" s="2" t="s">
        <v>35</v>
      </c>
      <c r="W40" t="s">
        <v>36</v>
      </c>
      <c r="AR40" t="s">
        <v>416</v>
      </c>
      <c r="AS40" s="111">
        <f>(AP36-R10)/Q10</f>
        <v>1.9840186583088997</v>
      </c>
      <c r="AT40" t="s">
        <v>25</v>
      </c>
      <c r="AU40" t="s">
        <v>1146</v>
      </c>
    </row>
    <row r="41" spans="21:47" x14ac:dyDescent="0.15">
      <c r="AR41" t="s">
        <v>417</v>
      </c>
      <c r="AS41" s="111">
        <f>Q11*AP36^2+R11*AP36+S11</f>
        <v>3.8377363139878646</v>
      </c>
      <c r="AT41" t="s">
        <v>25</v>
      </c>
      <c r="AU41" t="s">
        <v>1147</v>
      </c>
    </row>
    <row r="42" spans="21:47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7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50.778034318558305</v>
      </c>
      <c r="AG43" s="53">
        <f t="shared" ref="AG43:AM43" si="12">$W$5+X43</f>
        <v>47.778034318558305</v>
      </c>
      <c r="AH43" s="53">
        <f t="shared" si="12"/>
        <v>34.778034318558305</v>
      </c>
      <c r="AI43" s="53">
        <f t="shared" si="12"/>
        <v>30.778034318558305</v>
      </c>
      <c r="AJ43" s="53">
        <f t="shared" si="12"/>
        <v>25.778034318558305</v>
      </c>
      <c r="AK43" s="53">
        <f t="shared" si="12"/>
        <v>20.778034318558305</v>
      </c>
      <c r="AL43" s="53">
        <f t="shared" si="12"/>
        <v>11.778034318558305</v>
      </c>
      <c r="AM43" s="53">
        <f t="shared" si="12"/>
        <v>2.778034318558305</v>
      </c>
      <c r="AN43" s="5">
        <f t="array" ref="AN43">10*LOG10(SUM(10^(AF43:AM43/10)))</f>
        <v>52.654961773709516</v>
      </c>
      <c r="AO43" s="5">
        <f t="array" ref="AO43">10*LOG10(SUM(10^((AF43:AM43+AF46:AM46)/10)))</f>
        <v>35.188150403278364</v>
      </c>
      <c r="AP43" t="str">
        <f>IF(ABS(W5-AO43)&lt;0.5,"OK","Tarkista laskenta!")</f>
        <v>OK</v>
      </c>
    </row>
    <row r="44" spans="21:47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57.891596560798192</v>
      </c>
      <c r="AG44" s="53">
        <f t="shared" ref="AG44:AM44" si="13">$W$6+X44</f>
        <v>57.891596560798192</v>
      </c>
      <c r="AH44" s="53">
        <f t="shared" si="13"/>
        <v>48.891596560798192</v>
      </c>
      <c r="AI44" s="53">
        <f t="shared" si="13"/>
        <v>45.891596560798192</v>
      </c>
      <c r="AJ44" s="53">
        <f t="shared" si="13"/>
        <v>44.891596560798192</v>
      </c>
      <c r="AK44" s="53">
        <f t="shared" si="13"/>
        <v>39.891596560798192</v>
      </c>
      <c r="AL44" s="53">
        <f t="shared" si="13"/>
        <v>35.891596560798192</v>
      </c>
      <c r="AM44" s="53">
        <f t="shared" si="13"/>
        <v>33.891596560798192</v>
      </c>
      <c r="AN44" s="5">
        <f t="array" ref="AN44">10*LOG10(SUM(10^(AF44:AM44/10)))</f>
        <v>61.442751387182746</v>
      </c>
      <c r="AO44" s="5">
        <f t="array" ref="AO44">10*LOG10(SUM(10^((AF44:AM44+AF46:AM46)/10)))</f>
        <v>49.838646294841872</v>
      </c>
      <c r="AP44" t="str">
        <f>IF(ABS(W6-AO44)&lt;0.5,"OK","Tarkista laskenta!")</f>
        <v>OK</v>
      </c>
    </row>
    <row r="46" spans="21:47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61.350613753662934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76.721594637125037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58.748456154727556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76.896920459360558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58.15553958439466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75.561213683346807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55.940625377770097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71.578105440536561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53.590274603419125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71.915751212549466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52.680404933441565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70.304185497953881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51.807881706437314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66.311166142056649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48.827897005706134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65.427731691073831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48.415102275911373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64.00778199163662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41.320151480510276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56.430178091287189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39.313842725187101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55.428905512805116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38.780386499484408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54.141987042797297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CA685-08FA-4280-B01A-6A5094680680}">
  <sheetPr codeName="Taul13"/>
  <dimension ref="B2:AQ49"/>
  <sheetViews>
    <sheetView workbookViewId="0">
      <selection activeCell="I19" sqref="I19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940" t="s">
        <v>427</v>
      </c>
      <c r="L3" s="941"/>
      <c r="M3" s="941"/>
      <c r="N3" s="941"/>
      <c r="O3" s="941"/>
      <c r="P3" s="941"/>
      <c r="Q3" s="942" t="s">
        <v>428</v>
      </c>
      <c r="R3" s="942"/>
      <c r="S3" s="942"/>
      <c r="T3" s="942"/>
      <c r="U3" s="942"/>
      <c r="V3" s="942"/>
      <c r="W3" s="934" t="s">
        <v>429</v>
      </c>
      <c r="X3" s="941" t="s">
        <v>313</v>
      </c>
      <c r="Y3" s="941"/>
      <c r="Z3" s="941"/>
      <c r="AA3" s="941"/>
      <c r="AB3" s="941"/>
      <c r="AC3" s="941"/>
      <c r="AD3" s="941"/>
      <c r="AE3" s="941"/>
      <c r="AF3" s="934" t="s">
        <v>430</v>
      </c>
      <c r="AG3" s="936" t="s">
        <v>431</v>
      </c>
    </row>
    <row r="4" spans="2:43" x14ac:dyDescent="0.15">
      <c r="B4" t="s">
        <v>7</v>
      </c>
      <c r="C4" s="314">
        <f>Tulokset!E37</f>
        <v>4.6056989925805771</v>
      </c>
      <c r="D4" t="s">
        <v>25</v>
      </c>
      <c r="E4" s="313">
        <f>Tulostus!E39/Tulostus!E33^2</f>
        <v>3.125E-2</v>
      </c>
      <c r="F4" s="313">
        <f>AVERAGE(E4:E5)</f>
        <v>3.125E-2</v>
      </c>
      <c r="K4" s="939" t="s">
        <v>432</v>
      </c>
      <c r="L4" s="904" t="s">
        <v>433</v>
      </c>
      <c r="M4" s="904" t="s">
        <v>434</v>
      </c>
      <c r="N4" s="904" t="s">
        <v>435</v>
      </c>
      <c r="O4" s="904" t="s">
        <v>436</v>
      </c>
      <c r="P4" s="904" t="s">
        <v>437</v>
      </c>
      <c r="Q4" s="933" t="s">
        <v>438</v>
      </c>
      <c r="R4" s="933" t="s">
        <v>439</v>
      </c>
      <c r="S4" s="933" t="s">
        <v>440</v>
      </c>
      <c r="T4" s="933" t="s">
        <v>441</v>
      </c>
      <c r="U4" s="933" t="s">
        <v>442</v>
      </c>
      <c r="V4" s="933" t="s">
        <v>443</v>
      </c>
      <c r="W4" s="935"/>
      <c r="X4" s="932" t="s">
        <v>61</v>
      </c>
      <c r="Y4" s="932" t="s">
        <v>62</v>
      </c>
      <c r="Z4" s="932" t="s">
        <v>63</v>
      </c>
      <c r="AA4" s="932" t="s">
        <v>64</v>
      </c>
      <c r="AB4" s="932" t="s">
        <v>65</v>
      </c>
      <c r="AC4" s="932" t="s">
        <v>66</v>
      </c>
      <c r="AD4" s="932" t="s">
        <v>67</v>
      </c>
      <c r="AE4" s="932" t="s">
        <v>68</v>
      </c>
      <c r="AF4" s="935"/>
      <c r="AG4" s="937"/>
    </row>
    <row r="5" spans="2:43" x14ac:dyDescent="0.15">
      <c r="B5" t="s">
        <v>8</v>
      </c>
      <c r="C5" s="314">
        <f>Tulokset!H37</f>
        <v>4.0607088592057181</v>
      </c>
      <c r="D5" t="s">
        <v>25</v>
      </c>
      <c r="E5" s="313">
        <f>Tulostus!G39/Tulostus!G33^2</f>
        <v>3.125E-2</v>
      </c>
      <c r="K5" s="939"/>
      <c r="L5" s="904"/>
      <c r="M5" s="904"/>
      <c r="N5" s="904"/>
      <c r="O5" s="904"/>
      <c r="P5" s="904"/>
      <c r="Q5" s="933"/>
      <c r="R5" s="933"/>
      <c r="S5" s="933"/>
      <c r="T5" s="933"/>
      <c r="U5" s="933"/>
      <c r="V5" s="933"/>
      <c r="W5" s="935"/>
      <c r="X5" s="932"/>
      <c r="Y5" s="932"/>
      <c r="Z5" s="932"/>
      <c r="AA5" s="932"/>
      <c r="AB5" s="932"/>
      <c r="AC5" s="932"/>
      <c r="AD5" s="932"/>
      <c r="AE5" s="932"/>
      <c r="AF5" s="932"/>
      <c r="AG5" s="938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P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si="0"/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0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0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0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0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-1.361864310762924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0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0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0"/>
        <v>-22.498505678172393</v>
      </c>
      <c r="AQ14" s="3"/>
    </row>
    <row r="15" spans="2:43" x14ac:dyDescent="0.15">
      <c r="B15" t="s">
        <v>91</v>
      </c>
      <c r="C15" s="314">
        <f>MAX(C4,C5)</f>
        <v>4.6056989925805771</v>
      </c>
      <c r="D15" t="s">
        <v>25</v>
      </c>
      <c r="E15" s="82" t="s">
        <v>42</v>
      </c>
      <c r="F15" s="5">
        <f>C11*LN(C15)+D11</f>
        <v>36.812725598455096</v>
      </c>
      <c r="G15" t="s">
        <v>31</v>
      </c>
      <c r="H15" s="3">
        <f>F15+F12</f>
        <v>35.812725598455096</v>
      </c>
      <c r="I15" t="s">
        <v>31</v>
      </c>
    </row>
    <row r="16" spans="2:43" x14ac:dyDescent="0.15">
      <c r="B16" t="s">
        <v>92</v>
      </c>
      <c r="C16" s="79">
        <f>(2*MAX(C4,C5)+MIN(C4,C5))/3</f>
        <v>4.4240356147889575</v>
      </c>
      <c r="D16" t="s">
        <v>25</v>
      </c>
      <c r="E16" s="82" t="s">
        <v>42</v>
      </c>
      <c r="F16" s="5">
        <f>C11*LN(C16)+D11</f>
        <v>35.945167094673948</v>
      </c>
      <c r="G16" t="s">
        <v>31</v>
      </c>
      <c r="H16" s="3">
        <f>F16+F12</f>
        <v>34.945167094673948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2">AVERAGE(AJ6:AJ14)</f>
        <v>12.470744429571859</v>
      </c>
      <c r="AK16" s="3">
        <f t="shared" si="2"/>
        <v>3.4806943409591775</v>
      </c>
      <c r="AL16" s="3">
        <f t="shared" si="2"/>
        <v>-9.699103544599005</v>
      </c>
      <c r="AM16" s="3">
        <f t="shared" si="2"/>
        <v>-14.029286646404659</v>
      </c>
      <c r="AN16" s="3">
        <f t="shared" si="2"/>
        <v>-17.889395217753208</v>
      </c>
      <c r="AO16" s="3">
        <f t="shared" si="2"/>
        <v>-17.706926772737738</v>
      </c>
      <c r="AP16" s="3">
        <f t="shared" si="2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3">ROUND(AJ16,0)</f>
        <v>12</v>
      </c>
      <c r="AK17" s="3">
        <f t="shared" si="3"/>
        <v>3</v>
      </c>
      <c r="AL17" s="3">
        <f t="shared" si="3"/>
        <v>-10</v>
      </c>
      <c r="AM17" s="3">
        <f t="shared" si="3"/>
        <v>-14</v>
      </c>
      <c r="AN17" s="3">
        <f t="shared" si="3"/>
        <v>-18</v>
      </c>
      <c r="AO17" s="3">
        <f t="shared" si="3"/>
        <v>-18</v>
      </c>
      <c r="AP17" s="3">
        <f t="shared" si="3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4">$L$29*LN(L18)+$M$29</f>
        <v>53.522487316077793</v>
      </c>
      <c r="S18" s="3">
        <f>M18-R18</f>
        <v>0.52965789051773271</v>
      </c>
      <c r="U18">
        <f t="shared" ref="U18:U26" si="5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6">L7</f>
        <v>9.9939</v>
      </c>
      <c r="M19" s="6">
        <f t="shared" ref="M19:M26" si="7">AG7</f>
        <v>52.776208381479023</v>
      </c>
      <c r="N19" s="99">
        <f t="shared" ref="N19:N26" si="8">P7/M7^2</f>
        <v>3.4384230248819276E-3</v>
      </c>
      <c r="O19" s="99">
        <f t="shared" ref="O19:O26" si="9">V7/S7^2</f>
        <v>3.1483150169535471E-3</v>
      </c>
      <c r="P19" s="213">
        <f t="shared" ref="P19:P26" si="10">AVERAGE(N19:O19)</f>
        <v>3.2933690209177371E-3</v>
      </c>
      <c r="R19">
        <f t="shared" si="4"/>
        <v>53.513644765335449</v>
      </c>
      <c r="S19" s="3">
        <f t="shared" ref="S19:S26" si="11">M19-R19</f>
        <v>-0.7374363838564264</v>
      </c>
      <c r="U19">
        <f t="shared" si="5"/>
        <v>-5.7588787350060233E-2</v>
      </c>
      <c r="V19" s="84">
        <f t="shared" ref="V19:V26" si="12">R19+U19</f>
        <v>53.456055977985386</v>
      </c>
      <c r="X19" s="3">
        <f t="shared" ref="X19:X26" si="13">V19-M19</f>
        <v>0.67984759650636306</v>
      </c>
    </row>
    <row r="20" spans="2:42" x14ac:dyDescent="0.15">
      <c r="B20" s="2" t="s">
        <v>84</v>
      </c>
      <c r="K20" s="3"/>
      <c r="L20" s="5">
        <f t="shared" si="6"/>
        <v>9.9953000000000003</v>
      </c>
      <c r="M20" s="6">
        <f t="shared" si="7"/>
        <v>53.024004158793858</v>
      </c>
      <c r="N20" s="99">
        <f t="shared" si="8"/>
        <v>1.1773327174725056E-2</v>
      </c>
      <c r="O20" s="99">
        <f t="shared" si="9"/>
        <v>1.0164108316721305E-2</v>
      </c>
      <c r="P20" s="213">
        <f t="shared" si="10"/>
        <v>1.096871774572318E-2</v>
      </c>
      <c r="R20">
        <f t="shared" si="4"/>
        <v>53.516664580708863</v>
      </c>
      <c r="S20" s="3">
        <f t="shared" si="11"/>
        <v>-0.49266042191500503</v>
      </c>
      <c r="U20">
        <f t="shared" si="5"/>
        <v>-0.75498688269917702</v>
      </c>
      <c r="V20" s="84">
        <f t="shared" si="12"/>
        <v>52.761677698009684</v>
      </c>
      <c r="X20" s="3">
        <f t="shared" si="13"/>
        <v>-0.26232646078417332</v>
      </c>
    </row>
    <row r="21" spans="2:42" x14ac:dyDescent="0.15">
      <c r="B21" t="s">
        <v>85</v>
      </c>
      <c r="C21" t="s">
        <v>28</v>
      </c>
      <c r="D21" s="3">
        <f>Tulostus!N54</f>
        <v>49.966638054503562</v>
      </c>
      <c r="E21" t="s">
        <v>31</v>
      </c>
      <c r="K21" s="3"/>
      <c r="L21" s="5">
        <f t="shared" si="6"/>
        <v>8.0030000000000001</v>
      </c>
      <c r="M21" s="6">
        <f t="shared" si="7"/>
        <v>50.113323788361761</v>
      </c>
      <c r="N21" s="99">
        <f t="shared" si="8"/>
        <v>7.9873009967434787E-4</v>
      </c>
      <c r="O21" s="99">
        <f t="shared" si="9"/>
        <v>7.5038812782047876E-4</v>
      </c>
      <c r="P21" s="213">
        <f t="shared" si="10"/>
        <v>7.7455911374741337E-4</v>
      </c>
      <c r="R21">
        <f t="shared" si="4"/>
        <v>48.724250594754039</v>
      </c>
      <c r="S21" s="3">
        <f t="shared" si="11"/>
        <v>1.3890731936077216</v>
      </c>
      <c r="U21">
        <f t="shared" si="5"/>
        <v>0.78138075180835287</v>
      </c>
      <c r="V21" s="84">
        <f t="shared" si="12"/>
        <v>49.505631346562396</v>
      </c>
      <c r="X21" s="3">
        <f t="shared" si="13"/>
        <v>-0.60769244179936521</v>
      </c>
    </row>
    <row r="22" spans="2:42" x14ac:dyDescent="0.15">
      <c r="B22" s="25"/>
      <c r="C22" s="25" t="s">
        <v>8</v>
      </c>
      <c r="D22" s="81">
        <f>Tulostus!N55</f>
        <v>48.666327398220631</v>
      </c>
      <c r="E22" t="s">
        <v>31</v>
      </c>
      <c r="K22" s="3"/>
      <c r="L22" s="5">
        <f t="shared" si="6"/>
        <v>8.0055000000000014</v>
      </c>
      <c r="M22" s="6">
        <f t="shared" si="7"/>
        <v>48.656389304625122</v>
      </c>
      <c r="N22" s="99">
        <f t="shared" si="8"/>
        <v>3.3759377704797714E-3</v>
      </c>
      <c r="O22" s="99">
        <f t="shared" si="9"/>
        <v>3.1063773510820757E-3</v>
      </c>
      <c r="P22" s="213">
        <f t="shared" si="10"/>
        <v>3.2411575607809236E-3</v>
      </c>
      <c r="R22">
        <f t="shared" si="4"/>
        <v>48.730984037016214</v>
      </c>
      <c r="S22" s="3">
        <f t="shared" si="11"/>
        <v>-7.4594732391091156E-2</v>
      </c>
      <c r="U22">
        <f t="shared" si="5"/>
        <v>-4.8325676375312376E-2</v>
      </c>
      <c r="V22" s="84">
        <f t="shared" si="12"/>
        <v>48.6826583606409</v>
      </c>
      <c r="X22" s="3">
        <f t="shared" si="13"/>
        <v>2.6269056015777892E-2</v>
      </c>
    </row>
    <row r="23" spans="2:42" x14ac:dyDescent="0.15">
      <c r="C23" t="s">
        <v>87</v>
      </c>
      <c r="D23" s="3">
        <f>ABS(D21-D22)</f>
        <v>1.3003106562829316</v>
      </c>
      <c r="E23" t="s">
        <v>31</v>
      </c>
      <c r="K23" s="3"/>
      <c r="L23" s="5">
        <f t="shared" si="6"/>
        <v>7.9989999999999997</v>
      </c>
      <c r="M23" s="6">
        <f t="shared" si="7"/>
        <v>48.64710508699757</v>
      </c>
      <c r="N23" s="99">
        <f t="shared" si="8"/>
        <v>1.1080495590122922E-2</v>
      </c>
      <c r="O23" s="99">
        <f t="shared" si="9"/>
        <v>1.0098624372825278E-2</v>
      </c>
      <c r="P23" s="213">
        <f t="shared" si="10"/>
        <v>1.05895599814741E-2</v>
      </c>
      <c r="R23">
        <f t="shared" si="4"/>
        <v>48.71347271080726</v>
      </c>
      <c r="S23" s="3">
        <f t="shared" si="11"/>
        <v>-6.6367623809689746E-2</v>
      </c>
      <c r="U23">
        <f t="shared" si="5"/>
        <v>-0.73459550395123774</v>
      </c>
      <c r="V23" s="84">
        <f t="shared" si="12"/>
        <v>47.978877206856019</v>
      </c>
      <c r="X23" s="3">
        <f t="shared" si="13"/>
        <v>-0.66822788014155066</v>
      </c>
    </row>
    <row r="24" spans="2:42" x14ac:dyDescent="0.15">
      <c r="D24" s="3"/>
      <c r="K24" s="3"/>
      <c r="L24" s="5">
        <f t="shared" si="6"/>
        <v>5.988999999999999</v>
      </c>
      <c r="M24" s="6">
        <f t="shared" si="7"/>
        <v>43.397891485041725</v>
      </c>
      <c r="N24" s="99">
        <f t="shared" si="8"/>
        <v>8.6183073758079999E-4</v>
      </c>
      <c r="O24" s="99">
        <f t="shared" si="9"/>
        <v>7.4732542371113786E-4</v>
      </c>
      <c r="P24" s="213">
        <f t="shared" si="10"/>
        <v>8.0457808064596887E-4</v>
      </c>
      <c r="R24">
        <f t="shared" si="4"/>
        <v>42.474624562876087</v>
      </c>
      <c r="S24" s="3">
        <f t="shared" si="11"/>
        <v>0.92326692216563799</v>
      </c>
      <c r="U24">
        <f t="shared" si="5"/>
        <v>0.75934011613379315</v>
      </c>
      <c r="V24" s="84">
        <f t="shared" si="12"/>
        <v>43.23396467900988</v>
      </c>
      <c r="X24" s="3">
        <f t="shared" si="13"/>
        <v>-0.16392680603184573</v>
      </c>
    </row>
    <row r="25" spans="2:42" x14ac:dyDescent="0.15">
      <c r="B25" t="s">
        <v>86</v>
      </c>
      <c r="C25" t="s">
        <v>7</v>
      </c>
      <c r="D25" s="3">
        <f>Tulostus!N53</f>
        <v>60.554075562111798</v>
      </c>
      <c r="E25" t="s">
        <v>31</v>
      </c>
      <c r="K25" s="3"/>
      <c r="L25" s="5">
        <f t="shared" si="6"/>
        <v>5.9947999999999997</v>
      </c>
      <c r="M25" s="6">
        <f t="shared" si="7"/>
        <v>42.037975231571743</v>
      </c>
      <c r="N25" s="99">
        <f t="shared" si="8"/>
        <v>3.2206233741101731E-3</v>
      </c>
      <c r="O25" s="99">
        <f t="shared" si="9"/>
        <v>3.1025895947720313E-3</v>
      </c>
      <c r="P25" s="213">
        <f t="shared" si="10"/>
        <v>3.1616064844411022E-3</v>
      </c>
      <c r="R25">
        <f t="shared" si="4"/>
        <v>42.495492582848584</v>
      </c>
      <c r="S25" s="3">
        <f t="shared" si="11"/>
        <v>-0.45751735127684157</v>
      </c>
      <c r="U25">
        <f t="shared" si="5"/>
        <v>-3.3921221542812852E-2</v>
      </c>
      <c r="V25" s="84">
        <f t="shared" si="12"/>
        <v>42.461571361305772</v>
      </c>
      <c r="X25" s="3">
        <f t="shared" si="13"/>
        <v>0.4235961297340296</v>
      </c>
    </row>
    <row r="26" spans="2:42" x14ac:dyDescent="0.15">
      <c r="B26" s="25"/>
      <c r="C26" s="25" t="s">
        <v>57</v>
      </c>
      <c r="D26" s="81">
        <f>Tulostus!N56</f>
        <v>58.69453842504565</v>
      </c>
      <c r="E26" t="s">
        <v>31</v>
      </c>
      <c r="K26" s="3"/>
      <c r="L26" s="5">
        <f t="shared" si="6"/>
        <v>6.0060000000000002</v>
      </c>
      <c r="M26" s="6">
        <f t="shared" si="7"/>
        <v>41.522310881079832</v>
      </c>
      <c r="N26" s="99">
        <f t="shared" si="8"/>
        <v>9.6039456658017237E-3</v>
      </c>
      <c r="O26" s="99">
        <f t="shared" si="9"/>
        <v>9.8708970245818851E-3</v>
      </c>
      <c r="P26" s="213">
        <f t="shared" si="10"/>
        <v>9.7374213451918053E-3</v>
      </c>
      <c r="R26">
        <f t="shared" si="4"/>
        <v>42.535732374121807</v>
      </c>
      <c r="S26" s="3">
        <f t="shared" si="11"/>
        <v>-1.0134214930419745</v>
      </c>
      <c r="U26">
        <f t="shared" si="5"/>
        <v>-0.68596733805203858</v>
      </c>
      <c r="V26" s="84">
        <f t="shared" si="12"/>
        <v>41.849765036069769</v>
      </c>
      <c r="X26" s="3">
        <f t="shared" si="13"/>
        <v>0.3274541549899368</v>
      </c>
    </row>
    <row r="27" spans="2:42" x14ac:dyDescent="0.15">
      <c r="C27" t="s">
        <v>87</v>
      </c>
      <c r="D27" s="3">
        <f>ABS(D25-D26)</f>
        <v>1.8595371370661482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>
        <f>AVERAGE(D27,D23)</f>
        <v>1.5799238966745399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>
        <f>-10*LOG10((1-10^(-C29/10)))-3</f>
        <v>2.1575213231084573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>
        <f>H15+C30</f>
        <v>37.97024692156355</v>
      </c>
      <c r="D32" t="s">
        <v>31</v>
      </c>
    </row>
    <row r="33" spans="2:23" x14ac:dyDescent="0.15">
      <c r="B33" t="s">
        <v>95</v>
      </c>
      <c r="C33" s="3">
        <f>H15-2.6</f>
        <v>33.212725598455094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MIN(H15,IF(C29&lt;3,H16,IF(C29&gt;10,C33,C32)))</f>
        <v>34.945167094673948</v>
      </c>
      <c r="D35" s="2" t="s">
        <v>31</v>
      </c>
      <c r="F35" s="5">
        <f>C35+10*LOG10(4/10)</f>
        <v>30.965767007953573</v>
      </c>
      <c r="G35" s="5">
        <f>C35+10*LOG10(4/2.5)</f>
        <v>36.986366921233198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4">AJ17</f>
        <v>12</v>
      </c>
      <c r="E39" s="315">
        <f t="shared" si="14"/>
        <v>3</v>
      </c>
      <c r="F39" s="315">
        <f t="shared" si="14"/>
        <v>-10</v>
      </c>
      <c r="G39" s="315">
        <f t="shared" si="14"/>
        <v>-14</v>
      </c>
      <c r="H39" s="315">
        <f t="shared" si="14"/>
        <v>-18</v>
      </c>
      <c r="I39" s="315">
        <f t="shared" si="14"/>
        <v>-18</v>
      </c>
      <c r="J39" s="315">
        <f t="shared" si="14"/>
        <v>-19</v>
      </c>
      <c r="K39" s="87" t="s">
        <v>42</v>
      </c>
      <c r="L39" s="86">
        <f>$C$35+C39</f>
        <v>52.945167094673948</v>
      </c>
      <c r="M39" s="86">
        <f t="shared" ref="M39:S39" si="15">$C$35+D39</f>
        <v>46.945167094673948</v>
      </c>
      <c r="N39" s="86">
        <f t="shared" si="15"/>
        <v>37.945167094673948</v>
      </c>
      <c r="O39" s="86">
        <f t="shared" si="15"/>
        <v>24.945167094673948</v>
      </c>
      <c r="P39" s="86">
        <f t="shared" si="15"/>
        <v>20.945167094673948</v>
      </c>
      <c r="Q39" s="86">
        <f t="shared" si="15"/>
        <v>16.945167094673948</v>
      </c>
      <c r="R39" s="86">
        <f t="shared" si="15"/>
        <v>16.945167094673948</v>
      </c>
      <c r="S39" s="86">
        <f t="shared" si="15"/>
        <v>15.945167094673948</v>
      </c>
      <c r="T39" s="5">
        <f t="array" ref="T39">10*LOG10(SUM(10^(L39:S39/10)))</f>
        <v>54.036662078318741</v>
      </c>
      <c r="U39" s="5">
        <f t="array" ref="U39">10*LOG10(SUM(10^((L39:S39+L41:S41)/10)))</f>
        <v>34.741178077477393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D3B4E-5DA4-4DE6-923E-4384D826CE6D}">
  <sheetPr codeName="Taul14"/>
  <dimension ref="C4:AC63"/>
  <sheetViews>
    <sheetView topLeftCell="A4" workbookViewId="0">
      <selection activeCell="E33" sqref="E33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363">
        <f>Tulostus!E33</f>
        <v>40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912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Tulostus!F86</f>
        <v>1</v>
      </c>
      <c r="J8" s="364" t="s">
        <v>230</v>
      </c>
      <c r="M8" s="234">
        <v>50</v>
      </c>
      <c r="N8" s="80">
        <v>3256.3317271747369</v>
      </c>
      <c r="O8" s="5">
        <v>-0.58214389746577666</v>
      </c>
      <c r="AC8" s="364"/>
    </row>
    <row r="9" spans="5:29" x14ac:dyDescent="0.15">
      <c r="H9" s="232" t="s">
        <v>490</v>
      </c>
      <c r="I9" s="365">
        <f>Tulostus!F87</f>
        <v>20</v>
      </c>
      <c r="J9" s="364" t="s">
        <v>230</v>
      </c>
      <c r="M9" s="234">
        <v>50</v>
      </c>
      <c r="N9" s="80">
        <v>4035.0197488904359</v>
      </c>
      <c r="O9" s="5">
        <v>0.25822895426740189</v>
      </c>
      <c r="P9">
        <f t="array" ref="P9:Q9">LINEST(O8:O10,N8:N10)</f>
        <v>3.2522525251415591E-4</v>
      </c>
      <c r="Q9">
        <v>-1.3895607014599203</v>
      </c>
      <c r="AC9" s="364"/>
    </row>
    <row r="10" spans="5:29" ht="14" thickBot="1" x14ac:dyDescent="0.2">
      <c r="H10" s="234" t="s">
        <v>491</v>
      </c>
      <c r="I10" s="365">
        <f>Tulostus!F88</f>
        <v>50</v>
      </c>
      <c r="J10" s="364" t="s">
        <v>230</v>
      </c>
      <c r="M10" s="234">
        <v>50</v>
      </c>
      <c r="N10" s="80">
        <v>6371.083814037529</v>
      </c>
      <c r="O10" s="5">
        <v>0.59860180600058044</v>
      </c>
      <c r="AC10" s="364"/>
    </row>
    <row r="11" spans="5:29" ht="14" thickBot="1" x14ac:dyDescent="0.2">
      <c r="H11" s="234" t="s">
        <v>492</v>
      </c>
      <c r="I11" s="365">
        <f>Tulostus!F89</f>
        <v>30</v>
      </c>
      <c r="J11" s="364" t="s">
        <v>230</v>
      </c>
      <c r="M11" s="234">
        <v>50</v>
      </c>
      <c r="N11" s="80">
        <v>1061.8473023395884</v>
      </c>
      <c r="O11" s="5">
        <v>-12.800466064666473</v>
      </c>
      <c r="P11" t="s">
        <v>493</v>
      </c>
      <c r="Q11" s="366">
        <f>P9*I12+Q9</f>
        <v>-0.7596613494283212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1936.8094794674093</v>
      </c>
      <c r="J12" s="368" t="s">
        <v>393</v>
      </c>
      <c r="M12" s="234">
        <v>50</v>
      </c>
      <c r="N12" s="80"/>
      <c r="O12" s="5"/>
      <c r="AC12" s="364"/>
    </row>
    <row r="13" spans="5:29" ht="14" thickBot="1" x14ac:dyDescent="0.2">
      <c r="H13" s="369" t="s">
        <v>495</v>
      </c>
      <c r="I13" s="370">
        <f>I7/1000/($P$48)-$S$22</f>
        <v>16.0004511813564</v>
      </c>
      <c r="J13" s="239" t="s">
        <v>496</v>
      </c>
      <c r="M13" s="234">
        <v>50</v>
      </c>
      <c r="N13" s="80"/>
      <c r="O13" s="5"/>
      <c r="AC13" s="364"/>
    </row>
    <row r="14" spans="5:29" ht="14" thickBot="1" x14ac:dyDescent="0.2">
      <c r="M14" s="371">
        <v>50</v>
      </c>
      <c r="N14" s="257"/>
      <c r="O14" s="209"/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4813.7077706061336</v>
      </c>
      <c r="O15" s="5">
        <v>-2.3333895731398684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6158.7143535696114</v>
      </c>
      <c r="O16" s="5">
        <v>-1.9655812384002047E-2</v>
      </c>
      <c r="P16">
        <f t="array" ref="P16:Q16">LINEST(O15:O17,N15:N17)</f>
        <v>1.0307593940134471E-3</v>
      </c>
      <c r="Q16">
        <v>-6.8922440626073289</v>
      </c>
      <c r="AC16" s="364"/>
    </row>
    <row r="17" spans="3:29" ht="14" thickBot="1" x14ac:dyDescent="0.2">
      <c r="C17" t="s">
        <v>532</v>
      </c>
      <c r="E17" t="b">
        <f>IF(I17&lt;I8,TRUE,FALSE)</f>
        <v>0</v>
      </c>
      <c r="F17" t="b">
        <f>IF(I17&gt;I16,TRUE,FALSE)</f>
        <v>0</v>
      </c>
      <c r="H17" s="234" t="s">
        <v>492</v>
      </c>
      <c r="I17" s="235">
        <f>(I13+AVERAGE(I8:I9))*2-I10</f>
        <v>3.0009023627128002</v>
      </c>
      <c r="J17" s="364" t="s">
        <v>230</v>
      </c>
      <c r="M17" s="234">
        <v>100</v>
      </c>
      <c r="N17" s="80">
        <v>10618.473023395884</v>
      </c>
      <c r="O17" s="5">
        <v>3.9313311962206896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4.6356014984733716E-3</v>
      </c>
      <c r="J18" s="364" t="s">
        <v>72</v>
      </c>
      <c r="M18" s="234">
        <v>100</v>
      </c>
      <c r="N18" s="80">
        <v>1274.2167628075058</v>
      </c>
      <c r="O18" s="5">
        <v>-15.676480512907034</v>
      </c>
      <c r="P18" t="s">
        <v>493</v>
      </c>
      <c r="Q18" s="366">
        <f>I12*P16+Q16</f>
        <v>-4.895859497232002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5.1628273070877778E-2</v>
      </c>
      <c r="J19" s="364" t="s">
        <v>500</v>
      </c>
      <c r="M19" s="234">
        <v>100</v>
      </c>
      <c r="N19" s="80"/>
      <c r="O19" s="5"/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2.7849486423432549E-2</v>
      </c>
      <c r="J20" s="364" t="s">
        <v>500</v>
      </c>
      <c r="M20" s="234">
        <v>100</v>
      </c>
      <c r="N20" s="80"/>
      <c r="O20" s="5"/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3.7774279305535188E-2</v>
      </c>
      <c r="J21" s="364" t="s">
        <v>502</v>
      </c>
      <c r="M21" s="234">
        <v>100</v>
      </c>
      <c r="N21" s="80"/>
      <c r="O21" s="5"/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824.19007037736071</v>
      </c>
      <c r="J22" s="375" t="s">
        <v>393</v>
      </c>
      <c r="M22" s="371">
        <v>100</v>
      </c>
      <c r="N22" s="257"/>
      <c r="O22" s="209"/>
      <c r="P22" s="25"/>
      <c r="Q22" s="25"/>
      <c r="S22" s="32">
        <f>IF($I$6&lt;50,T24,IF($I$6&gt;300,$T$27,S31*I6^2+T31*I6+U31))</f>
        <v>-0.7596613494283212</v>
      </c>
      <c r="AC22" s="364"/>
    </row>
    <row r="23" spans="3:29" ht="14" thickBot="1" x14ac:dyDescent="0.2">
      <c r="M23" s="234">
        <v>200</v>
      </c>
      <c r="N23" s="80">
        <v>7503.72093653309</v>
      </c>
      <c r="O23" s="5">
        <v>-0.5877905348641832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9768.995181524213</v>
      </c>
      <c r="O24" s="5">
        <v>2.1785214225707108</v>
      </c>
      <c r="P24">
        <f t="array" ref="P24:Q24">LINEST(O23:O26,N23:N26)</f>
        <v>8.8763510610137097E-4</v>
      </c>
      <c r="Q24">
        <v>-8.6804612512913657</v>
      </c>
      <c r="S24" s="233">
        <v>50</v>
      </c>
      <c r="T24" s="376">
        <f>Q11</f>
        <v>-0.7596613494283212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23.0009023627128</v>
      </c>
      <c r="J25" s="364" t="s">
        <v>230</v>
      </c>
      <c r="M25" s="234">
        <v>200</v>
      </c>
      <c r="N25" s="80">
        <v>16140.078995561744</v>
      </c>
      <c r="O25" s="5">
        <v>4.1257350882105861</v>
      </c>
      <c r="S25" s="233">
        <v>100</v>
      </c>
      <c r="T25" s="376">
        <f>Q18</f>
        <v>-4.895859497232002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3610.2808279546002</v>
      </c>
      <c r="O26" s="5">
        <v>-7.5753290394847372</v>
      </c>
      <c r="P26" t="s">
        <v>493</v>
      </c>
      <c r="Q26" s="366">
        <f>P24*I12+Q24</f>
        <v>-6.9612811634861709</v>
      </c>
      <c r="S26" s="233">
        <v>200</v>
      </c>
      <c r="T26" s="376">
        <f>Q26</f>
        <v>-6.9612811634861709</v>
      </c>
      <c r="AC26" s="364"/>
    </row>
    <row r="27" spans="3:29" ht="15" x14ac:dyDescent="0.15">
      <c r="H27" s="234" t="s">
        <v>498</v>
      </c>
      <c r="I27" s="373">
        <f>I7/4186/(I25-I26)</f>
        <v>-3.1128168047495523E-2</v>
      </c>
      <c r="J27" s="364" t="s">
        <v>72</v>
      </c>
      <c r="M27" s="234">
        <v>200</v>
      </c>
      <c r="N27" s="80"/>
      <c r="O27" s="5"/>
      <c r="S27" s="233">
        <v>300</v>
      </c>
      <c r="T27" s="376">
        <f>Q34</f>
        <v>-6.7459125399551674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/>
      <c r="O28" s="5"/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1.2557758484070849</v>
      </c>
      <c r="J29" s="364" t="s">
        <v>500</v>
      </c>
      <c r="M29" s="234">
        <v>200</v>
      </c>
      <c r="N29" s="80"/>
      <c r="O29" s="5"/>
      <c r="S29" cm="1">
        <f t="array" ref="S29:T29">LINEST(T24:T27,S24:S27)</f>
        <v>-2.1617841287779816E-2</v>
      </c>
      <c r="T29">
        <v>-1.327779428261195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-0.2536551328846901</v>
      </c>
      <c r="J30" s="364" t="s">
        <v>502</v>
      </c>
      <c r="M30" s="371">
        <v>200</v>
      </c>
      <c r="N30" s="257"/>
      <c r="O30" s="209"/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-5534.4548107150058</v>
      </c>
      <c r="J31" s="375" t="s">
        <v>393</v>
      </c>
      <c r="M31" s="234">
        <v>300</v>
      </c>
      <c r="N31" s="80">
        <v>9202.676620276432</v>
      </c>
      <c r="O31" s="5">
        <v>-0.20011698471886774</v>
      </c>
      <c r="S31">
        <f t="array" ref="S31:U31">LINEST(T24:T27,S24:S27^{1,2})</f>
        <v>1.9990007361315001E-4</v>
      </c>
      <c r="T31">
        <v>-9.1921680736472416E-2</v>
      </c>
      <c r="U31">
        <v>2.9751543596828842</v>
      </c>
      <c r="AC31" s="364"/>
    </row>
    <row r="32" spans="3:29" x14ac:dyDescent="0.15">
      <c r="M32" s="234">
        <v>300</v>
      </c>
      <c r="N32" s="80">
        <v>11467.950865267556</v>
      </c>
      <c r="O32" s="5">
        <v>0.54913358192586514</v>
      </c>
      <c r="P32">
        <f t="array" ref="P32:Q32">LINEST(O31:O34,N31:N34)</f>
        <v>6.7764089532560562E-4</v>
      </c>
      <c r="Q32">
        <v>-8.0583738496965829</v>
      </c>
      <c r="AC32" s="364"/>
    </row>
    <row r="33" spans="9:29" ht="14" thickBot="1" x14ac:dyDescent="0.2">
      <c r="I33" s="213"/>
      <c r="M33" s="234">
        <v>300</v>
      </c>
      <c r="N33" s="80">
        <v>19962.729283984263</v>
      </c>
      <c r="O33" s="5">
        <v>4.6168384879725153</v>
      </c>
      <c r="AC33" s="364"/>
    </row>
    <row r="34" spans="9:29" ht="14" thickBot="1" x14ac:dyDescent="0.2">
      <c r="M34" s="234">
        <v>300</v>
      </c>
      <c r="N34" s="80">
        <v>4672.1281302941888</v>
      </c>
      <c r="O34" s="5">
        <v>-6.4985011332894622</v>
      </c>
      <c r="P34" t="s">
        <v>493</v>
      </c>
      <c r="Q34" s="366">
        <f>I12*P32+Q32</f>
        <v>-6.7459125399551674</v>
      </c>
      <c r="AC34" s="364"/>
    </row>
    <row r="35" spans="9:29" x14ac:dyDescent="0.15">
      <c r="I35" s="213"/>
      <c r="M35" s="234">
        <v>300</v>
      </c>
      <c r="N35" s="80"/>
      <c r="O35" s="5"/>
      <c r="AC35" s="364"/>
    </row>
    <row r="36" spans="9:29" x14ac:dyDescent="0.15">
      <c r="M36" s="234">
        <v>300</v>
      </c>
      <c r="N36" s="80"/>
      <c r="O36" s="5"/>
      <c r="AC36" s="364"/>
    </row>
    <row r="37" spans="9:29" x14ac:dyDescent="0.15">
      <c r="M37" s="234">
        <v>300</v>
      </c>
      <c r="N37" s="80"/>
      <c r="O37" s="5"/>
      <c r="AC37" s="364"/>
    </row>
    <row r="38" spans="9:29" ht="14" thickBot="1" x14ac:dyDescent="0.2">
      <c r="M38" s="369">
        <v>300</v>
      </c>
      <c r="N38" s="377"/>
      <c r="O38" s="37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6.4938995554714843E-2</v>
      </c>
      <c r="P43">
        <f t="array" ref="P43:Q43">LINEST(LN(N43:N46),LN(M43:M46))</f>
        <v>0.4421634980882071</v>
      </c>
      <c r="Q43">
        <v>-4.4629350371469592</v>
      </c>
      <c r="R43">
        <f>EXP(Q43)</f>
        <v>1.1528477074685723E-2</v>
      </c>
      <c r="AC43" s="364"/>
    </row>
    <row r="44" spans="9:29" ht="14" thickBot="1" x14ac:dyDescent="0.2">
      <c r="M44" s="234">
        <v>100</v>
      </c>
      <c r="N44" s="99">
        <v>8.7931162376678279E-2</v>
      </c>
      <c r="P44" s="379">
        <f>R43*I6^(P43)</f>
        <v>5.8903946116147278E-2</v>
      </c>
      <c r="AC44" s="364"/>
    </row>
    <row r="45" spans="9:29" x14ac:dyDescent="0.15">
      <c r="M45" s="234">
        <v>200</v>
      </c>
      <c r="N45" s="99">
        <v>0.12208547008547008</v>
      </c>
      <c r="AC45" s="364"/>
    </row>
    <row r="46" spans="9:29" x14ac:dyDescent="0.15">
      <c r="M46" s="234">
        <v>300</v>
      </c>
      <c r="N46" s="99">
        <v>0.14192175988378125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2.9107000060654627E-10</v>
      </c>
      <c r="Q47">
        <v>-8.905428958879592E-7</v>
      </c>
      <c r="R47">
        <v>5.8833104581184768E-4</v>
      </c>
      <c r="S47">
        <v>3.7712416753766548E-2</v>
      </c>
      <c r="AC47" s="364"/>
    </row>
    <row r="48" spans="9:29" ht="14" thickBot="1" x14ac:dyDescent="0.2">
      <c r="M48" s="232"/>
      <c r="P48" s="379">
        <f>P47*I6^3+Q47*I6^2+R47*I6+S47</f>
        <v>5.9839418432858539E-2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1.6827320848017202</v>
      </c>
      <c r="N62">
        <v>6.0792984153319773</v>
      </c>
      <c r="O62">
        <v>436.72268926823335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4DC65-EEA6-432F-A66A-A5119D1CE6CD}">
  <sheetPr codeName="Taul15"/>
  <dimension ref="C1:AZ99"/>
  <sheetViews>
    <sheetView topLeftCell="O1" zoomScale="70" zoomScaleNormal="70" workbookViewId="0">
      <selection activeCell="AO31" sqref="AO31:AZ38"/>
    </sheetView>
  </sheetViews>
  <sheetFormatPr baseColWidth="10" defaultColWidth="8.83203125" defaultRowHeight="13" x14ac:dyDescent="0.15"/>
  <cols>
    <col min="7" max="7" width="10.5" customWidth="1"/>
    <col min="8" max="8" width="12.33203125" bestFit="1" customWidth="1"/>
    <col min="9" max="11" width="9" bestFit="1" customWidth="1"/>
    <col min="16" max="16" width="10.83203125" customWidth="1"/>
    <col min="17" max="17" width="12.5" bestFit="1" customWidth="1"/>
    <col min="18" max="18" width="9.6640625" bestFit="1" customWidth="1"/>
    <col min="19" max="19" width="9" bestFit="1" customWidth="1"/>
    <col min="22" max="22" width="13" customWidth="1"/>
    <col min="25" max="25" width="10" customWidth="1"/>
  </cols>
  <sheetData>
    <row r="1" spans="3:50" x14ac:dyDescent="0.15">
      <c r="P1" t="s">
        <v>518</v>
      </c>
    </row>
    <row r="2" spans="3:50" x14ac:dyDescent="0.15">
      <c r="C2" s="2" t="s">
        <v>0</v>
      </c>
      <c r="J2" t="s">
        <v>15</v>
      </c>
      <c r="P2" s="259">
        <f t="array" ref="P2:R2">LINEST(AL34:AL37,AC34:AC37^{1,2})</f>
        <v>3.0025341927214007E-2</v>
      </c>
      <c r="Q2" s="259">
        <v>0.96444054500770915</v>
      </c>
      <c r="R2" s="259">
        <v>-9.2334763605581429</v>
      </c>
      <c r="V2" t="s">
        <v>519</v>
      </c>
      <c r="W2" s="84">
        <f>P2*J3^2+Q2*J3+R2</f>
        <v>77.384692523292642</v>
      </c>
      <c r="X2" t="s">
        <v>14</v>
      </c>
      <c r="AU2" t="s">
        <v>533</v>
      </c>
    </row>
    <row r="3" spans="3:50" ht="17" x14ac:dyDescent="0.25">
      <c r="J3" s="7">
        <f>Tulostus!E33</f>
        <v>40</v>
      </c>
      <c r="K3" t="s">
        <v>13</v>
      </c>
      <c r="L3" s="122">
        <f>Tulostus!E39</f>
        <v>50</v>
      </c>
      <c r="M3" t="s">
        <v>14</v>
      </c>
      <c r="P3" t="s">
        <v>34</v>
      </c>
      <c r="AA3" s="2" t="s">
        <v>53</v>
      </c>
      <c r="AM3" s="2" t="s">
        <v>524</v>
      </c>
      <c r="AU3" t="s">
        <v>3</v>
      </c>
      <c r="AV3">
        <v>-6.3124369392543317E-3</v>
      </c>
      <c r="AW3">
        <v>0.63457514688226124</v>
      </c>
      <c r="AX3">
        <v>646.42542368946533</v>
      </c>
    </row>
    <row r="4" spans="3:50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  <c r="AU4" t="s">
        <v>408</v>
      </c>
      <c r="AV4">
        <v>-5.8938322601629753E-3</v>
      </c>
      <c r="AW4">
        <v>0.41704887403929791</v>
      </c>
      <c r="AX4">
        <v>424.65374076504946</v>
      </c>
    </row>
    <row r="5" spans="3:50" x14ac:dyDescent="0.15">
      <c r="C5" t="s">
        <v>2</v>
      </c>
      <c r="D5" s="1"/>
      <c r="E5" s="1"/>
      <c r="H5" s="1"/>
      <c r="P5" s="52">
        <f t="array" ref="P5:Q5">LINEST(AF34:AF37,LN(AC34:AC37))</f>
        <v>19.333418822528945</v>
      </c>
      <c r="Q5" s="52">
        <v>-36.229927737917649</v>
      </c>
      <c r="R5" t="s">
        <v>28</v>
      </c>
      <c r="T5" s="4"/>
      <c r="U5" s="39" t="s">
        <v>43</v>
      </c>
      <c r="V5" t="s">
        <v>28</v>
      </c>
      <c r="W5" s="9">
        <f>$P$5*LN($J$3)+$Q$5</f>
        <v>35.088723734289019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  <c r="AM5" s="129" t="s">
        <v>523</v>
      </c>
      <c r="AN5">
        <v>0</v>
      </c>
      <c r="AU5" t="s">
        <v>411</v>
      </c>
      <c r="AV5">
        <v>-6.900999826613176E-3</v>
      </c>
      <c r="AW5">
        <v>0.58828187691278289</v>
      </c>
      <c r="AX5">
        <v>199.23235504253068</v>
      </c>
    </row>
    <row r="6" spans="3:50" x14ac:dyDescent="0.15">
      <c r="C6" s="2" t="s">
        <v>3</v>
      </c>
      <c r="D6" s="1"/>
      <c r="E6" s="1"/>
      <c r="H6" s="1"/>
      <c r="P6" s="52">
        <f t="array" ref="P6:Q6">LINEST(AG34:AG37,LN(AC34:AC37))</f>
        <v>19.115071465704872</v>
      </c>
      <c r="Q6" s="52">
        <v>-17.835873584571843</v>
      </c>
      <c r="R6" t="s">
        <v>7</v>
      </c>
      <c r="T6" s="4"/>
      <c r="U6" s="39" t="s">
        <v>43</v>
      </c>
      <c r="V6" t="s">
        <v>7</v>
      </c>
      <c r="W6" s="9">
        <f>$P$6*LN($J$3)+$Q$6</f>
        <v>52.677320809186426</v>
      </c>
      <c r="X6" t="s">
        <v>31</v>
      </c>
      <c r="AA6" s="55">
        <v>25</v>
      </c>
      <c r="AB6" s="56">
        <f t="shared" ref="AB6:AB12" si="0">(-$D$9-SQRT($D$9^2-(4*$C$9*($E$9-AA6))))/(2*$C$9)</f>
        <v>368.02333717549868</v>
      </c>
      <c r="AC6" s="55">
        <v>20</v>
      </c>
      <c r="AD6" s="57">
        <f t="shared" ref="AD6:AD12" si="1">(-$D$14-SQRT($D$14^2-(4*$C$14*($E$14-AC6))))/(2*$C$14)</f>
        <v>299.78303188704132</v>
      </c>
      <c r="AE6" s="55">
        <v>10</v>
      </c>
      <c r="AF6" s="57">
        <f t="shared" ref="AF6:AF11" si="2">(-$D$19-SQRT($D$19^2-(4*$C$19*($E$19-AE6))))/(2*$C$19)</f>
        <v>213.61335762915562</v>
      </c>
      <c r="AG6" s="56">
        <v>10</v>
      </c>
      <c r="AH6" s="57">
        <f>(-$D$24-SQRT($D$24^2-(4*$C$24*($E$24-AG6))))/(2*$C$24)</f>
        <v>122.85148290021115</v>
      </c>
      <c r="AM6" s="129" t="s">
        <v>226</v>
      </c>
      <c r="AN6" s="227">
        <f>'Kojeet ja kennon hyötysuhde'!M7</f>
        <v>0.79500000000000004</v>
      </c>
      <c r="AU6" t="s">
        <v>409</v>
      </c>
      <c r="AV6">
        <v>-4.5287059645176828E-3</v>
      </c>
      <c r="AW6">
        <v>-0.1767038368018404</v>
      </c>
      <c r="AX6">
        <v>100.05776360579901</v>
      </c>
    </row>
    <row r="7" spans="3:50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348.74296772600093</v>
      </c>
      <c r="AC7" s="55">
        <v>50</v>
      </c>
      <c r="AD7" s="57">
        <f t="shared" si="1"/>
        <v>289.97555040775342</v>
      </c>
      <c r="AE7" s="55">
        <v>50</v>
      </c>
      <c r="AF7" s="57">
        <f t="shared" si="2"/>
        <v>195.72898551317115</v>
      </c>
      <c r="AG7" s="56">
        <v>20</v>
      </c>
      <c r="AH7" s="57">
        <f>(-$D$24-SQRT($D$24^2-(4*$C$24*($E$24-AG7))))/(2*$C$24)</f>
        <v>114.87245597479257</v>
      </c>
      <c r="AU7" t="s">
        <v>534</v>
      </c>
    </row>
    <row r="8" spans="3:50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320.90760039583563</v>
      </c>
      <c r="AC8" s="55">
        <v>100</v>
      </c>
      <c r="AD8" s="57">
        <f t="shared" si="1"/>
        <v>272.7308916827721</v>
      </c>
      <c r="AE8" s="55">
        <v>90</v>
      </c>
      <c r="AF8" s="57">
        <f t="shared" si="2"/>
        <v>175.4581740263832</v>
      </c>
      <c r="AG8" s="56">
        <v>40</v>
      </c>
      <c r="AH8" s="57">
        <f>(-$D$24-SQRT($D$24^2-(4*$C$24*($E$24-AG8))))/(2*$C$24)</f>
        <v>97.290460384499539</v>
      </c>
      <c r="AM8" s="129" t="s">
        <v>527</v>
      </c>
      <c r="AN8" s="3">
        <f>W2</f>
        <v>77.384692523292642</v>
      </c>
      <c r="AO8" t="s">
        <v>14</v>
      </c>
      <c r="AU8" t="s">
        <v>3</v>
      </c>
      <c r="AV8">
        <v>-6.3692279172430392E-3</v>
      </c>
      <c r="AW8">
        <v>0.61218658299521111</v>
      </c>
      <c r="AX8">
        <v>647.10637655233779</v>
      </c>
    </row>
    <row r="9" spans="3:50" x14ac:dyDescent="0.15">
      <c r="C9" s="8">
        <f>AV17</f>
        <v>-6.3124369392543317E-3</v>
      </c>
      <c r="D9" s="8">
        <f t="shared" ref="D9:E9" si="3">AW17</f>
        <v>0.63457514688226124</v>
      </c>
      <c r="E9" s="8">
        <f t="shared" si="3"/>
        <v>646.42542368946533</v>
      </c>
      <c r="H9" s="2"/>
      <c r="P9" t="s">
        <v>415</v>
      </c>
      <c r="Q9" s="52">
        <f t="array" ref="Q9:R9">LINEST(AC35:AC37,U35:U37)</f>
        <v>15.553531616130611</v>
      </c>
      <c r="R9" s="52">
        <v>-12.140954125572534</v>
      </c>
      <c r="T9" s="111">
        <f>(J3-R9)/Q9</f>
        <v>3.3523546556781358</v>
      </c>
      <c r="U9" s="39" t="s">
        <v>42</v>
      </c>
      <c r="V9" t="s">
        <v>44</v>
      </c>
      <c r="W9" s="125">
        <f>IF($J$3&gt;$AJ$35,AVERAGE(T10,T11,T11),AVERAGE(T9,T9,T11))</f>
        <v>3.36194665396199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289.85995878473915</v>
      </c>
      <c r="AC9" s="55">
        <v>150</v>
      </c>
      <c r="AD9" s="57">
        <f t="shared" si="1"/>
        <v>254.13099309054866</v>
      </c>
      <c r="AE9" s="55">
        <v>130</v>
      </c>
      <c r="AF9" s="57">
        <f t="shared" si="2"/>
        <v>151.47576534370617</v>
      </c>
      <c r="AG9" s="56">
        <v>60</v>
      </c>
      <c r="AH9" s="57">
        <f>(-$D$24-SQRT($D$24^2-(4*$C$24*($E$24-AG9))))/(2*$C$24)</f>
        <v>76.542309887609477</v>
      </c>
      <c r="AM9" s="129" t="s">
        <v>528</v>
      </c>
      <c r="AN9" s="3">
        <f>'Laskenta poistopuoli 350'!W2</f>
        <v>71.225569239318858</v>
      </c>
      <c r="AO9" t="s">
        <v>14</v>
      </c>
      <c r="AU9" t="s">
        <v>408</v>
      </c>
      <c r="AV9">
        <v>-5.9567718565286054E-3</v>
      </c>
      <c r="AW9">
        <v>0.39696011261246528</v>
      </c>
      <c r="AX9">
        <v>425.145301245204</v>
      </c>
    </row>
    <row r="10" spans="3:50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12.062217052511391</v>
      </c>
      <c r="R10" s="52">
        <v>19.280876947000408</v>
      </c>
      <c r="T10" s="111">
        <f>(J3-R10)/Q10</f>
        <v>1.7176877984205903</v>
      </c>
      <c r="W10" t="b">
        <f>IF(AND(W9&lt;=10.01,Tulostus!E33&gt;=W11),TRUE,FALSE)</f>
        <v>1</v>
      </c>
      <c r="AA10" s="55">
        <v>400</v>
      </c>
      <c r="AB10" s="56">
        <f t="shared" si="0"/>
        <v>254.13770997194598</v>
      </c>
      <c r="AC10" s="55">
        <v>230</v>
      </c>
      <c r="AD10" s="57">
        <f t="shared" si="1"/>
        <v>220.52447882740637</v>
      </c>
      <c r="AE10" s="55">
        <v>170</v>
      </c>
      <c r="AF10" s="57">
        <f t="shared" si="2"/>
        <v>120.42188405539274</v>
      </c>
      <c r="AG10" s="56">
        <v>80</v>
      </c>
      <c r="AH10" s="57">
        <f>(-$D$24-SQRT($D$24^2-(4*$C$24*($E$24-AG10))))/(2*$C$24)</f>
        <v>49.842265162290595</v>
      </c>
      <c r="AU10" t="s">
        <v>411</v>
      </c>
      <c r="AV10">
        <v>-6.9707491642898908E-3</v>
      </c>
      <c r="AW10">
        <v>0.56996786479199912</v>
      </c>
      <c r="AX10">
        <v>199.6307447316521</v>
      </c>
    </row>
    <row r="11" spans="3:50" ht="14" thickBot="1" x14ac:dyDescent="0.2">
      <c r="C11" s="2" t="s">
        <v>408</v>
      </c>
      <c r="D11" s="1"/>
      <c r="E11" s="1"/>
      <c r="H11" s="1"/>
      <c r="P11" t="s">
        <v>417</v>
      </c>
      <c r="Q11" s="7">
        <f t="array" ref="Q11:S11">LINEST(U34:U37,AC34:AC37^{1,2})</f>
        <v>4.9404902901950976E-5</v>
      </c>
      <c r="R11" s="7">
        <v>5.7071383342699775E-2</v>
      </c>
      <c r="S11" s="7">
        <v>1.0192274721785859</v>
      </c>
      <c r="T11" s="111">
        <f>Q11*J3^2+R11*J3+S11</f>
        <v>3.3811306505296987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210.64715881769263</v>
      </c>
      <c r="AC11" s="55">
        <v>320</v>
      </c>
      <c r="AD11" s="57">
        <f t="shared" si="1"/>
        <v>173.2504723348554</v>
      </c>
      <c r="AE11" s="55">
        <v>205</v>
      </c>
      <c r="AF11" s="57">
        <f t="shared" si="2"/>
        <v>73.943002844798301</v>
      </c>
      <c r="AG11" s="56"/>
      <c r="AH11" s="57"/>
      <c r="AM11" s="129" t="s">
        <v>525</v>
      </c>
      <c r="AN11" s="227">
        <f>(J3/1000*AN8)/W14</f>
        <v>0.13662908070155974</v>
      </c>
      <c r="AU11" t="s">
        <v>409</v>
      </c>
      <c r="AV11">
        <v>-4.6179437787463177E-3</v>
      </c>
      <c r="AW11">
        <v>-0.1908792356649929</v>
      </c>
      <c r="AX11">
        <v>100.24507978840288</v>
      </c>
    </row>
    <row r="12" spans="3:50" x14ac:dyDescent="0.15">
      <c r="C12" t="s">
        <v>11</v>
      </c>
      <c r="D12" s="1"/>
      <c r="E12" s="1"/>
      <c r="H12" s="1"/>
      <c r="P12" s="2" t="s">
        <v>51</v>
      </c>
      <c r="AA12" s="58">
        <v>610</v>
      </c>
      <c r="AB12" s="59">
        <f t="shared" si="0"/>
        <v>141.35108796400908</v>
      </c>
      <c r="AC12" s="58">
        <v>395</v>
      </c>
      <c r="AD12" s="60">
        <f t="shared" si="1"/>
        <v>114.64592676119456</v>
      </c>
      <c r="AE12" s="58"/>
      <c r="AF12" s="60"/>
      <c r="AG12" s="59"/>
      <c r="AH12" s="60"/>
      <c r="AM12" s="129" t="s">
        <v>526</v>
      </c>
      <c r="AN12" s="227">
        <f>('Laskenta poistopuoli 350'!J3/1000*AN9)/'Laskenta poistopuoli 350'!W14</f>
        <v>0.12992666184398902</v>
      </c>
    </row>
    <row r="13" spans="3:50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2.4563641339123497E-2</v>
      </c>
      <c r="Q13" s="51">
        <v>-2.0053525059981339</v>
      </c>
      <c r="R13" s="51">
        <v>67.439369747171241</v>
      </c>
      <c r="U13" s="39" t="s">
        <v>43</v>
      </c>
      <c r="V13" t="s">
        <v>44</v>
      </c>
      <c r="W13" s="295">
        <f>P18</f>
        <v>22.655408973240419</v>
      </c>
      <c r="X13" t="s">
        <v>49</v>
      </c>
      <c r="Y13" s="129" t="s">
        <v>414</v>
      </c>
      <c r="AU13" t="s">
        <v>535</v>
      </c>
    </row>
    <row r="14" spans="3:50" ht="14" thickBot="1" x14ac:dyDescent="0.2">
      <c r="C14" s="8">
        <f>AV18</f>
        <v>-5.8938322601629753E-3</v>
      </c>
      <c r="D14" s="8">
        <f t="shared" ref="D14:E14" si="4">AW18</f>
        <v>0.41704887403929791</v>
      </c>
      <c r="E14" s="8">
        <f t="shared" si="4"/>
        <v>424.65374076504946</v>
      </c>
      <c r="H14" s="2"/>
      <c r="O14" t="s">
        <v>413</v>
      </c>
      <c r="P14">
        <f t="array" ref="P14:S14">LINEST(AE34:AE37,AC34:AC37^{1,2,3})</f>
        <v>1.1346553243096099E-4</v>
      </c>
      <c r="Q14">
        <v>-7.8459495607362956E-3</v>
      </c>
      <c r="R14">
        <v>0.87626572339698727</v>
      </c>
      <c r="S14">
        <v>-10.975181417645558</v>
      </c>
      <c r="V14" t="s">
        <v>52</v>
      </c>
      <c r="W14" s="296">
        <f>IF(W13&gt;Y14,Y14,W13)</f>
        <v>22.655408973240419</v>
      </c>
      <c r="X14" t="s">
        <v>49</v>
      </c>
      <c r="Y14" s="129">
        <v>516</v>
      </c>
      <c r="Z14" t="s">
        <v>49</v>
      </c>
      <c r="AM14" s="297" t="s">
        <v>520</v>
      </c>
      <c r="AN14" s="84">
        <f>1100+((AN6-0.73)*3000)-300*(J3/1000)/2-AN5</f>
        <v>1289.0000000000002</v>
      </c>
      <c r="AU14" s="451" t="b">
        <f>Tulokset!D40</f>
        <v>0</v>
      </c>
    </row>
    <row r="15" spans="3:50" x14ac:dyDescent="0.15">
      <c r="C15" s="2"/>
      <c r="D15" s="2"/>
      <c r="E15" s="2"/>
      <c r="H15" s="2"/>
    </row>
    <row r="16" spans="3:50" ht="14" thickBot="1" x14ac:dyDescent="0.2">
      <c r="C16" s="2" t="s">
        <v>411</v>
      </c>
      <c r="D16" s="1"/>
      <c r="E16" s="1"/>
      <c r="H16" s="1"/>
      <c r="O16" t="s">
        <v>412</v>
      </c>
      <c r="P16" s="3">
        <f>$P$13*J3^2+$Q$13*J3+$R$13</f>
        <v>26.527095649843481</v>
      </c>
      <c r="Q16" t="s">
        <v>49</v>
      </c>
      <c r="V16" t="s">
        <v>58</v>
      </c>
      <c r="W16">
        <f>'Laskenta poistopuoli 350'!W13</f>
        <v>21.927930181056698</v>
      </c>
      <c r="AM16" s="129" t="s">
        <v>521</v>
      </c>
      <c r="AN16" s="3">
        <f>(AN8-L3)/AN11</f>
        <v>200.4309213139573</v>
      </c>
      <c r="AU16" t="s">
        <v>21</v>
      </c>
    </row>
    <row r="17" spans="3:52" ht="14" thickBot="1" x14ac:dyDescent="0.2">
      <c r="C17" t="s">
        <v>11</v>
      </c>
      <c r="D17" s="1"/>
      <c r="E17" s="1"/>
      <c r="H17" s="1"/>
      <c r="O17" t="s">
        <v>413</v>
      </c>
      <c r="P17" s="3">
        <f>$P$14*J3^3+$Q$14*J3^2+$R$14*J3+$S$14</f>
        <v>18.783722296637357</v>
      </c>
      <c r="Q17" t="s">
        <v>49</v>
      </c>
      <c r="V17" t="s">
        <v>73</v>
      </c>
      <c r="W17" s="294">
        <v>2.37</v>
      </c>
      <c r="AM17" s="129" t="s">
        <v>522</v>
      </c>
      <c r="AN17" s="3">
        <f>(AN9-'Laskenta poistopuoli 350'!L3)/AN12</f>
        <v>163.36577064379375</v>
      </c>
      <c r="AU17" s="2" t="s">
        <v>3</v>
      </c>
      <c r="AV17" s="2">
        <f>IF($AU$14,AV8,AV3)</f>
        <v>-6.3124369392543317E-3</v>
      </c>
      <c r="AW17" s="2">
        <f t="shared" ref="AW17:AX17" si="5">IF($AU$14,AW8,AW3)</f>
        <v>0.63457514688226124</v>
      </c>
      <c r="AX17" s="2">
        <f t="shared" si="5"/>
        <v>646.42542368946533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22.655408973240419</v>
      </c>
      <c r="Q18" t="s">
        <v>49</v>
      </c>
      <c r="AM18" s="297" t="s">
        <v>529</v>
      </c>
      <c r="AN18" s="84">
        <f>AN16+AN17</f>
        <v>363.79669195775102</v>
      </c>
      <c r="AU18" s="2" t="s">
        <v>408</v>
      </c>
      <c r="AV18" s="2">
        <f t="shared" ref="AV18:AX20" si="6">IF($AU$14,AV9,AV4)</f>
        <v>-5.8938322601629753E-3</v>
      </c>
      <c r="AW18" s="2">
        <f t="shared" si="6"/>
        <v>0.41704887403929791</v>
      </c>
      <c r="AX18" s="2">
        <f t="shared" si="6"/>
        <v>424.65374076504946</v>
      </c>
    </row>
    <row r="19" spans="3:52" x14ac:dyDescent="0.15">
      <c r="C19" s="8">
        <f>AV19</f>
        <v>-6.900999826613176E-3</v>
      </c>
      <c r="D19" s="8">
        <f t="shared" ref="D19:E19" si="7">AW19</f>
        <v>0.58828187691278289</v>
      </c>
      <c r="E19" s="8">
        <f t="shared" si="7"/>
        <v>199.23235504253068</v>
      </c>
      <c r="V19" s="74" t="s">
        <v>74</v>
      </c>
      <c r="W19" s="77">
        <f>W13+W16+W17</f>
        <v>46.953339154297119</v>
      </c>
      <c r="X19" s="75" t="s">
        <v>49</v>
      </c>
      <c r="AB19" s="6"/>
      <c r="AC19" s="6"/>
      <c r="AU19" s="2" t="s">
        <v>411</v>
      </c>
      <c r="AV19" s="2">
        <f t="shared" si="6"/>
        <v>-6.900999826613176E-3</v>
      </c>
      <c r="AW19" s="2">
        <f t="shared" si="6"/>
        <v>0.58828187691278289</v>
      </c>
      <c r="AX19" s="2">
        <f t="shared" si="6"/>
        <v>199.23235504253068</v>
      </c>
    </row>
    <row r="20" spans="3:52" x14ac:dyDescent="0.15">
      <c r="C20" s="2"/>
      <c r="D20" s="2"/>
      <c r="E20" s="2"/>
      <c r="H20" s="1"/>
      <c r="AB20" s="6"/>
      <c r="AC20" s="6"/>
      <c r="AU20" s="2" t="s">
        <v>409</v>
      </c>
      <c r="AV20" s="2">
        <f>IF($AU$14,AV11,AV6)</f>
        <v>-4.5287059645176828E-3</v>
      </c>
      <c r="AW20" s="2">
        <f t="shared" si="6"/>
        <v>-0.1767038368018404</v>
      </c>
      <c r="AX20" s="2">
        <f t="shared" si="6"/>
        <v>100.05776360579901</v>
      </c>
    </row>
    <row r="21" spans="3:52" x14ac:dyDescent="0.15">
      <c r="C21" s="2" t="s">
        <v>409</v>
      </c>
      <c r="D21" s="1"/>
      <c r="E21" s="1"/>
      <c r="H21" s="1"/>
      <c r="O21" t="s">
        <v>461</v>
      </c>
      <c r="V21" t="s">
        <v>78</v>
      </c>
      <c r="W21">
        <f>MAX(J3,'Laskenta poistopuoli 60'!J3)</f>
        <v>40</v>
      </c>
      <c r="X21" t="s">
        <v>13</v>
      </c>
      <c r="AB21" s="6"/>
      <c r="AC21" s="6"/>
    </row>
    <row r="22" spans="3:52" ht="15" x14ac:dyDescent="0.15">
      <c r="C22" t="s">
        <v>11</v>
      </c>
      <c r="D22" s="1"/>
      <c r="E22" s="1"/>
      <c r="H22" s="1"/>
      <c r="O22">
        <v>165</v>
      </c>
      <c r="P22" t="s">
        <v>13</v>
      </c>
      <c r="V22" t="s">
        <v>75</v>
      </c>
      <c r="W22">
        <f>W19/W21</f>
        <v>1.1738334788574281</v>
      </c>
      <c r="X22" t="s">
        <v>77</v>
      </c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  <c r="O23">
        <v>198</v>
      </c>
      <c r="P23" t="s">
        <v>14</v>
      </c>
    </row>
    <row r="24" spans="3:52" x14ac:dyDescent="0.15">
      <c r="C24" s="8">
        <f>AV20</f>
        <v>-4.5287059645176828E-3</v>
      </c>
      <c r="D24" s="8">
        <f t="shared" ref="D24:E24" si="8">AW20</f>
        <v>-0.1767038368018404</v>
      </c>
      <c r="E24" s="8">
        <f t="shared" si="8"/>
        <v>100.05776360579901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3.125E-2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15.553531616130611</v>
      </c>
      <c r="AX33" s="52">
        <f>R9</f>
        <v>-12.140954125572534</v>
      </c>
      <c r="AZ33" s="111">
        <f>(AO36-AX33)/AW33</f>
        <v>3.8667072925868609</v>
      </c>
    </row>
    <row r="34" spans="21:52" x14ac:dyDescent="0.15">
      <c r="U34" s="35">
        <v>10</v>
      </c>
      <c r="V34" s="98">
        <f>C9</f>
        <v>-6.3124369392543317E-3</v>
      </c>
      <c r="W34" s="99">
        <f>D9</f>
        <v>0.63457514688226124</v>
      </c>
      <c r="X34" s="100">
        <f>E9</f>
        <v>646.42542368946533</v>
      </c>
      <c r="Y34" s="36">
        <f>C9-U29</f>
        <v>-3.7562436939254332E-2</v>
      </c>
      <c r="Z34" s="28">
        <f>(-W34+SQRT(W34^2-(4*Y34*X34)))/(2*Y34)</f>
        <v>-123.0091716059534</v>
      </c>
      <c r="AA34" s="29">
        <f>(-W34-SQRT(W34^2-(4*Y34*X34)))/(2*Y34)</f>
        <v>139.90304747211434</v>
      </c>
      <c r="AB34" s="36">
        <f>AB6</f>
        <v>368.02333717549868</v>
      </c>
      <c r="AC34" s="53">
        <f>IF(Z34&lt;0,AA34,IF(Z34&gt;AB34,AA34,Z34))</f>
        <v>139.90304747211434</v>
      </c>
      <c r="AD34" s="53">
        <f>V34*AC34^2+W34*AC34+X34</f>
        <v>611.65195912452123</v>
      </c>
      <c r="AE34" s="53">
        <f>X51*AC34^2+Y51*AC34+Z51</f>
        <v>268.75239379202606</v>
      </c>
      <c r="AF34" s="53">
        <f>AVERAGE(K61:K62,K61)</f>
        <v>59.737044700335069</v>
      </c>
      <c r="AG34" s="53">
        <f>AVERAGE(U61:U62,U61)</f>
        <v>76.543205057874175</v>
      </c>
      <c r="AI34">
        <v>10</v>
      </c>
      <c r="AJ34" s="3">
        <f>AC34</f>
        <v>139.90304747211434</v>
      </c>
      <c r="AL34">
        <f>AN52*AC34^2+AO52*AC34+AP52</f>
        <v>714.40517854892778</v>
      </c>
      <c r="AM34" t="s">
        <v>14</v>
      </c>
      <c r="AO34" s="618">
        <f>AC34/$J$3-1</f>
        <v>2.4975761868028585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X34" si="9">Q10</f>
        <v>12.062217052511391</v>
      </c>
      <c r="AX34" s="52">
        <f t="shared" si="9"/>
        <v>19.280876947000408</v>
      </c>
      <c r="AZ34" s="111">
        <f>(AO36-AX34)/AW34</f>
        <v>2.3809157908512502</v>
      </c>
    </row>
    <row r="35" spans="21:52" x14ac:dyDescent="0.15">
      <c r="U35" s="35">
        <v>8</v>
      </c>
      <c r="V35" s="98">
        <f>C14</f>
        <v>-5.8938322601629753E-3</v>
      </c>
      <c r="W35" s="99">
        <f>D14</f>
        <v>0.41704887403929791</v>
      </c>
      <c r="X35" s="100">
        <f>E14</f>
        <v>424.65374076504946</v>
      </c>
      <c r="Y35" s="36">
        <f>C14-U29</f>
        <v>-3.7143832260162976E-2</v>
      </c>
      <c r="Z35" s="28">
        <f t="shared" ref="Z35:Z37" si="10">(-W35+SQRT(W35^2-(4*Y35*X35)))/(2*Y35)</f>
        <v>-101.45704112145005</v>
      </c>
      <c r="AA35" s="29">
        <f t="shared" ref="AA35:AA37" si="11">(-W35-SQRT(W35^2-(4*Y35*X35)))/(2*Y35)</f>
        <v>112.68498526889834</v>
      </c>
      <c r="AB35" s="36">
        <f>AD6</f>
        <v>299.78303188704132</v>
      </c>
      <c r="AC35" s="53">
        <f t="shared" ref="AC35:AC37" si="12">IF(Z35&lt;0,AA35,IF(Z35&gt;AB35,AA35,Z35))</f>
        <v>112.68498526889834</v>
      </c>
      <c r="AD35" s="53">
        <f>V35*AC35^2+W35*AC35+X35</f>
        <v>396.80955953286991</v>
      </c>
      <c r="AE35" s="53">
        <f t="shared" ref="AE35:AE37" si="13">X52*AC35^2+Y52*AC35+Z52</f>
        <v>150.49335014974707</v>
      </c>
      <c r="AF35" s="53">
        <f>AVERAGE(K66:K67,K66)</f>
        <v>54.330601351062427</v>
      </c>
      <c r="AG35" s="53">
        <f>AVERAGE(U66:U67,U66)</f>
        <v>72.295768769069682</v>
      </c>
      <c r="AI35">
        <v>9</v>
      </c>
      <c r="AJ35" s="3">
        <f>Q9*AI35+R9</f>
        <v>127.84083041960295</v>
      </c>
      <c r="AL35">
        <f t="shared" ref="AL35:AL37" si="14">AN53*AC35^2+AO53*AC35+AP53</f>
        <v>477.97892549245955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ref="AW35:AY35" si="15">Q11</f>
        <v>4.9404902901950976E-5</v>
      </c>
      <c r="AX35" s="52">
        <f t="shared" si="15"/>
        <v>5.7071383342699775E-2</v>
      </c>
      <c r="AY35" s="52">
        <f t="shared" si="15"/>
        <v>1.0192274721785859</v>
      </c>
      <c r="AZ35" s="111">
        <f>AW35*AO36^2+AX35*AO36+AY35</f>
        <v>3.8724827689142698</v>
      </c>
    </row>
    <row r="36" spans="21:52" x14ac:dyDescent="0.15">
      <c r="U36" s="35">
        <v>6</v>
      </c>
      <c r="V36" s="98">
        <f>C19</f>
        <v>-6.900999826613176E-3</v>
      </c>
      <c r="W36" s="99">
        <f>D19</f>
        <v>0.58828187691278289</v>
      </c>
      <c r="X36" s="100">
        <f>E19</f>
        <v>199.23235504253068</v>
      </c>
      <c r="Y36" s="36">
        <f>C19-U29</f>
        <v>-3.8150999826613179E-2</v>
      </c>
      <c r="Z36" s="28">
        <f t="shared" si="10"/>
        <v>-64.965034075278851</v>
      </c>
      <c r="AA36" s="29">
        <f t="shared" si="11"/>
        <v>80.384862640359131</v>
      </c>
      <c r="AB36" s="36">
        <f>AF6</f>
        <v>213.61335762915562</v>
      </c>
      <c r="AC36" s="53">
        <f t="shared" si="12"/>
        <v>80.384862640359131</v>
      </c>
      <c r="AD36" s="53">
        <f>V36*AC36^2+W36*AC36+X36</f>
        <v>201.92894192841896</v>
      </c>
      <c r="AE36" s="53">
        <f t="shared" si="13"/>
        <v>67.701771599402178</v>
      </c>
      <c r="AF36" s="53">
        <f>AVERAGE(K71:K72,K71)</f>
        <v>48.964857255222057</v>
      </c>
      <c r="AG36" s="53">
        <f>AVERAGE(U71:U72,U71)</f>
        <v>66.476049239445118</v>
      </c>
      <c r="AI36">
        <v>8</v>
      </c>
      <c r="AJ36" s="3">
        <f>AC35</f>
        <v>112.68498526889834</v>
      </c>
      <c r="AL36">
        <f t="shared" si="14"/>
        <v>264.89975982595797</v>
      </c>
      <c r="AM36" t="s">
        <v>14</v>
      </c>
      <c r="AO36" s="611">
        <f>Tulokset!$CR$16</f>
        <v>48</v>
      </c>
      <c r="AP36" t="s">
        <v>13</v>
      </c>
      <c r="AR36" s="619">
        <f>IF($AO$36&gt;$AJ$35,AVERAGE(AZ34,AZ35,AZ35),AVERAGE(AZ33,AZ33,AZ35))</f>
        <v>3.868632451362664</v>
      </c>
      <c r="AS36" t="s">
        <v>25</v>
      </c>
    </row>
    <row r="37" spans="21:52" x14ac:dyDescent="0.15">
      <c r="U37" s="38">
        <v>4</v>
      </c>
      <c r="V37" s="101">
        <f>C24</f>
        <v>-4.5287059645176828E-3</v>
      </c>
      <c r="W37" s="102">
        <f>D24</f>
        <v>-0.1767038368018404</v>
      </c>
      <c r="X37" s="103">
        <f>E24</f>
        <v>100.05776360579901</v>
      </c>
      <c r="Y37" s="37">
        <f>C24-U29</f>
        <v>-3.5778705964517682E-2</v>
      </c>
      <c r="Z37" s="30">
        <f t="shared" si="10"/>
        <v>-55.409657792161553</v>
      </c>
      <c r="AA37" s="31">
        <f t="shared" si="11"/>
        <v>50.470858804375901</v>
      </c>
      <c r="AB37" s="37">
        <f>AH6</f>
        <v>122.85148290021115</v>
      </c>
      <c r="AC37" s="53">
        <f t="shared" si="12"/>
        <v>50.470858804375901</v>
      </c>
      <c r="AD37" s="53">
        <f>V37*AC37^2+W37*AC37+X37</f>
        <v>79.60336213910152</v>
      </c>
      <c r="AE37" s="53">
        <f t="shared" si="13"/>
        <v>27.852328996974983</v>
      </c>
      <c r="AF37" s="53">
        <f>AVERAGE(K76:K77,K76)</f>
        <v>39.542167377187063</v>
      </c>
      <c r="AG37" s="53">
        <f>AVERAGE(U76:U77,U76)</f>
        <v>56.911339528894267</v>
      </c>
      <c r="AI37">
        <v>6</v>
      </c>
      <c r="AJ37" s="3">
        <f t="shared" ref="AJ37:AJ38" si="16">AC36</f>
        <v>80.384862640359131</v>
      </c>
      <c r="AL37">
        <f t="shared" si="14"/>
        <v>115.03111351902663</v>
      </c>
      <c r="AM37" t="s">
        <v>14</v>
      </c>
      <c r="AO37" s="611">
        <f>Tulokset!$CR$17</f>
        <v>72</v>
      </c>
      <c r="AP37" t="s">
        <v>14</v>
      </c>
    </row>
    <row r="38" spans="21:52" x14ac:dyDescent="0.15">
      <c r="AI38">
        <v>4</v>
      </c>
      <c r="AJ38" s="3">
        <f t="shared" si="16"/>
        <v>50.470858804375901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26</v>
      </c>
      <c r="V43" s="21"/>
      <c r="W43" s="49">
        <v>15</v>
      </c>
      <c r="X43" s="49">
        <v>13</v>
      </c>
      <c r="Y43" s="49">
        <v>1</v>
      </c>
      <c r="Z43" s="49">
        <v>-5</v>
      </c>
      <c r="AA43" s="49">
        <v>-9</v>
      </c>
      <c r="AB43" s="49">
        <v>-14</v>
      </c>
      <c r="AC43" s="49">
        <v>-24</v>
      </c>
      <c r="AD43" s="49">
        <v>-29</v>
      </c>
      <c r="AE43" s="39" t="s">
        <v>42</v>
      </c>
      <c r="AF43" s="53">
        <f>$W$5+W43</f>
        <v>50.088723734289019</v>
      </c>
      <c r="AG43" s="53">
        <f t="shared" ref="AG43:AM43" si="17">$W$5+X43</f>
        <v>48.088723734289019</v>
      </c>
      <c r="AH43" s="53">
        <f t="shared" si="17"/>
        <v>36.088723734289019</v>
      </c>
      <c r="AI43" s="53">
        <f t="shared" si="17"/>
        <v>30.088723734289019</v>
      </c>
      <c r="AJ43" s="53">
        <f t="shared" si="17"/>
        <v>26.088723734289019</v>
      </c>
      <c r="AK43" s="53">
        <f t="shared" si="17"/>
        <v>21.088723734289019</v>
      </c>
      <c r="AL43" s="53">
        <f t="shared" si="17"/>
        <v>11.088723734289019</v>
      </c>
      <c r="AM43" s="53">
        <f t="shared" si="17"/>
        <v>6.0887237342890188</v>
      </c>
      <c r="AN43" s="5">
        <f t="array" ref="AN43">10*LOG10(SUM(10^(AF43:AM43/10)))</f>
        <v>52.357747005092705</v>
      </c>
      <c r="AO43" s="5">
        <f t="array" ref="AO43">10*LOG10(SUM(10^((AF43:AM43+AF46:AM46)/10)))</f>
        <v>35.403354468191694</v>
      </c>
      <c r="AP43" t="str">
        <f>IF(ABS(W5-AO43)&lt;0.5,"OK","Tarkista laskenta!")</f>
        <v>OK</v>
      </c>
    </row>
    <row r="44" spans="21:52" x14ac:dyDescent="0.15">
      <c r="U44" s="14" t="s">
        <v>29</v>
      </c>
      <c r="V44" s="26"/>
      <c r="W44" s="49">
        <v>6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58.677320809186426</v>
      </c>
      <c r="AG44" s="53">
        <f t="shared" ref="AG44:AM44" si="18">$W$6+X44</f>
        <v>60.677320809186426</v>
      </c>
      <c r="AH44" s="53">
        <f t="shared" si="18"/>
        <v>51.677320809186426</v>
      </c>
      <c r="AI44" s="53">
        <f t="shared" si="18"/>
        <v>48.677320809186426</v>
      </c>
      <c r="AJ44" s="53">
        <f t="shared" si="18"/>
        <v>47.677320809186426</v>
      </c>
      <c r="AK44" s="53">
        <f t="shared" si="18"/>
        <v>42.677320809186426</v>
      </c>
      <c r="AL44" s="53">
        <f t="shared" si="18"/>
        <v>38.677320809186426</v>
      </c>
      <c r="AM44" s="53">
        <f t="shared" si="18"/>
        <v>36.677320809186426</v>
      </c>
      <c r="AN44" s="5">
        <f t="array" ref="AN44">10*LOG10(SUM(10^(AF44:AM44/10)))</f>
        <v>63.456171210965245</v>
      </c>
      <c r="AO44" s="5">
        <f t="array" ref="AO44">10*LOG10(SUM(10^((AF44:AM44+AF46:AM46)/10)))</f>
        <v>52.599744955630982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LINEST(Y59:Y67,X59:X67^{1,2})</f>
        <v>3.776917108145616E-4</v>
      </c>
      <c r="Y51" s="54">
        <v>0.95964026918999501</v>
      </c>
      <c r="Z51" s="54">
        <v>127.10328765971141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LINEST(Y70:Y78,X70:X78^{1,2})</f>
        <v>5.8205355126901169E-4</v>
      </c>
      <c r="Y52" s="54">
        <v>0.59864600253013434</v>
      </c>
      <c r="Z52" s="54">
        <v>75.644072947638819</v>
      </c>
      <c r="AM52" t="s">
        <v>3</v>
      </c>
      <c r="AN52" s="54">
        <f t="array" ref="AN52:AP52">LINEST(AO60:AO67,AN60:AN67^{1,2})</f>
        <v>-7.8886988291031798E-3</v>
      </c>
      <c r="AO52" s="54">
        <v>3.1314055362362243</v>
      </c>
      <c r="AP52" s="54">
        <v>430.71642015888642</v>
      </c>
    </row>
    <row r="53" spans="3:42" x14ac:dyDescent="0.15">
      <c r="W53" t="s">
        <v>10</v>
      </c>
      <c r="X53" s="54">
        <f t="array" ref="X53:Z53">LINEST(Y81:Y88,X81:X88^{1,2})</f>
        <v>1.1899585521334657E-4</v>
      </c>
      <c r="Y53" s="54">
        <v>0.44802087071349334</v>
      </c>
      <c r="Z53" s="54">
        <v>30.918756818696775</v>
      </c>
      <c r="AM53" t="s">
        <v>114</v>
      </c>
      <c r="AN53" s="54">
        <f t="array" ref="AN53:AP53">LINEST(AO71:AO78,AN71:AN78^{1,2})</f>
        <v>-6.7203587621186599E-3</v>
      </c>
      <c r="AO53" s="54">
        <v>2.2460738760700178</v>
      </c>
      <c r="AP53" s="54">
        <v>310.21460706422556</v>
      </c>
    </row>
    <row r="54" spans="3:42" x14ac:dyDescent="0.15">
      <c r="W54" t="s">
        <v>12</v>
      </c>
      <c r="X54" s="54">
        <f t="array" ref="X54:Z54">LINEST(Y92:Y98,X92:X98^{1,2})</f>
        <v>7.8439500677749137E-5</v>
      </c>
      <c r="Y54" s="54">
        <v>0.19954382418716141</v>
      </c>
      <c r="Z54" s="54">
        <v>17.581371285828794</v>
      </c>
      <c r="AM54" t="s">
        <v>10</v>
      </c>
      <c r="AN54" s="54">
        <f t="array" ref="AN54:AP54">LINEST(AO82:AO89,AN82:AN89^{1,2})</f>
        <v>-5.5201103910772495E-3</v>
      </c>
      <c r="AO54" s="54">
        <v>1.3813935974166838</v>
      </c>
      <c r="AP54" s="54">
        <v>189.5260668644919</v>
      </c>
    </row>
    <row r="55" spans="3:42" x14ac:dyDescent="0.15">
      <c r="AM55" t="s">
        <v>12</v>
      </c>
      <c r="AN55" s="54">
        <f t="array" ref="AN55:AP55">LINEST(AO93:AO99,AN93:AN99^{1,2})</f>
        <v>-3.0470369228017091E-3</v>
      </c>
      <c r="AO55" s="54">
        <v>0.51215993958746597</v>
      </c>
      <c r="AP55" s="54">
        <v>96.943701798593878</v>
      </c>
    </row>
    <row r="56" spans="3:42" x14ac:dyDescent="0.15">
      <c r="C56" s="2" t="s">
        <v>45</v>
      </c>
    </row>
    <row r="57" spans="3:42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463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463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344.7</v>
      </c>
      <c r="E59" s="68">
        <v>62.144673041028028</v>
      </c>
      <c r="F59" s="69">
        <v>504.49107312811128</v>
      </c>
      <c r="H59" t="s">
        <v>4</v>
      </c>
      <c r="I59" t="s">
        <v>5</v>
      </c>
      <c r="K59" s="27" t="s">
        <v>424</v>
      </c>
      <c r="M59" s="10" t="s">
        <v>3</v>
      </c>
      <c r="N59" s="67">
        <v>347.55882244303535</v>
      </c>
      <c r="O59" s="68">
        <v>81.851516160933571</v>
      </c>
      <c r="P59" s="69">
        <v>500.76674771949382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287">
        <v>149.92627936606368</v>
      </c>
      <c r="Y59" s="288">
        <v>269.87126140289683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324</v>
      </c>
      <c r="E60" s="68">
        <v>61.110829409089718</v>
      </c>
      <c r="F60" s="69">
        <v>469.62425060416473</v>
      </c>
      <c r="G60" s="316" t="s">
        <v>412</v>
      </c>
      <c r="H60" s="317">
        <f t="array" ref="H60:J60">LINEST(E59:E62,D59:D62^{1,2})</f>
        <v>1.3159831517958962E-4</v>
      </c>
      <c r="I60" s="317">
        <v>-6.155995211310706E-2</v>
      </c>
      <c r="J60" s="317">
        <v>67.562262537292582</v>
      </c>
      <c r="K60" s="318">
        <f>$H$60*AC34^2+$I$60*AC34+$J$60</f>
        <v>61.525593387938109</v>
      </c>
      <c r="M60" s="12"/>
      <c r="N60" s="67">
        <v>318.57365469368182</v>
      </c>
      <c r="O60" s="68">
        <v>81.06411222486777</v>
      </c>
      <c r="P60" s="69">
        <v>470.18898951735156</v>
      </c>
      <c r="Q60" s="129" t="s">
        <v>412</v>
      </c>
      <c r="R60">
        <f t="array" ref="R60:T60">LINEST(O59:O62,N59:N62^{1,2})</f>
        <v>4.3665763317716743E-5</v>
      </c>
      <c r="S60">
        <v>-2.5165414473464579E-4</v>
      </c>
      <c r="T60" s="24">
        <v>76.678071775380687</v>
      </c>
      <c r="U60" s="84">
        <f>$R$60*AC34^2+$S$60*AC34+$T$60</f>
        <v>77.497528583381694</v>
      </c>
      <c r="W60" s="232"/>
      <c r="X60" s="17">
        <v>207.42294296613554</v>
      </c>
      <c r="Y60" s="289">
        <v>344.24106644222212</v>
      </c>
      <c r="AM60" s="228" t="s">
        <v>3</v>
      </c>
      <c r="AN60" s="287">
        <v>149.92627936606368</v>
      </c>
      <c r="AO60" s="288">
        <v>722.42610700384864</v>
      </c>
    </row>
    <row r="61" spans="3:42" x14ac:dyDescent="0.15">
      <c r="C61" s="12"/>
      <c r="D61" s="67">
        <v>292.5</v>
      </c>
      <c r="E61" s="68">
        <v>60.985409403702306</v>
      </c>
      <c r="F61" s="69">
        <v>439.47511337645165</v>
      </c>
      <c r="G61" s="129" t="s">
        <v>423</v>
      </c>
      <c r="H61">
        <f t="array" ref="H61:I61">LINEST(E59:E62,D59:D62)</f>
        <v>9.0496559967216238E-3</v>
      </c>
      <c r="I61">
        <v>58.558672170948562</v>
      </c>
      <c r="K61" s="298">
        <f>H61*$AC$34+I61</f>
        <v>59.824746623464208</v>
      </c>
      <c r="M61" s="12"/>
      <c r="N61" s="67">
        <v>289.31281640836551</v>
      </c>
      <c r="O61" s="68">
        <v>80.236796311049133</v>
      </c>
      <c r="P61" s="69">
        <v>441.0612450801093</v>
      </c>
      <c r="Q61" s="129" t="s">
        <v>420</v>
      </c>
      <c r="R61">
        <f t="array" ref="R61:S61">LINEST(O59:O62,N59:N62)</f>
        <v>2.365077806030259E-2</v>
      </c>
      <c r="S61">
        <v>73.539201191246732</v>
      </c>
      <c r="T61" s="24"/>
      <c r="U61" s="84">
        <f>R61*AC34+S61</f>
        <v>76.848017116969686</v>
      </c>
      <c r="W61" s="232"/>
      <c r="X61" s="17">
        <v>261.10737691631488</v>
      </c>
      <c r="Y61" s="289">
        <v>404.74934395940249</v>
      </c>
      <c r="AM61" s="232"/>
      <c r="AN61" s="17">
        <v>207.42294296613554</v>
      </c>
      <c r="AO61" s="289">
        <v>739.53034803011769</v>
      </c>
    </row>
    <row r="62" spans="3:42" x14ac:dyDescent="0.15">
      <c r="C62" s="14"/>
      <c r="D62" s="67">
        <v>199.8</v>
      </c>
      <c r="E62" s="68">
        <v>60.500427442168004</v>
      </c>
      <c r="F62" s="69">
        <v>336.60814408776122</v>
      </c>
      <c r="G62" s="297" t="s">
        <v>462</v>
      </c>
      <c r="H62" s="2">
        <f t="array" ref="H62:I62">LINEST(E59:E62,LN(D59:D62))</f>
        <v>2.2906023494137728</v>
      </c>
      <c r="I62" s="2">
        <v>48.243889943890657</v>
      </c>
      <c r="K62" s="298">
        <f>H62*LN($AC$34)+I62</f>
        <v>59.561640854076771</v>
      </c>
      <c r="M62" s="14"/>
      <c r="N62" s="67">
        <v>207.42294296613554</v>
      </c>
      <c r="O62" s="68">
        <v>78.507118643238755</v>
      </c>
      <c r="P62" s="69">
        <v>345.32573641349239</v>
      </c>
      <c r="Q62" s="297" t="s">
        <v>462</v>
      </c>
      <c r="R62" s="2">
        <f t="array" ref="R62:S62">LINEST(O59:O62,LN(N59:N62))</f>
        <v>6.2823703283303383</v>
      </c>
      <c r="S62" s="2">
        <v>44.892705372702324</v>
      </c>
      <c r="T62" s="24"/>
      <c r="U62" s="84">
        <f>R62*LN(AC34)+S62</f>
        <v>75.933580939683182</v>
      </c>
      <c r="W62" s="232"/>
      <c r="X62" s="17">
        <v>289.31281640836551</v>
      </c>
      <c r="Y62" s="289">
        <v>441.21443337830112</v>
      </c>
      <c r="AM62" s="232"/>
      <c r="AN62" s="17">
        <v>261.10737691631488</v>
      </c>
      <c r="AO62" s="289">
        <v>717.88057288445566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17">
        <v>320.54086242225918</v>
      </c>
      <c r="Y63" s="289">
        <v>476.01090864587957</v>
      </c>
      <c r="AM63" s="232"/>
      <c r="AN63" s="17">
        <v>289.31281640836551</v>
      </c>
      <c r="AO63" s="289">
        <v>675.41900858718213</v>
      </c>
    </row>
    <row r="64" spans="3:42" x14ac:dyDescent="0.15">
      <c r="C64" s="10" t="s">
        <v>408</v>
      </c>
      <c r="D64" s="67">
        <v>281.5</v>
      </c>
      <c r="E64" s="68">
        <v>58.24228272767192</v>
      </c>
      <c r="F64" s="69">
        <v>289.3769446226944</v>
      </c>
      <c r="H64" t="s">
        <v>4</v>
      </c>
      <c r="I64" t="s">
        <v>5</v>
      </c>
      <c r="K64" s="298"/>
      <c r="M64" s="10" t="s">
        <v>408</v>
      </c>
      <c r="N64" s="67">
        <v>283.96765425773657</v>
      </c>
      <c r="O64" s="68">
        <v>77.735360552640628</v>
      </c>
      <c r="P64" s="69">
        <v>293.36943783656</v>
      </c>
      <c r="R64" t="s">
        <v>4</v>
      </c>
      <c r="S64" t="s">
        <v>5</v>
      </c>
      <c r="T64" s="24" t="s">
        <v>6</v>
      </c>
      <c r="U64" s="3"/>
      <c r="W64" s="232"/>
      <c r="X64" s="17">
        <v>348.77932335192918</v>
      </c>
      <c r="Y64" s="289">
        <v>508.64545939713418</v>
      </c>
      <c r="AM64" s="232"/>
      <c r="AN64" s="17">
        <v>320.54086242225918</v>
      </c>
      <c r="AO64" s="289">
        <v>623.23687622746013</v>
      </c>
    </row>
    <row r="65" spans="3:41" x14ac:dyDescent="0.15">
      <c r="C65" s="12"/>
      <c r="D65" s="67">
        <v>263.3</v>
      </c>
      <c r="E65" s="68">
        <v>57.721583476668464</v>
      </c>
      <c r="F65" s="69">
        <v>271.22877794721762</v>
      </c>
      <c r="G65" s="316" t="s">
        <v>412</v>
      </c>
      <c r="H65" s="317">
        <f t="array" ref="H65:J65">LINEST(E64:E67,D64:D67^{1,2})</f>
        <v>6.9041931714994414E-5</v>
      </c>
      <c r="I65" s="317">
        <v>-8.99369941815387E-3</v>
      </c>
      <c r="J65" s="317">
        <v>55.303034341627615</v>
      </c>
      <c r="K65" s="318">
        <f>$H$65*AC35^2+$I$65*AC35+$J$65</f>
        <v>55.16626740760006</v>
      </c>
      <c r="M65" s="12"/>
      <c r="N65" s="67">
        <v>261.96983501546862</v>
      </c>
      <c r="O65" s="68">
        <v>76.862945314317813</v>
      </c>
      <c r="P65" s="69">
        <v>272.85889494484417</v>
      </c>
      <c r="Q65" s="129" t="s">
        <v>412</v>
      </c>
      <c r="R65">
        <f t="array" ref="R65:T65">LINEST(O64:O67,N64:N67^{1,2})</f>
        <v>8.8477708060310498E-5</v>
      </c>
      <c r="S65">
        <v>-1.0385446984018065E-2</v>
      </c>
      <c r="T65" s="24">
        <v>73.537970177100874</v>
      </c>
      <c r="U65" s="84">
        <f>$R$65*AC35^2+$S$65*AC35+$T$65</f>
        <v>73.491167848340339</v>
      </c>
      <c r="W65" s="232"/>
      <c r="X65" s="17">
        <v>318.57365469368182</v>
      </c>
      <c r="Y65" s="289">
        <v>470.25008534934227</v>
      </c>
      <c r="AM65" s="232"/>
      <c r="AN65" s="17">
        <v>348.77932335192918</v>
      </c>
      <c r="AO65" s="289">
        <v>572.2874906916403</v>
      </c>
    </row>
    <row r="66" spans="3:41" x14ac:dyDescent="0.15">
      <c r="C66" s="12"/>
      <c r="D66" s="67">
        <v>237.6</v>
      </c>
      <c r="E66" s="68">
        <v>57.063736576510934</v>
      </c>
      <c r="F66" s="69">
        <v>247.39903203589208</v>
      </c>
      <c r="G66" s="129" t="s">
        <v>423</v>
      </c>
      <c r="H66">
        <f t="array" ref="H66:I66">LINEST(E64:E67,D64:D67)</f>
        <v>2.1304908406853763E-2</v>
      </c>
      <c r="I66">
        <v>52.137799277665401</v>
      </c>
      <c r="K66" s="298">
        <f>H66*$AC$35+I66</f>
        <v>54.538542567646942</v>
      </c>
      <c r="M66" s="12"/>
      <c r="N66" s="67">
        <v>234.55670322791551</v>
      </c>
      <c r="O66" s="68">
        <v>75.986323411337054</v>
      </c>
      <c r="P66" s="69">
        <v>250.0642668033866</v>
      </c>
      <c r="Q66" s="129" t="s">
        <v>420</v>
      </c>
      <c r="R66">
        <f t="array" ref="R66:S66">LINEST(O64:O67,N64:N67)</f>
        <v>2.9048929500162052E-2</v>
      </c>
      <c r="S66">
        <v>69.331403523358659</v>
      </c>
      <c r="T66" s="24"/>
      <c r="U66" s="84">
        <f>R66*$AC$35+S66</f>
        <v>72.604781716161682</v>
      </c>
      <c r="W66" s="290"/>
      <c r="X66" s="18">
        <v>347.55882244303535</v>
      </c>
      <c r="Y66" s="291">
        <v>500.70540336719438</v>
      </c>
      <c r="AM66" s="232"/>
      <c r="AN66" s="17">
        <v>318.57365469368182</v>
      </c>
      <c r="AO66" s="289">
        <v>618.04528681032571</v>
      </c>
    </row>
    <row r="67" spans="3:41" ht="14" thickBot="1" x14ac:dyDescent="0.2">
      <c r="C67" s="14"/>
      <c r="D67" s="67">
        <v>163.80000000000001</v>
      </c>
      <c r="E67" s="68">
        <v>55.682298664375324</v>
      </c>
      <c r="F67" s="69">
        <v>188.57183219107492</v>
      </c>
      <c r="G67" s="297" t="s">
        <v>462</v>
      </c>
      <c r="H67" s="2">
        <f t="array" ref="H67:I67">LINEST(E64:E67,LN(D64:D67))</f>
        <v>4.5248871319092387</v>
      </c>
      <c r="I67" s="2">
        <v>32.536454438084718</v>
      </c>
      <c r="K67" s="298">
        <f>H67*LN($AC$35)+I67</f>
        <v>53.914718917893403</v>
      </c>
      <c r="M67" s="14"/>
      <c r="N67" s="67">
        <v>167.45120469341205</v>
      </c>
      <c r="O67" s="68">
        <v>74.277783828246243</v>
      </c>
      <c r="P67" s="69">
        <v>194.61310189169498</v>
      </c>
      <c r="Q67" s="297" t="s">
        <v>462</v>
      </c>
      <c r="R67" s="2">
        <f t="array" ref="R67:S67">LINEST(O64:O67,LN(N64:N67))</f>
        <v>6.2653954627769073</v>
      </c>
      <c r="S67" s="2">
        <v>42.076279375547109</v>
      </c>
      <c r="T67" s="24"/>
      <c r="U67" s="84">
        <f>R67*LN($AC$35)+S67</f>
        <v>71.677742874885666</v>
      </c>
      <c r="W67" s="236"/>
      <c r="X67" s="292">
        <v>88.39543467590552</v>
      </c>
      <c r="Y67" s="293">
        <v>219.51717363439141</v>
      </c>
      <c r="AM67" s="290"/>
      <c r="AN67" s="18">
        <v>347.55882244303535</v>
      </c>
      <c r="AO67" s="291">
        <v>562.76723154802846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7"/>
      <c r="Y68" s="13"/>
      <c r="AM68" s="236"/>
      <c r="AN68" s="292">
        <v>88.39543467590552</v>
      </c>
      <c r="AO68" s="293">
        <v>748.22122088951073</v>
      </c>
    </row>
    <row r="69" spans="3:41" ht="14" thickBot="1" x14ac:dyDescent="0.2">
      <c r="C69" s="10" t="s">
        <v>409</v>
      </c>
      <c r="D69" s="67">
        <v>199.7</v>
      </c>
      <c r="E69" s="68">
        <v>52.054568508290444</v>
      </c>
      <c r="F69" s="69">
        <v>128.69163767750064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196.59593379240673</v>
      </c>
      <c r="O69" s="68">
        <v>70.294486455567011</v>
      </c>
      <c r="P69" s="69">
        <v>120.34652098211106</v>
      </c>
      <c r="R69" t="s">
        <v>4</v>
      </c>
      <c r="S69" t="s">
        <v>5</v>
      </c>
      <c r="T69" s="24" t="s">
        <v>6</v>
      </c>
      <c r="U69" s="3"/>
      <c r="W69" s="12"/>
      <c r="X69" s="16" t="s">
        <v>13</v>
      </c>
      <c r="Y69" s="11" t="s">
        <v>49</v>
      </c>
      <c r="AM69" s="12"/>
      <c r="AN69" s="17"/>
      <c r="AO69" s="13"/>
    </row>
    <row r="70" spans="3:41" ht="14" thickBot="1" x14ac:dyDescent="0.2">
      <c r="C70" s="12"/>
      <c r="D70" s="67">
        <v>189.6</v>
      </c>
      <c r="E70" s="68">
        <v>50.877843425757796</v>
      </c>
      <c r="F70" s="69">
        <v>112.55887039452776</v>
      </c>
      <c r="G70" s="316" t="s">
        <v>412</v>
      </c>
      <c r="H70" s="317">
        <f t="array" ref="H70:J70">LINEST(E69:E72,D69:D72^{1,2})</f>
        <v>6.5254221392761704E-4</v>
      </c>
      <c r="I70" s="317">
        <v>-0.18351921947972666</v>
      </c>
      <c r="J70" s="317">
        <v>62.513685753569391</v>
      </c>
      <c r="K70" s="318">
        <f>$H$70*AC36^2+$I$70*AC36+$J$70</f>
        <v>51.978067586130656</v>
      </c>
      <c r="M70" s="12"/>
      <c r="N70" s="67">
        <v>188.24966838990059</v>
      </c>
      <c r="O70" s="68">
        <v>70.39393478183564</v>
      </c>
      <c r="P70" s="69">
        <v>121.47322095590408</v>
      </c>
      <c r="Q70" s="129" t="s">
        <v>412</v>
      </c>
      <c r="R70">
        <f t="array" ref="R70:T70">LINEST(O69:O72,N69:N72^{1,2})</f>
        <v>6.1522633864861273E-5</v>
      </c>
      <c r="S70">
        <v>1.2551051384514608E-2</v>
      </c>
      <c r="T70" s="24">
        <v>65.60898642374967</v>
      </c>
      <c r="U70" s="84">
        <f>$R$70*AC36^2+$S$70*AC36+$T$70</f>
        <v>67.015443376837354</v>
      </c>
      <c r="W70" s="228" t="s">
        <v>404</v>
      </c>
      <c r="X70" s="287">
        <v>117.956213615922</v>
      </c>
      <c r="Y70" s="288">
        <v>149.69222564951269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172.1</v>
      </c>
      <c r="E71" s="68">
        <v>50.40068165114193</v>
      </c>
      <c r="F71" s="69">
        <v>106.12964882779858</v>
      </c>
      <c r="G71" s="129" t="s">
        <v>423</v>
      </c>
      <c r="H71">
        <f t="array" ref="H71:I71">LINEST(E69:E72,D69:D72)</f>
        <v>1.9689976514100441E-2</v>
      </c>
      <c r="I71">
        <v>47.493587888608069</v>
      </c>
      <c r="K71" s="298">
        <f>H71*$AC$36+I71</f>
        <v>49.076363946085927</v>
      </c>
      <c r="M71" s="12"/>
      <c r="N71" s="67">
        <v>164.38494862120547</v>
      </c>
      <c r="O71" s="68">
        <v>69.238525709591201</v>
      </c>
      <c r="P71" s="69">
        <v>108.17336872060635</v>
      </c>
      <c r="Q71" s="129" t="s">
        <v>420</v>
      </c>
      <c r="R71">
        <f t="array" ref="R71:S71">LINEST(O69:O72,N69:N72)</f>
        <v>3.1870958627067944E-2</v>
      </c>
      <c r="S71">
        <v>64.153635278266677</v>
      </c>
      <c r="T71" s="24"/>
      <c r="U71" s="84">
        <f>R71*AC36+S71</f>
        <v>66.715577909720096</v>
      </c>
      <c r="W71" s="232"/>
      <c r="X71" s="17">
        <v>167.45120469341205</v>
      </c>
      <c r="Y71" s="289">
        <v>194.21295707561856</v>
      </c>
      <c r="AM71" s="228" t="s">
        <v>404</v>
      </c>
      <c r="AN71" s="287">
        <v>117.956213615922</v>
      </c>
      <c r="AO71" s="288">
        <v>480.47740951140975</v>
      </c>
    </row>
    <row r="72" spans="3:41" x14ac:dyDescent="0.15">
      <c r="C72" s="14"/>
      <c r="D72" s="67">
        <v>116.3</v>
      </c>
      <c r="E72" s="68">
        <v>49.985155052847965</v>
      </c>
      <c r="F72" s="69">
        <v>85.326812740785954</v>
      </c>
      <c r="G72" s="297" t="s">
        <v>462</v>
      </c>
      <c r="H72" s="2">
        <f t="array" ref="H72:I72">LINEST(E69:E72,LN(D69:D72))</f>
        <v>2.8809246720542263</v>
      </c>
      <c r="I72" s="2">
        <v>36.103728955610414</v>
      </c>
      <c r="K72" s="298">
        <f>H72*LN($AC$36)+I72</f>
        <v>48.741843873494318</v>
      </c>
      <c r="M72" s="14"/>
      <c r="N72" s="67">
        <v>119.65707821171999</v>
      </c>
      <c r="O72" s="68">
        <v>68.005684116574912</v>
      </c>
      <c r="P72" s="69">
        <v>85.810867205336919</v>
      </c>
      <c r="Q72" s="297" t="s">
        <v>462</v>
      </c>
      <c r="R72" s="2">
        <f t="array" ref="R72:S72">LINEST(O69:O72,LN(N69:N72))</f>
        <v>4.8783884094532386</v>
      </c>
      <c r="S72" s="2">
        <v>44.596351357752141</v>
      </c>
      <c r="T72" s="24"/>
      <c r="U72" s="84">
        <f>R72*LN($AC$36)+S72</f>
        <v>65.996991898895189</v>
      </c>
      <c r="W72" s="232"/>
      <c r="X72" s="17">
        <v>209.867282129915</v>
      </c>
      <c r="Y72" s="289">
        <v>226.86308284600184</v>
      </c>
      <c r="AM72" s="232"/>
      <c r="AN72" s="17">
        <v>167.45120469341205</v>
      </c>
      <c r="AO72" s="289">
        <v>499.25319556455048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17">
        <v>234.55670322791551</v>
      </c>
      <c r="Y73" s="289">
        <v>250.01490513085002</v>
      </c>
      <c r="AM73" s="232"/>
      <c r="AN73" s="17">
        <v>209.867282129915</v>
      </c>
      <c r="AO73" s="289">
        <v>489.60273417160482</v>
      </c>
    </row>
    <row r="74" spans="3:41" x14ac:dyDescent="0.15">
      <c r="C74" s="10" t="s">
        <v>410</v>
      </c>
      <c r="D74" s="67">
        <v>120.9</v>
      </c>
      <c r="E74" s="68">
        <v>42.714217266282517</v>
      </c>
      <c r="F74" s="69">
        <v>42.308179527845539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120.06691977873932</v>
      </c>
      <c r="O74" s="68">
        <v>60.277409039035533</v>
      </c>
      <c r="P74" s="69">
        <v>42.25542567916542</v>
      </c>
      <c r="R74" t="s">
        <v>4</v>
      </c>
      <c r="S74" t="s">
        <v>5</v>
      </c>
      <c r="T74" s="24" t="s">
        <v>6</v>
      </c>
      <c r="W74" s="232"/>
      <c r="X74" s="17">
        <v>285.05414656505906</v>
      </c>
      <c r="Y74" s="289">
        <v>291.75989245361296</v>
      </c>
      <c r="AM74" s="232"/>
      <c r="AN74" s="17">
        <v>234.55670322791551</v>
      </c>
      <c r="AO74" s="289">
        <v>465.36220734164971</v>
      </c>
    </row>
    <row r="75" spans="3:41" x14ac:dyDescent="0.15">
      <c r="C75" s="12"/>
      <c r="D75" s="67">
        <v>111.7</v>
      </c>
      <c r="E75" s="68">
        <v>41.582199094486363</v>
      </c>
      <c r="F75" s="69">
        <v>40.495302050898424</v>
      </c>
      <c r="G75" s="316" t="s">
        <v>412</v>
      </c>
      <c r="H75" s="317">
        <f t="array" ref="H75:J75">LINEST(E74:E77,D74:D77^{1,2})</f>
        <v>1.902347406649211E-3</v>
      </c>
      <c r="I75" s="317">
        <v>-0.33291713030740883</v>
      </c>
      <c r="J75" s="317">
        <v>55.121889541939801</v>
      </c>
      <c r="K75" s="318">
        <f>$H$75*AC37^2+$I$75*AC37+$J$75</f>
        <v>43.165140049464647</v>
      </c>
      <c r="M75" s="12"/>
      <c r="N75" s="67">
        <v>110.21384224054002</v>
      </c>
      <c r="O75" s="68">
        <v>59.745318906529754</v>
      </c>
      <c r="P75" s="69">
        <v>41.173680053971971</v>
      </c>
      <c r="R75">
        <f t="array" ref="R75:T75">LINEST(O74:O77,N74:N77^{1,2})</f>
        <v>3.2824702902644714E-4</v>
      </c>
      <c r="S75">
        <v>-1.7144705829168654E-2</v>
      </c>
      <c r="T75" s="24">
        <v>57.615783132893725</v>
      </c>
      <c r="U75" s="84">
        <f>$R$75*AC37^2+$S$75*AC37+$T$75</f>
        <v>57.586621253672838</v>
      </c>
      <c r="W75" s="232"/>
      <c r="X75" s="17">
        <v>262.71629311714196</v>
      </c>
      <c r="Y75" s="289">
        <v>272.36127011804143</v>
      </c>
      <c r="AM75" s="232"/>
      <c r="AN75" s="17">
        <v>285.05414656505906</v>
      </c>
      <c r="AO75" s="289">
        <v>405.83209680812467</v>
      </c>
    </row>
    <row r="76" spans="3:41" x14ac:dyDescent="0.15">
      <c r="C76" s="12"/>
      <c r="D76" s="67">
        <v>102.2</v>
      </c>
      <c r="E76" s="68">
        <v>41.026264842676959</v>
      </c>
      <c r="F76" s="69">
        <v>37.460548315091366</v>
      </c>
      <c r="G76" s="129" t="s">
        <v>423</v>
      </c>
      <c r="H76">
        <f t="array" ref="H76:I76">LINEST(E74:E77,D74:D77)</f>
        <v>3.5780633026119293E-2</v>
      </c>
      <c r="I76">
        <v>37.86855731228237</v>
      </c>
      <c r="K76" s="298">
        <f>H76*$AC$37+I76</f>
        <v>39.674436589674826</v>
      </c>
      <c r="M76" s="12"/>
      <c r="N76" s="67">
        <v>101.54208149102088</v>
      </c>
      <c r="O76" s="68">
        <v>59.237513523597116</v>
      </c>
      <c r="P76" s="69">
        <v>38.90352411116335</v>
      </c>
      <c r="Q76" s="129" t="s">
        <v>420</v>
      </c>
      <c r="R76">
        <f t="array" ref="R76:S76">LINEST(O74:O77,N74:N77)</f>
        <v>4.4751210043568197E-2</v>
      </c>
      <c r="S76">
        <v>54.820194958958702</v>
      </c>
      <c r="T76" s="24"/>
      <c r="U76" s="84">
        <f>R76*AC37+S76</f>
        <v>57.078826962392604</v>
      </c>
      <c r="W76" s="290"/>
      <c r="X76" s="18">
        <v>261.96983501546862</v>
      </c>
      <c r="Y76" s="291">
        <v>272.86710131104024</v>
      </c>
      <c r="AM76" s="232"/>
      <c r="AN76" s="17">
        <v>262.71629311714196</v>
      </c>
      <c r="AO76" s="289">
        <v>432.65135686837277</v>
      </c>
    </row>
    <row r="77" spans="3:41" x14ac:dyDescent="0.15">
      <c r="C77" s="14"/>
      <c r="D77" s="67">
        <v>75.400000000000006</v>
      </c>
      <c r="E77" s="68">
        <v>40.82876371299777</v>
      </c>
      <c r="F77" s="69">
        <v>31.856143614151943</v>
      </c>
      <c r="G77" s="297" t="s">
        <v>462</v>
      </c>
      <c r="H77" s="2">
        <f t="array" ref="H77:I77">LINEST(E74:E77,LN(D74:D77))</f>
        <v>3.2580688437372398</v>
      </c>
      <c r="I77" s="2">
        <v>26.501450441601413</v>
      </c>
      <c r="J77" s="25"/>
      <c r="K77" s="298">
        <f>H77*LN($AC$37)+I77</f>
        <v>39.277628952211529</v>
      </c>
      <c r="M77" s="14"/>
      <c r="N77" s="67">
        <v>71.51080035745774</v>
      </c>
      <c r="O77" s="68">
        <v>58.0702069810362</v>
      </c>
      <c r="P77" s="69">
        <v>32.284243019271635</v>
      </c>
      <c r="Q77" s="297" t="s">
        <v>462</v>
      </c>
      <c r="R77" s="2">
        <f t="array" ref="R77:S77">LINEST(O74:O77,LN(N74:N77))</f>
        <v>4.0905879464247681</v>
      </c>
      <c r="S77" s="2">
        <v>40.53554897522703</v>
      </c>
      <c r="T77" s="26"/>
      <c r="U77" s="84">
        <f>R77*LN($AC$37)+S77</f>
        <v>56.576364661897586</v>
      </c>
      <c r="W77" s="232"/>
      <c r="X77" s="17">
        <v>283.96765425773657</v>
      </c>
      <c r="Y77" s="289">
        <v>293.34861075163002</v>
      </c>
      <c r="AM77" s="290"/>
      <c r="AN77" s="18">
        <v>261.96983501546862</v>
      </c>
      <c r="AO77" s="291">
        <v>433.6376239036544</v>
      </c>
    </row>
    <row r="78" spans="3:41" ht="14" thickBot="1" x14ac:dyDescent="0.2">
      <c r="W78" s="236"/>
      <c r="X78" s="292">
        <v>69.746589293639971</v>
      </c>
      <c r="Y78" s="293">
        <v>122.34343264857729</v>
      </c>
      <c r="AM78" s="232"/>
      <c r="AN78" s="17">
        <v>283.96765425773657</v>
      </c>
      <c r="AO78" s="289">
        <v>410.00831718529457</v>
      </c>
    </row>
    <row r="79" spans="3:41" ht="14" thickBot="1" x14ac:dyDescent="0.2">
      <c r="F79" s="5"/>
      <c r="W79" s="12"/>
      <c r="X79" s="17"/>
      <c r="Y79" s="13"/>
      <c r="AM79" s="236"/>
      <c r="AN79" s="292"/>
      <c r="AO79" s="293"/>
    </row>
    <row r="80" spans="3:41" ht="14" thickBot="1" x14ac:dyDescent="0.2">
      <c r="F80" s="5"/>
      <c r="W80" s="12"/>
      <c r="X80" s="16" t="s">
        <v>13</v>
      </c>
      <c r="Y80" s="11" t="s">
        <v>49</v>
      </c>
      <c r="AM80" s="12"/>
      <c r="AN80" s="17"/>
      <c r="AO80" s="13"/>
    </row>
    <row r="81" spans="6:41" ht="14" thickBot="1" x14ac:dyDescent="0.2">
      <c r="F81" s="5"/>
      <c r="W81" s="228" t="s">
        <v>411</v>
      </c>
      <c r="X81" s="287">
        <v>81.276712462616203</v>
      </c>
      <c r="Y81" s="288">
        <v>68.338082142436136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17">
        <v>119.65707821171999</v>
      </c>
      <c r="Y82" s="289">
        <v>85.817945626993549</v>
      </c>
      <c r="AM82" s="228" t="s">
        <v>411</v>
      </c>
      <c r="AN82" s="287">
        <v>81.276712462616203</v>
      </c>
      <c r="AO82" s="288">
        <v>265.00501232977552</v>
      </c>
    </row>
    <row r="83" spans="6:41" x14ac:dyDescent="0.15">
      <c r="W83" s="232"/>
      <c r="X83" s="17">
        <v>150.59712190136415</v>
      </c>
      <c r="Y83" s="289">
        <v>100.58211420649553</v>
      </c>
      <c r="AM83" s="232"/>
      <c r="AN83" s="17">
        <v>119.65707821171999</v>
      </c>
      <c r="AO83" s="289">
        <v>275.72121747030798</v>
      </c>
    </row>
    <row r="84" spans="6:41" x14ac:dyDescent="0.15">
      <c r="W84" s="232"/>
      <c r="X84" s="17">
        <v>164.38494862120547</v>
      </c>
      <c r="Y84" s="289">
        <v>108.18499603886791</v>
      </c>
      <c r="AM84" s="232"/>
      <c r="AN84" s="17">
        <v>150.59712190136415</v>
      </c>
      <c r="AO84" s="289">
        <v>277.98938334266228</v>
      </c>
    </row>
    <row r="85" spans="6:41" x14ac:dyDescent="0.15">
      <c r="W85" s="232"/>
      <c r="X85" s="17">
        <v>191.8026926749649</v>
      </c>
      <c r="Y85" s="289">
        <v>122.06707576044337</v>
      </c>
      <c r="AM85" s="232"/>
      <c r="AN85" s="17">
        <v>164.38494862120547</v>
      </c>
      <c r="AO85" s="289">
        <v>260.1718305683068</v>
      </c>
    </row>
    <row r="86" spans="6:41" x14ac:dyDescent="0.15">
      <c r="W86" s="232"/>
      <c r="X86" s="17">
        <v>202.10154643378257</v>
      </c>
      <c r="Y86" s="289">
        <v>127.03579746433738</v>
      </c>
      <c r="AM86" s="232"/>
      <c r="AN86" s="17">
        <v>191.8026926749649</v>
      </c>
      <c r="AO86" s="289">
        <v>256.38645724089372</v>
      </c>
    </row>
    <row r="87" spans="6:41" x14ac:dyDescent="0.15">
      <c r="F87" s="5"/>
      <c r="W87" s="290"/>
      <c r="X87" s="18">
        <v>188.24966838990059</v>
      </c>
      <c r="Y87" s="291">
        <v>121.47438704053738</v>
      </c>
      <c r="AM87" s="232"/>
      <c r="AN87" s="17">
        <v>202.10154643378257</v>
      </c>
      <c r="AO87" s="289">
        <v>247.75451315166487</v>
      </c>
    </row>
    <row r="88" spans="6:41" ht="14" thickBot="1" x14ac:dyDescent="0.2">
      <c r="F88" s="5"/>
      <c r="W88" s="236"/>
      <c r="X88" s="292">
        <v>196.59593379240673</v>
      </c>
      <c r="Y88" s="293">
        <v>120.34526296527847</v>
      </c>
      <c r="AM88" s="290"/>
      <c r="AN88" s="18">
        <v>188.24966838990059</v>
      </c>
      <c r="AO88" s="291">
        <v>256.27772092943292</v>
      </c>
    </row>
    <row r="89" spans="6:41" ht="14" thickBot="1" x14ac:dyDescent="0.2">
      <c r="F89" s="5"/>
      <c r="W89" s="12"/>
      <c r="X89" s="17"/>
      <c r="Y89" s="13"/>
      <c r="AM89" s="236"/>
      <c r="AN89" s="292">
        <v>196.59593379240673</v>
      </c>
      <c r="AO89" s="293">
        <v>237.96625636891571</v>
      </c>
    </row>
    <row r="90" spans="6:41" ht="14" thickBot="1" x14ac:dyDescent="0.2">
      <c r="F90" s="5"/>
      <c r="W90" s="12"/>
      <c r="X90" s="17"/>
      <c r="Y90" s="13"/>
      <c r="AM90" s="12"/>
      <c r="AN90" s="17"/>
      <c r="AO90" s="13"/>
    </row>
    <row r="91" spans="6:41" ht="14" thickBot="1" x14ac:dyDescent="0.2">
      <c r="F91" s="5"/>
      <c r="W91" s="228"/>
      <c r="X91" s="320" t="s">
        <v>13</v>
      </c>
      <c r="Y91" s="321" t="s">
        <v>49</v>
      </c>
      <c r="AM91" s="12"/>
      <c r="AN91" s="17"/>
      <c r="AO91" s="13"/>
    </row>
    <row r="92" spans="6:41" x14ac:dyDescent="0.15">
      <c r="F92" s="5"/>
      <c r="W92" s="322" t="s">
        <v>409</v>
      </c>
      <c r="X92" s="19">
        <v>49.906264553821721</v>
      </c>
      <c r="Y92" s="323">
        <v>27.789129554462839</v>
      </c>
      <c r="AM92" s="228"/>
      <c r="AN92" s="320" t="s">
        <v>13</v>
      </c>
      <c r="AO92" s="11" t="s">
        <v>516</v>
      </c>
    </row>
    <row r="93" spans="6:41" x14ac:dyDescent="0.15">
      <c r="F93" s="5"/>
      <c r="W93" s="232"/>
      <c r="X93" s="17">
        <v>71.51080035745774</v>
      </c>
      <c r="Y93" s="289">
        <v>32.284696155606284</v>
      </c>
      <c r="AM93" s="322" t="s">
        <v>517</v>
      </c>
      <c r="AN93" s="19">
        <v>49.906264553821721</v>
      </c>
      <c r="AO93" s="323">
        <v>115.4382451776105</v>
      </c>
    </row>
    <row r="94" spans="6:41" x14ac:dyDescent="0.15">
      <c r="F94" s="5"/>
      <c r="W94" s="232"/>
      <c r="X94" s="17">
        <v>90.043158959485879</v>
      </c>
      <c r="Y94" s="289">
        <v>35.64020826027015</v>
      </c>
      <c r="AM94" s="232"/>
      <c r="AN94" s="17">
        <v>71.51080035745774</v>
      </c>
      <c r="AO94" s="289">
        <v>116.49698561821329</v>
      </c>
    </row>
    <row r="95" spans="6:41" x14ac:dyDescent="0.15">
      <c r="F95" s="5"/>
      <c r="W95" s="232"/>
      <c r="X95" s="17">
        <v>101.54208149102088</v>
      </c>
      <c r="Y95" s="289">
        <v>38.902321225263641</v>
      </c>
      <c r="AM95" s="232"/>
      <c r="AN95" s="17">
        <v>90.043158959485879</v>
      </c>
      <c r="AO95" s="289">
        <v>119.17840227299482</v>
      </c>
    </row>
    <row r="96" spans="6:41" x14ac:dyDescent="0.15">
      <c r="F96" s="5"/>
      <c r="W96" s="232"/>
      <c r="X96" s="17">
        <v>119.0326314099045</v>
      </c>
      <c r="Y96" s="289">
        <v>42.421503042537594</v>
      </c>
      <c r="AM96" s="232"/>
      <c r="AN96" s="17">
        <v>101.54208149102088</v>
      </c>
      <c r="AO96" s="289">
        <v>118.07500366378952</v>
      </c>
    </row>
    <row r="97" spans="6:41" x14ac:dyDescent="0.15">
      <c r="F97" s="5"/>
      <c r="W97" s="232"/>
      <c r="X97" s="17">
        <v>110.21384224054002</v>
      </c>
      <c r="Y97" s="289">
        <v>41.173887650695342</v>
      </c>
      <c r="AM97" s="232"/>
      <c r="AN97" s="17">
        <v>119.0326314099045</v>
      </c>
      <c r="AO97" s="289">
        <v>114.88763761184336</v>
      </c>
    </row>
    <row r="98" spans="6:41" ht="14" thickBot="1" x14ac:dyDescent="0.2">
      <c r="F98" s="5"/>
      <c r="W98" s="236"/>
      <c r="X98" s="292">
        <v>120.06691977873932</v>
      </c>
      <c r="Y98" s="293">
        <v>42.255082918151238</v>
      </c>
      <c r="AM98" s="232"/>
      <c r="AN98" s="17">
        <v>110.21384224054002</v>
      </c>
      <c r="AO98" s="289">
        <v>116.44711487432268</v>
      </c>
    </row>
    <row r="99" spans="6:41" ht="14" thickBot="1" x14ac:dyDescent="0.2">
      <c r="F99" s="5"/>
      <c r="AM99" s="236"/>
      <c r="AN99" s="292">
        <v>120.06691977873932</v>
      </c>
      <c r="AO99" s="293">
        <v>113.88939116261066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3C19F-F00E-4520-91FA-2D21F4E3F71F}">
  <sheetPr codeName="Taul16"/>
  <dimension ref="C1:AZ100"/>
  <sheetViews>
    <sheetView topLeftCell="L1" zoomScale="70" zoomScaleNormal="70" workbookViewId="0">
      <selection activeCell="AP17" sqref="AP17"/>
    </sheetView>
  </sheetViews>
  <sheetFormatPr baseColWidth="10" defaultColWidth="8.83203125" defaultRowHeight="13" x14ac:dyDescent="0.15"/>
  <cols>
    <col min="7" max="7" width="10.5" customWidth="1"/>
    <col min="16" max="16" width="10.83203125" customWidth="1"/>
    <col min="17" max="17" width="12.33203125" bestFit="1" customWidth="1"/>
    <col min="18" max="18" width="12.6640625" bestFit="1" customWidth="1"/>
    <col min="19" max="20" width="9" bestFit="1" customWidth="1"/>
    <col min="22" max="22" width="13" customWidth="1"/>
    <col min="25" max="25" width="10" customWidth="1"/>
  </cols>
  <sheetData>
    <row r="1" spans="3:34" x14ac:dyDescent="0.15">
      <c r="P1" t="s">
        <v>518</v>
      </c>
    </row>
    <row r="2" spans="3:34" x14ac:dyDescent="0.15">
      <c r="C2" s="2" t="s">
        <v>59</v>
      </c>
      <c r="J2" t="s">
        <v>15</v>
      </c>
      <c r="P2" s="259">
        <f t="array" ref="P2:R2">LINEST(AL34:AL37,AC34:AC37^{1,2})</f>
        <v>3.2210854484053038E-2</v>
      </c>
      <c r="Q2" s="259">
        <v>0.33753758405126572</v>
      </c>
      <c r="R2" s="259">
        <v>6.1866987027833602</v>
      </c>
      <c r="V2" t="s">
        <v>519</v>
      </c>
      <c r="W2" s="84">
        <f>P2*J3^2+Q2*J3+R2</f>
        <v>71.225569239318858</v>
      </c>
      <c r="X2" t="s">
        <v>14</v>
      </c>
    </row>
    <row r="3" spans="3:34" x14ac:dyDescent="0.15">
      <c r="J3" s="7">
        <f>Tulostus!G33</f>
        <v>40</v>
      </c>
      <c r="K3" t="s">
        <v>13</v>
      </c>
      <c r="L3" s="122">
        <f>Tulostus!G39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18.593682665033512</v>
      </c>
      <c r="Q5" s="52">
        <v>-33.811819640798269</v>
      </c>
      <c r="R5" t="s">
        <v>8</v>
      </c>
      <c r="T5" s="4"/>
      <c r="U5" s="39" t="s">
        <v>43</v>
      </c>
      <c r="V5" t="s">
        <v>8</v>
      </c>
      <c r="W5" s="9">
        <f>$P$5*LN($J$3)+$Q$5</f>
        <v>34.778034318558305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20.947747288314947</v>
      </c>
      <c r="Q6" s="52">
        <v>-27.382118021037741</v>
      </c>
      <c r="R6" t="s">
        <v>57</v>
      </c>
      <c r="T6" s="4"/>
      <c r="U6" s="39" t="s">
        <v>43</v>
      </c>
      <c r="V6" t="s">
        <v>57</v>
      </c>
      <c r="W6" s="9">
        <f>$P$6*LN($J$3)+$Q$6</f>
        <v>49.891596560798192</v>
      </c>
      <c r="X6" t="s">
        <v>31</v>
      </c>
      <c r="AA6" s="55">
        <v>25</v>
      </c>
      <c r="AB6" s="56">
        <f t="shared" ref="AB6:AB12" si="0">(-$D$9-SQRT($D$9^2-(4*$C$9*($E$9-AA6))))/(2*$C$9)</f>
        <v>387.02425293331947</v>
      </c>
      <c r="AC6" s="55">
        <v>20</v>
      </c>
      <c r="AD6" s="57">
        <f t="shared" ref="AD6:AD12" si="1">(-$D$14-SQRT($D$14^2-(4*$C$14*($E$14-AC6))))/(2*$C$14)</f>
        <v>322.84873701660229</v>
      </c>
      <c r="AE6" s="55">
        <v>10</v>
      </c>
      <c r="AF6" s="57">
        <f t="shared" ref="AF6:AF11" si="2">(-$D$19-SQRT($D$19^2-(4*$C$19*($E$19-AE6))))/(2*$C$19)</f>
        <v>231.45482058174542</v>
      </c>
      <c r="AG6" s="56">
        <v>10</v>
      </c>
      <c r="AH6" s="57">
        <f>(-$D$24-SQRT($D$24^2-(4*$C$24*($E$24-AG6))))/(2*$C$24)</f>
        <v>137.79479127749656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100</v>
      </c>
      <c r="AB7" s="56">
        <f t="shared" si="0"/>
        <v>368.06471553994226</v>
      </c>
      <c r="AC7" s="55">
        <v>50</v>
      </c>
      <c r="AD7" s="57">
        <f t="shared" si="1"/>
        <v>312.4056077515325</v>
      </c>
      <c r="AE7" s="55">
        <v>50</v>
      </c>
      <c r="AF7" s="57">
        <f t="shared" si="2"/>
        <v>211.56213987435652</v>
      </c>
      <c r="AG7" s="56">
        <v>20</v>
      </c>
      <c r="AH7" s="57">
        <f>(-$D$24-SQRT($D$24^2-(4*$C$24*($E$24-AG7))))/(2*$C$24)</f>
        <v>129.5056281141523</v>
      </c>
    </row>
    <row r="8" spans="3:34" x14ac:dyDescent="0.15">
      <c r="C8" t="s">
        <v>4</v>
      </c>
      <c r="D8" t="s">
        <v>5</v>
      </c>
      <c r="E8" t="s">
        <v>6</v>
      </c>
      <c r="P8" s="2" t="s">
        <v>41</v>
      </c>
      <c r="T8" s="4" t="s">
        <v>418</v>
      </c>
      <c r="U8" s="5"/>
      <c r="AA8" s="55">
        <v>200</v>
      </c>
      <c r="AB8" s="56">
        <f t="shared" si="0"/>
        <v>340.58746162202522</v>
      </c>
      <c r="AC8" s="55">
        <v>100</v>
      </c>
      <c r="AD8" s="57">
        <f t="shared" si="1"/>
        <v>294.04327330941805</v>
      </c>
      <c r="AE8" s="55">
        <v>90</v>
      </c>
      <c r="AF8" s="57">
        <f t="shared" si="2"/>
        <v>189.11321368100411</v>
      </c>
      <c r="AG8" s="56">
        <v>40</v>
      </c>
      <c r="AH8" s="57">
        <f>(-$D$24-SQRT($D$24^2-(4*$C$24*($E$24-AG8))))/(2*$C$24)</f>
        <v>110.92570358593754</v>
      </c>
    </row>
    <row r="9" spans="3:34" x14ac:dyDescent="0.15">
      <c r="C9" s="8">
        <v>-6.8139688100984433E-3</v>
      </c>
      <c r="D9" s="8">
        <v>1.1893599597777449</v>
      </c>
      <c r="E9" s="8">
        <v>585.33805908380089</v>
      </c>
      <c r="H9" s="2"/>
      <c r="P9" t="s">
        <v>415</v>
      </c>
      <c r="Q9" s="52">
        <f t="array" ref="Q9:R9">LINEST(AC35:AC37,U35:U37)</f>
        <v>15.667814130507452</v>
      </c>
      <c r="R9" s="52">
        <v>-11.953066834981087</v>
      </c>
      <c r="T9" s="111">
        <f>(J3-R9)/Q9</f>
        <v>3.3159103370917014</v>
      </c>
      <c r="U9" s="39" t="s">
        <v>42</v>
      </c>
      <c r="V9" t="s">
        <v>58</v>
      </c>
      <c r="W9" s="125">
        <f>IF($J$3&gt;$AJ$35,AVERAGE(T10,T11,T11),AVERAGE(T9,T9,T11))</f>
        <v>3.3294638131130845</v>
      </c>
      <c r="X9" t="s">
        <v>25</v>
      </c>
      <c r="Y9" t="str">
        <f>IF(W9&gt;10,"Ei käyttöalueella","OK")</f>
        <v>OK</v>
      </c>
      <c r="AA9" s="55">
        <v>300</v>
      </c>
      <c r="AB9" s="56">
        <f t="shared" si="0"/>
        <v>309.74196635006911</v>
      </c>
      <c r="AC9" s="55">
        <v>150</v>
      </c>
      <c r="AD9" s="57">
        <f t="shared" si="1"/>
        <v>274.23785237808198</v>
      </c>
      <c r="AE9" s="55">
        <v>130</v>
      </c>
      <c r="AF9" s="57">
        <f t="shared" si="2"/>
        <v>162.761483860868</v>
      </c>
      <c r="AG9" s="56">
        <v>60</v>
      </c>
      <c r="AH9" s="57">
        <f>(-$D$24-SQRT($D$24^2-(4*$C$24*($E$24-AG9))))/(2*$C$24)</f>
        <v>88.098495554899614</v>
      </c>
    </row>
    <row r="10" spans="3:34" ht="14" thickBot="1" x14ac:dyDescent="0.2">
      <c r="C10" s="2"/>
      <c r="D10" s="2"/>
      <c r="E10" s="2"/>
      <c r="H10" s="2"/>
      <c r="P10" t="s">
        <v>416</v>
      </c>
      <c r="Q10" s="52">
        <f t="array" ref="Q10:R10">LINEST(AJ34:AJ35,AI34:AI35)</f>
        <v>11.553232027274504</v>
      </c>
      <c r="R10" s="52">
        <v>25.07817209411543</v>
      </c>
      <c r="T10" s="111">
        <f>(J3-R10)/Q10</f>
        <v>1.2915717325383573</v>
      </c>
      <c r="W10" t="b">
        <f>IF(AND(W9&lt;=10.01,Tulostus!E33&gt;=W11),TRUE,FALSE)</f>
        <v>1</v>
      </c>
      <c r="AA10" s="55">
        <v>400</v>
      </c>
      <c r="AB10" s="56">
        <f t="shared" si="0"/>
        <v>273.86522624529636</v>
      </c>
      <c r="AC10" s="55">
        <v>170</v>
      </c>
      <c r="AD10" s="57">
        <f t="shared" si="1"/>
        <v>265.8270250865362</v>
      </c>
      <c r="AE10" s="55">
        <v>170</v>
      </c>
      <c r="AF10" s="57">
        <f t="shared" si="2"/>
        <v>129.26947010597144</v>
      </c>
      <c r="AG10" s="56">
        <v>80</v>
      </c>
      <c r="AH10" s="57">
        <f>(-$D$24-SQRT($D$24^2-(4*$C$24*($E$24-AG10))))/(2*$C$24)</f>
        <v>55.102547399007342</v>
      </c>
    </row>
    <row r="11" spans="3:34" ht="14" thickBot="1" x14ac:dyDescent="0.2">
      <c r="C11" s="2" t="s">
        <v>114</v>
      </c>
      <c r="D11" s="1"/>
      <c r="E11" s="1"/>
      <c r="H11" s="1"/>
      <c r="P11" t="s">
        <v>417</v>
      </c>
      <c r="Q11" s="7">
        <f t="array" ref="Q11:S11">LINEST(U34:U37,AC34:AC37^{1,2})</f>
        <v>5.9976711893069474E-5</v>
      </c>
      <c r="R11" s="7">
        <v>5.4867742957411578E-2</v>
      </c>
      <c r="S11" s="7">
        <v>1.0658983078304769</v>
      </c>
      <c r="T11" s="111">
        <f>Q11*J3^2+R11*J3+S11</f>
        <v>3.3565707651558512</v>
      </c>
      <c r="V11" t="s">
        <v>348</v>
      </c>
      <c r="W11" s="294">
        <v>40</v>
      </c>
      <c r="X11" t="s">
        <v>13</v>
      </c>
      <c r="AA11" s="55">
        <v>500</v>
      </c>
      <c r="AB11" s="56">
        <f t="shared" si="0"/>
        <v>229.19151617790286</v>
      </c>
      <c r="AC11" s="55">
        <v>190</v>
      </c>
      <c r="AD11" s="57">
        <f t="shared" si="1"/>
        <v>257.08860009311786</v>
      </c>
      <c r="AE11" s="55">
        <v>200</v>
      </c>
      <c r="AF11" s="57">
        <f t="shared" si="2"/>
        <v>92.408694768599474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s="2" t="s">
        <v>51</v>
      </c>
      <c r="AA12" s="58">
        <v>580</v>
      </c>
      <c r="AB12" s="59">
        <f t="shared" si="0"/>
        <v>178.92566610177286</v>
      </c>
      <c r="AC12" s="58">
        <v>380</v>
      </c>
      <c r="AD12" s="60">
        <f t="shared" si="1"/>
        <v>141.35600404769997</v>
      </c>
      <c r="AE12" s="58"/>
      <c r="AF12" s="60"/>
      <c r="AG12" s="59"/>
      <c r="AH12" s="60"/>
    </row>
    <row r="13" spans="3:34" ht="14" thickBot="1" x14ac:dyDescent="0.2">
      <c r="C13" t="s">
        <v>4</v>
      </c>
      <c r="D13" t="s">
        <v>5</v>
      </c>
      <c r="E13" t="s">
        <v>6</v>
      </c>
      <c r="O13" t="s">
        <v>412</v>
      </c>
      <c r="P13" s="51">
        <f t="array" ref="P13:R13">LINEST(AE34:AE37,AC34:AC37^{1,2})</f>
        <v>1.7739065482719352E-2</v>
      </c>
      <c r="Q13" s="51">
        <v>-1.0134906495797029</v>
      </c>
      <c r="R13" s="51">
        <v>32.365774397101205</v>
      </c>
      <c r="U13" s="39" t="s">
        <v>43</v>
      </c>
      <c r="V13" t="s">
        <v>58</v>
      </c>
      <c r="W13" s="295">
        <f>P18</f>
        <v>21.927930181056698</v>
      </c>
      <c r="X13" t="s">
        <v>49</v>
      </c>
      <c r="Y13" s="129" t="s">
        <v>414</v>
      </c>
    </row>
    <row r="14" spans="3:34" ht="14" thickBot="1" x14ac:dyDescent="0.2">
      <c r="C14" s="8">
        <v>-5.1982094538708086E-3</v>
      </c>
      <c r="D14" s="8">
        <v>0.42948298029178672</v>
      </c>
      <c r="E14" s="8">
        <v>423.15812764411237</v>
      </c>
      <c r="H14" s="2"/>
      <c r="O14" t="s">
        <v>413</v>
      </c>
      <c r="P14">
        <f t="array" ref="P14:S14">LINEST(AE34:AE37,AC34:AC37^{1,2,3})</f>
        <v>-4.697528495685329E-5</v>
      </c>
      <c r="Q14">
        <v>3.1252666369707929E-2</v>
      </c>
      <c r="R14">
        <v>-2.2248284721632694</v>
      </c>
      <c r="S14">
        <v>65.642498108086045</v>
      </c>
      <c r="V14" t="s">
        <v>52</v>
      </c>
      <c r="W14" s="296">
        <f>IF(W13&gt;Y14,Y14,W13)</f>
        <v>21.927930181056698</v>
      </c>
      <c r="X14" t="s">
        <v>49</v>
      </c>
      <c r="Y14" s="129">
        <v>516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O16" t="s">
        <v>412</v>
      </c>
      <c r="P16" s="3">
        <f>$P$13*J3^2+$Q$13*J3+$R$13</f>
        <v>20.208653186264051</v>
      </c>
      <c r="Q16" t="s">
        <v>49</v>
      </c>
    </row>
    <row r="17" spans="3:52" x14ac:dyDescent="0.15">
      <c r="C17" t="s">
        <v>11</v>
      </c>
      <c r="D17" s="1"/>
      <c r="E17" s="1"/>
      <c r="H17" s="1"/>
      <c r="O17" t="s">
        <v>413</v>
      </c>
      <c r="P17" s="3">
        <f>$P$14*J3^3+$Q$14*J3^2+$R$14*J3+$S$14</f>
        <v>23.647207175849346</v>
      </c>
      <c r="Q17" t="s">
        <v>49</v>
      </c>
    </row>
    <row r="18" spans="3:52" x14ac:dyDescent="0.15">
      <c r="C18" t="s">
        <v>4</v>
      </c>
      <c r="D18" t="s">
        <v>5</v>
      </c>
      <c r="E18" t="s">
        <v>6</v>
      </c>
      <c r="H18" s="1"/>
      <c r="O18" t="s">
        <v>419</v>
      </c>
      <c r="P18" s="3">
        <f>AVERAGE(P16:P17)</f>
        <v>21.927930181056698</v>
      </c>
      <c r="Q18" t="s">
        <v>49</v>
      </c>
    </row>
    <row r="19" spans="3:52" x14ac:dyDescent="0.15">
      <c r="C19" s="8">
        <v>-5.4076220456380723E-3</v>
      </c>
      <c r="D19" s="8">
        <v>0.38487845486233063</v>
      </c>
      <c r="E19" s="8">
        <v>210.6115528773266</v>
      </c>
      <c r="AB19" s="6"/>
      <c r="AC19" s="6"/>
    </row>
    <row r="20" spans="3:52" x14ac:dyDescent="0.15">
      <c r="C20" s="2"/>
      <c r="D20" s="2"/>
      <c r="E20" s="2"/>
      <c r="H20" s="1"/>
      <c r="AB20" s="6"/>
      <c r="AC20" s="6"/>
    </row>
    <row r="21" spans="3:52" x14ac:dyDescent="0.15">
      <c r="C21" s="2" t="s">
        <v>12</v>
      </c>
      <c r="D21" s="1"/>
      <c r="E21" s="1"/>
      <c r="H21" s="1"/>
      <c r="AB21" s="6"/>
      <c r="AC21" s="6"/>
    </row>
    <row r="22" spans="3:52" x14ac:dyDescent="0.15">
      <c r="C22" t="s">
        <v>11</v>
      </c>
      <c r="D22" s="1"/>
      <c r="E22" s="1"/>
      <c r="H22" s="1"/>
      <c r="AB22" s="6"/>
      <c r="AC22" s="6"/>
    </row>
    <row r="23" spans="3:52" x14ac:dyDescent="0.15">
      <c r="C23" t="s">
        <v>4</v>
      </c>
      <c r="D23" t="s">
        <v>5</v>
      </c>
      <c r="E23" t="s">
        <v>6</v>
      </c>
      <c r="H23" s="1"/>
    </row>
    <row r="24" spans="3:52" x14ac:dyDescent="0.15">
      <c r="C24" s="8">
        <v>-4.8369249344508451E-3</v>
      </c>
      <c r="D24" s="8">
        <v>8.6517666071401517E-2</v>
      </c>
      <c r="E24" s="8">
        <v>89.918966543950177</v>
      </c>
      <c r="H24" s="1"/>
    </row>
    <row r="25" spans="3:52" x14ac:dyDescent="0.15">
      <c r="G25" s="2"/>
      <c r="H25" s="1"/>
    </row>
    <row r="27" spans="3:52" x14ac:dyDescent="0.15">
      <c r="U27" t="s">
        <v>407</v>
      </c>
    </row>
    <row r="28" spans="3:52" x14ac:dyDescent="0.15">
      <c r="U28" s="4" t="s">
        <v>17</v>
      </c>
    </row>
    <row r="29" spans="3:52" x14ac:dyDescent="0.15">
      <c r="U29" s="4">
        <f>L3/J3^2</f>
        <v>3.125E-2</v>
      </c>
    </row>
    <row r="31" spans="3:52" x14ac:dyDescent="0.15">
      <c r="U31" s="2" t="s">
        <v>16</v>
      </c>
      <c r="AO31" s="2" t="s">
        <v>1110</v>
      </c>
    </row>
    <row r="32" spans="3:52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515</v>
      </c>
      <c r="AV32" s="2" t="s">
        <v>41</v>
      </c>
      <c r="AZ32" s="4" t="s">
        <v>418</v>
      </c>
    </row>
    <row r="33" spans="21:5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8</v>
      </c>
      <c r="AG33" s="26" t="s">
        <v>57</v>
      </c>
      <c r="AI33" t="s">
        <v>25</v>
      </c>
      <c r="AJ33" t="s">
        <v>13</v>
      </c>
      <c r="AO33" s="2" t="s">
        <v>1107</v>
      </c>
      <c r="AR33" t="s">
        <v>1115</v>
      </c>
      <c r="AV33" t="s">
        <v>415</v>
      </c>
      <c r="AW33" s="52">
        <f>Q9</f>
        <v>15.667814130507452</v>
      </c>
      <c r="AX33" s="52">
        <f>R9</f>
        <v>-11.953066834981087</v>
      </c>
      <c r="AZ33" s="111">
        <f>(AO36-AX33)/AW33</f>
        <v>3.8265112373425456</v>
      </c>
    </row>
    <row r="34" spans="21:52" x14ac:dyDescent="0.15">
      <c r="U34" s="35">
        <v>10</v>
      </c>
      <c r="V34" s="98">
        <f>C9</f>
        <v>-6.8139688100984433E-3</v>
      </c>
      <c r="W34" s="99">
        <f>D9</f>
        <v>1.1893599597777449</v>
      </c>
      <c r="X34" s="100">
        <f>E9</f>
        <v>585.33805908380089</v>
      </c>
      <c r="Y34" s="36">
        <f>C9-U29</f>
        <v>-3.8063968810098443E-2</v>
      </c>
      <c r="Z34" s="28">
        <f>(-W34+SQRT(W34^2-(4*Y34*X34)))/(2*Y34)</f>
        <v>-109.36414583606454</v>
      </c>
      <c r="AA34" s="29">
        <f>(-W34-SQRT(W34^2-(4*Y34*X34)))/(2*Y34)</f>
        <v>140.61049236686048</v>
      </c>
      <c r="AB34" s="36">
        <f>AB6</f>
        <v>387.02425293331947</v>
      </c>
      <c r="AC34" s="53">
        <f>IF(Z34&lt;0,AA34,IF(Z34&gt;AB34,AA34,Z34))</f>
        <v>140.61049236686048</v>
      </c>
      <c r="AD34" s="53">
        <f>V34*AC34^2+W34*AC34+X34</f>
        <v>617.85345511409162</v>
      </c>
      <c r="AE34" s="53">
        <f>X51*AC34^2+Y51*AC34+Z51</f>
        <v>240.12062857515843</v>
      </c>
      <c r="AF34" s="53">
        <f>AVERAGE(K61:K62,K61)</f>
        <v>58.550817297949926</v>
      </c>
      <c r="AG34" s="53">
        <f>AVERAGE(U61:U62,U61)</f>
        <v>76.451684867355979</v>
      </c>
      <c r="AI34">
        <v>10</v>
      </c>
      <c r="AJ34" s="3">
        <f>AC34</f>
        <v>140.61049236686048</v>
      </c>
      <c r="AL34">
        <f>AN52*AC34^2+AO52*AC34+AP52</f>
        <v>692.1703690900581</v>
      </c>
      <c r="AM34" t="s">
        <v>14</v>
      </c>
      <c r="AO34" s="618">
        <f>AC34/$J$3-1</f>
        <v>2.5152623091715123</v>
      </c>
      <c r="AR34" s="278" t="b">
        <f>IF(AO36&gt;AC34,FALSE,TRUE)</f>
        <v>1</v>
      </c>
      <c r="AS34" t="s">
        <v>1117</v>
      </c>
      <c r="AV34" t="s">
        <v>416</v>
      </c>
      <c r="AW34" s="52">
        <f t="shared" ref="AW34:AY35" si="3">Q10</f>
        <v>11.553232027274504</v>
      </c>
      <c r="AX34" s="52">
        <f t="shared" si="3"/>
        <v>25.07817209411543</v>
      </c>
      <c r="AZ34" s="111">
        <f>(AO36-AX34)/AW34</f>
        <v>1.9840186583088997</v>
      </c>
    </row>
    <row r="35" spans="21:52" x14ac:dyDescent="0.15">
      <c r="U35" s="35">
        <v>8</v>
      </c>
      <c r="V35" s="98">
        <f>C14</f>
        <v>-5.1982094538708086E-3</v>
      </c>
      <c r="W35" s="99">
        <f>D14</f>
        <v>0.42948298029178672</v>
      </c>
      <c r="X35" s="100">
        <f>E14</f>
        <v>423.15812764411237</v>
      </c>
      <c r="Y35" s="36">
        <f>C14-U29</f>
        <v>-3.6448209453870811E-2</v>
      </c>
      <c r="Z35" s="28">
        <f t="shared" ref="Z35:Z37" si="4">(-W35+SQRT(W35^2-(4*Y35*X35)))/(2*Y35)</f>
        <v>-102.01826851054602</v>
      </c>
      <c r="AA35" s="29">
        <f t="shared" ref="AA35:AA37" si="5">(-W35-SQRT(W35^2-(4*Y35*X35)))/(2*Y35)</f>
        <v>113.80164516270624</v>
      </c>
      <c r="AB35" s="36">
        <f>AD6</f>
        <v>322.84873701660229</v>
      </c>
      <c r="AC35" s="53">
        <f t="shared" ref="AC35:AC37" si="6">IF(Z35&lt;0,AA35,IF(Z35&gt;AB35,AA35,Z35))</f>
        <v>113.80164516270624</v>
      </c>
      <c r="AD35" s="53">
        <f>V35*AC35^2+W35*AC35+X35</f>
        <v>404.71295130432816</v>
      </c>
      <c r="AE35" s="53">
        <f t="shared" ref="AE35:AE37" si="7">X52*AC35^2+Y52*AC35+Z52</f>
        <v>147.96753884388113</v>
      </c>
      <c r="AF35" s="53">
        <f>AVERAGE(K66:K67,K66)</f>
        <v>53.286984713426598</v>
      </c>
      <c r="AG35" s="53">
        <f>AVERAGE(U66:U67,U66)</f>
        <v>71.378562641017609</v>
      </c>
      <c r="AI35">
        <v>9</v>
      </c>
      <c r="AJ35" s="3">
        <f>Q9*AI35+R9</f>
        <v>129.05726033958598</v>
      </c>
      <c r="AL35">
        <f t="shared" ref="AL35:AL37" si="8">AN53*AC35^2+AO53*AC35+AP53</f>
        <v>457.40497487066557</v>
      </c>
      <c r="AM35" t="s">
        <v>14</v>
      </c>
      <c r="AO35" t="s">
        <v>1114</v>
      </c>
      <c r="AR35" t="s">
        <v>1116</v>
      </c>
      <c r="AV35" t="s">
        <v>417</v>
      </c>
      <c r="AW35" s="52">
        <f t="shared" si="3"/>
        <v>5.9976711893069474E-5</v>
      </c>
      <c r="AX35" s="52">
        <f t="shared" si="3"/>
        <v>5.4867742957411578E-2</v>
      </c>
      <c r="AY35" s="52">
        <f t="shared" si="3"/>
        <v>1.0658983078304769</v>
      </c>
      <c r="AZ35" s="111">
        <f>AW35*AO36^2+AX35*AO36+AY35</f>
        <v>3.8377363139878646</v>
      </c>
    </row>
    <row r="36" spans="21:52" x14ac:dyDescent="0.15">
      <c r="U36" s="35">
        <v>6</v>
      </c>
      <c r="V36" s="98">
        <f>C19</f>
        <v>-5.4076220456380723E-3</v>
      </c>
      <c r="W36" s="99">
        <f>D19</f>
        <v>0.38487845486233063</v>
      </c>
      <c r="X36" s="100">
        <f>E19</f>
        <v>210.6115528773266</v>
      </c>
      <c r="Y36" s="36">
        <f>C19-U29</f>
        <v>-3.6657622045638071E-2</v>
      </c>
      <c r="Z36" s="28">
        <f t="shared" si="4"/>
        <v>-70.730145036467661</v>
      </c>
      <c r="AA36" s="29">
        <f t="shared" si="5"/>
        <v>81.229420040808208</v>
      </c>
      <c r="AB36" s="36">
        <f>AF6</f>
        <v>231.45482058174542</v>
      </c>
      <c r="AC36" s="53">
        <f t="shared" si="6"/>
        <v>81.229420040808208</v>
      </c>
      <c r="AD36" s="53">
        <f>V36*AC36^2+W36*AC36+X36</f>
        <v>206.19433375518921</v>
      </c>
      <c r="AE36" s="53">
        <f t="shared" si="7"/>
        <v>65.95557977379346</v>
      </c>
      <c r="AF36" s="53">
        <f>AVERAGE(K71:K72,K71)</f>
        <v>48.690298762441216</v>
      </c>
      <c r="AG36" s="53">
        <f>AVERAGE(U71:U72,U71)</f>
        <v>64.95441512459476</v>
      </c>
      <c r="AI36">
        <v>8</v>
      </c>
      <c r="AJ36" s="3">
        <f>AC35</f>
        <v>113.80164516270624</v>
      </c>
      <c r="AL36">
        <f t="shared" si="8"/>
        <v>250.22891770891647</v>
      </c>
      <c r="AM36" t="s">
        <v>14</v>
      </c>
      <c r="AO36" s="611">
        <f>Tulokset!$CS$16</f>
        <v>48</v>
      </c>
      <c r="AP36" t="s">
        <v>13</v>
      </c>
      <c r="AR36" s="619">
        <f>IF($AO$36&gt;$AJ$35,AVERAGE(AZ34,AZ35,AZ35),AVERAGE(AZ33,AZ33,AZ35))</f>
        <v>3.830252929557652</v>
      </c>
      <c r="AS36" t="s">
        <v>25</v>
      </c>
    </row>
    <row r="37" spans="21:52" x14ac:dyDescent="0.15">
      <c r="U37" s="38">
        <v>4</v>
      </c>
      <c r="V37" s="101">
        <f>C24</f>
        <v>-4.8369249344508451E-3</v>
      </c>
      <c r="W37" s="102">
        <f>D24</f>
        <v>8.6517666071401517E-2</v>
      </c>
      <c r="X37" s="103">
        <f>E24</f>
        <v>89.918966543950177</v>
      </c>
      <c r="Y37" s="37">
        <f>C24-U29</f>
        <v>-3.6086924934450842E-2</v>
      </c>
      <c r="Z37" s="30">
        <f t="shared" si="4"/>
        <v>-48.732909048592752</v>
      </c>
      <c r="AA37" s="31">
        <f t="shared" si="5"/>
        <v>51.130388640676429</v>
      </c>
      <c r="AB37" s="37">
        <f>AH6</f>
        <v>137.79479127749656</v>
      </c>
      <c r="AC37" s="53">
        <f t="shared" si="6"/>
        <v>51.130388640676429</v>
      </c>
      <c r="AD37" s="53">
        <f>V37*AC37^2+W37*AC37+X37</f>
        <v>81.697395079581668</v>
      </c>
      <c r="AE37" s="53">
        <f t="shared" si="7"/>
        <v>27.31128494672393</v>
      </c>
      <c r="AF37" s="53">
        <f>AVERAGE(K76:K77,K76)</f>
        <v>39.136023983286201</v>
      </c>
      <c r="AG37" s="53">
        <f>AVERAGE(U76:U77,U76)</f>
        <v>54.999932689469176</v>
      </c>
      <c r="AI37">
        <v>6</v>
      </c>
      <c r="AJ37" s="3">
        <f t="shared" ref="AJ37:AJ38" si="9">AC36</f>
        <v>81.229420040808208</v>
      </c>
      <c r="AL37">
        <f t="shared" si="8"/>
        <v>106.2438431110663</v>
      </c>
      <c r="AM37" t="s">
        <v>14</v>
      </c>
      <c r="AO37" s="611">
        <f>Tulokset!$CS$17</f>
        <v>72</v>
      </c>
      <c r="AP37" t="s">
        <v>14</v>
      </c>
    </row>
    <row r="38" spans="21:52" x14ac:dyDescent="0.15">
      <c r="AI38">
        <v>4</v>
      </c>
      <c r="AJ38" s="3">
        <f t="shared" si="9"/>
        <v>51.130388640676429</v>
      </c>
    </row>
    <row r="40" spans="21:52" x14ac:dyDescent="0.15">
      <c r="U40" s="2" t="s">
        <v>35</v>
      </c>
      <c r="W40" t="s">
        <v>36</v>
      </c>
    </row>
    <row r="42" spans="21:5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52" x14ac:dyDescent="0.15">
      <c r="U43" s="10" t="s">
        <v>55</v>
      </c>
      <c r="V43" s="21"/>
      <c r="W43" s="49">
        <v>16</v>
      </c>
      <c r="X43" s="49">
        <v>13</v>
      </c>
      <c r="Y43" s="49">
        <v>0</v>
      </c>
      <c r="Z43" s="49">
        <v>-4</v>
      </c>
      <c r="AA43" s="49">
        <v>-9</v>
      </c>
      <c r="AB43" s="49">
        <v>-14</v>
      </c>
      <c r="AC43" s="49">
        <v>-23</v>
      </c>
      <c r="AD43" s="49">
        <v>-32</v>
      </c>
      <c r="AE43" s="39" t="s">
        <v>42</v>
      </c>
      <c r="AF43" s="53">
        <f>$W$5+W43</f>
        <v>50.778034318558305</v>
      </c>
      <c r="AG43" s="53">
        <f t="shared" ref="AG43:AM43" si="10">$W$5+X43</f>
        <v>47.778034318558305</v>
      </c>
      <c r="AH43" s="53">
        <f t="shared" si="10"/>
        <v>34.778034318558305</v>
      </c>
      <c r="AI43" s="53">
        <f t="shared" si="10"/>
        <v>30.778034318558305</v>
      </c>
      <c r="AJ43" s="53">
        <f t="shared" si="10"/>
        <v>25.778034318558305</v>
      </c>
      <c r="AK43" s="53">
        <f t="shared" si="10"/>
        <v>20.778034318558305</v>
      </c>
      <c r="AL43" s="53">
        <f t="shared" si="10"/>
        <v>11.778034318558305</v>
      </c>
      <c r="AM43" s="53">
        <f t="shared" si="10"/>
        <v>2.778034318558305</v>
      </c>
      <c r="AN43" s="5">
        <f t="array" ref="AN43">10*LOG10(SUM(10^(AF43:AM43/10)))</f>
        <v>52.654961773709516</v>
      </c>
      <c r="AO43" s="5">
        <f t="array" ref="AO43">10*LOG10(SUM(10^((AF43:AM43+AF46:AM46)/10)))</f>
        <v>35.188150403278364</v>
      </c>
      <c r="AP43" t="str">
        <f>IF(ABS(W5-AO43)&lt;0.5,"OK","Tarkista laskenta!")</f>
        <v>OK</v>
      </c>
    </row>
    <row r="44" spans="21:52" x14ac:dyDescent="0.15">
      <c r="U44" s="14" t="s">
        <v>56</v>
      </c>
      <c r="V44" s="26"/>
      <c r="W44" s="49">
        <v>8</v>
      </c>
      <c r="X44" s="49">
        <v>8</v>
      </c>
      <c r="Y44" s="49">
        <v>-1</v>
      </c>
      <c r="Z44" s="49">
        <v>-4</v>
      </c>
      <c r="AA44" s="49">
        <v>-5</v>
      </c>
      <c r="AB44" s="49">
        <v>-10</v>
      </c>
      <c r="AC44" s="49">
        <v>-14</v>
      </c>
      <c r="AD44" s="49">
        <v>-16</v>
      </c>
      <c r="AE44" s="39" t="s">
        <v>43</v>
      </c>
      <c r="AF44" s="53">
        <f>$W$6+W44</f>
        <v>57.891596560798192</v>
      </c>
      <c r="AG44" s="53">
        <f t="shared" ref="AG44:AM44" si="11">$W$6+X44</f>
        <v>57.891596560798192</v>
      </c>
      <c r="AH44" s="53">
        <f t="shared" si="11"/>
        <v>48.891596560798192</v>
      </c>
      <c r="AI44" s="53">
        <f t="shared" si="11"/>
        <v>45.891596560798192</v>
      </c>
      <c r="AJ44" s="53">
        <f t="shared" si="11"/>
        <v>44.891596560798192</v>
      </c>
      <c r="AK44" s="53">
        <f t="shared" si="11"/>
        <v>39.891596560798192</v>
      </c>
      <c r="AL44" s="53">
        <f t="shared" si="11"/>
        <v>35.891596560798192</v>
      </c>
      <c r="AM44" s="53">
        <f t="shared" si="11"/>
        <v>33.891596560798192</v>
      </c>
      <c r="AN44" s="5">
        <f t="array" ref="AN44">10*LOG10(SUM(10^(AF44:AM44/10)))</f>
        <v>61.442751387182746</v>
      </c>
      <c r="AO44" s="5">
        <f t="array" ref="AO44">10*LOG10(SUM(10^((AF44:AM44+AF46:AM46)/10)))</f>
        <v>49.838646294841872</v>
      </c>
      <c r="AP44" t="str">
        <f>IF(ABS(W6-AO44)&lt;0.5,"OK","Tarkista laskenta!")</f>
        <v>OK</v>
      </c>
    </row>
    <row r="46" spans="21:5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42" x14ac:dyDescent="0.15">
      <c r="W49" t="s">
        <v>50</v>
      </c>
    </row>
    <row r="50" spans="3:42" x14ac:dyDescent="0.15">
      <c r="X50" s="4" t="s">
        <v>4</v>
      </c>
      <c r="Y50" s="4" t="s">
        <v>5</v>
      </c>
      <c r="Z50" s="4" t="s">
        <v>6</v>
      </c>
      <c r="AM50" t="s">
        <v>50</v>
      </c>
    </row>
    <row r="51" spans="3:42" x14ac:dyDescent="0.15">
      <c r="W51" t="s">
        <v>3</v>
      </c>
      <c r="X51" s="54">
        <f t="array" ref="X51:Z51">LINEST(Y59:Y66,X59:X66^{1,2})</f>
        <v>-1.297803923722612E-3</v>
      </c>
      <c r="Y51" s="54">
        <v>1.9037936039080579</v>
      </c>
      <c r="Z51" s="54">
        <v>-1.9134430085888141</v>
      </c>
      <c r="AN51" s="4" t="s">
        <v>4</v>
      </c>
      <c r="AO51" s="4" t="s">
        <v>5</v>
      </c>
      <c r="AP51" s="4" t="s">
        <v>6</v>
      </c>
    </row>
    <row r="52" spans="3:42" x14ac:dyDescent="0.15">
      <c r="W52" t="s">
        <v>114</v>
      </c>
      <c r="X52" s="54">
        <f t="array" ref="X52:Z52">LINEST(Y69:Y77,X69:X77^{1,2})</f>
        <v>8.0724924119134826E-4</v>
      </c>
      <c r="Y52" s="54">
        <v>0.52076468277130405</v>
      </c>
      <c r="Z52" s="54">
        <v>78.249126070968572</v>
      </c>
      <c r="AM52" t="s">
        <v>3</v>
      </c>
      <c r="AN52" s="54">
        <f t="array" ref="AN52:AP52">LINEST(AO60:AO67,AN60:AN67^{1,2})</f>
        <v>-7.6219320066368427E-3</v>
      </c>
      <c r="AO52" s="54">
        <v>3.112898616363355</v>
      </c>
      <c r="AP52" s="54">
        <v>405.15974675333609</v>
      </c>
    </row>
    <row r="53" spans="3:42" x14ac:dyDescent="0.15">
      <c r="W53" t="s">
        <v>10</v>
      </c>
      <c r="X53" s="54">
        <f t="array" ref="X53:Z53">LINEST(Y80:Y87,X80:X87^{1,2})</f>
        <v>5.289034105752118E-4</v>
      </c>
      <c r="Y53" s="54">
        <v>0.32101065752599756</v>
      </c>
      <c r="Z53" s="54">
        <v>36.390249872377268</v>
      </c>
      <c r="AM53" t="s">
        <v>114</v>
      </c>
      <c r="AN53" s="54">
        <f t="array" ref="AN53:AP53">LINEST(AO71:AO76,AN71:AN76^{1,2})</f>
        <v>-5.7282510079486471E-3</v>
      </c>
      <c r="AO53" s="54">
        <v>1.9785546048957781</v>
      </c>
      <c r="AP53" s="54">
        <v>306.42772166892223</v>
      </c>
    </row>
    <row r="54" spans="3:42" x14ac:dyDescent="0.15">
      <c r="W54" t="s">
        <v>12</v>
      </c>
      <c r="X54" s="54">
        <f t="array" ref="X54:Z54">LINEST(Y91:Y97,X91:X97^{1,2})</f>
        <v>-1.3773357689846413E-4</v>
      </c>
      <c r="Y54" s="54">
        <v>0.23027944916167101</v>
      </c>
      <c r="Z54" s="54">
        <v>15.897086397449931</v>
      </c>
      <c r="AM54" t="s">
        <v>10</v>
      </c>
      <c r="AN54" s="54">
        <f t="array" ref="AN54:AP54">LINEST(AO82:AO87,AN82:AN87^{1,2})</f>
        <v>-4.2804853752422449E-3</v>
      </c>
      <c r="AO54" s="54">
        <v>1.051247887022948</v>
      </c>
      <c r="AP54" s="54">
        <v>193.08024009001832</v>
      </c>
    </row>
    <row r="55" spans="3:42" x14ac:dyDescent="0.15">
      <c r="AM55" t="s">
        <v>12</v>
      </c>
      <c r="AN55" s="54">
        <f t="array" ref="AN55:AP55">LINEST(AO93:AO98,AN93:AN98^{1,2})</f>
        <v>-5.0878603192212905E-3</v>
      </c>
      <c r="AO55" s="54">
        <v>0.86558669554021606</v>
      </c>
      <c r="AP55" s="54">
        <v>75.287336873388924</v>
      </c>
    </row>
    <row r="56" spans="3:42" x14ac:dyDescent="0.15">
      <c r="C56" s="2" t="s">
        <v>45</v>
      </c>
    </row>
    <row r="57" spans="3:42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  <c r="AM57" t="s">
        <v>515</v>
      </c>
    </row>
    <row r="58" spans="3:42" ht="14" thickBot="1" x14ac:dyDescent="0.2">
      <c r="C58" s="12"/>
      <c r="D58" s="16" t="s">
        <v>13</v>
      </c>
      <c r="E58" s="41" t="s">
        <v>27</v>
      </c>
      <c r="F58" s="11" t="s">
        <v>47</v>
      </c>
      <c r="H58" t="s">
        <v>422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421</v>
      </c>
      <c r="T58" s="24"/>
      <c r="W58" s="10"/>
      <c r="X58" s="16" t="s">
        <v>13</v>
      </c>
      <c r="Y58" s="11" t="s">
        <v>49</v>
      </c>
      <c r="AM58" s="2" t="s">
        <v>48</v>
      </c>
    </row>
    <row r="59" spans="3:42" ht="14" thickBot="1" x14ac:dyDescent="0.2">
      <c r="C59" s="10" t="s">
        <v>3</v>
      </c>
      <c r="D59" s="67">
        <v>366.3</v>
      </c>
      <c r="E59" s="68">
        <v>62.097783424500207</v>
      </c>
      <c r="F59" s="69">
        <v>515.99235857408132</v>
      </c>
      <c r="H59" t="s">
        <v>4</v>
      </c>
      <c r="I59" t="s">
        <v>5</v>
      </c>
      <c r="K59" s="27" t="s">
        <v>424</v>
      </c>
      <c r="M59" s="10" t="s">
        <v>3</v>
      </c>
      <c r="N59" s="67">
        <v>367.27606807457477</v>
      </c>
      <c r="O59" s="68">
        <v>82.689090072186829</v>
      </c>
      <c r="P59" s="69">
        <v>515.99235857408132</v>
      </c>
      <c r="R59" t="s">
        <v>4</v>
      </c>
      <c r="S59" t="s">
        <v>5</v>
      </c>
      <c r="T59" s="24" t="s">
        <v>6</v>
      </c>
      <c r="U59" s="297" t="s">
        <v>425</v>
      </c>
      <c r="W59" s="228" t="s">
        <v>3</v>
      </c>
      <c r="X59" s="68">
        <v>180.92175344436646</v>
      </c>
      <c r="Y59" s="68">
        <v>302.32759265404218</v>
      </c>
      <c r="AM59" s="10"/>
      <c r="AN59" s="16" t="s">
        <v>13</v>
      </c>
      <c r="AO59" s="11" t="s">
        <v>516</v>
      </c>
    </row>
    <row r="60" spans="3:42" x14ac:dyDescent="0.15">
      <c r="C60" s="12"/>
      <c r="D60" s="67">
        <v>341.4</v>
      </c>
      <c r="E60" s="68">
        <v>61.404747810618019</v>
      </c>
      <c r="F60" s="69">
        <v>499.98917692950459</v>
      </c>
      <c r="G60" s="316" t="s">
        <v>412</v>
      </c>
      <c r="H60" s="317">
        <f t="array" ref="H60:J60">LINEST(E59:E62,D59:D62^{1,2})</f>
        <v>1.384028324719925E-4</v>
      </c>
      <c r="I60" s="317">
        <v>-6.6728935884296917E-2</v>
      </c>
      <c r="J60" s="317">
        <v>67.996996899777869</v>
      </c>
      <c r="K60" s="318">
        <f>$H$60*AC34^2+$I$60*AC34+$J$60</f>
        <v>61.350613753662934</v>
      </c>
      <c r="M60" s="12"/>
      <c r="N60" s="67">
        <v>341.06998870275049</v>
      </c>
      <c r="O60" s="68">
        <v>82.105276378556539</v>
      </c>
      <c r="P60" s="69">
        <v>499.98917692950459</v>
      </c>
      <c r="Q60" s="316" t="s">
        <v>412</v>
      </c>
      <c r="R60" s="317">
        <f t="array" ref="R60:T60">LINEST(O59:O62,N59:N62^{1,2})</f>
        <v>-8.8356876630416958E-6</v>
      </c>
      <c r="S60" s="317">
        <v>3.0904101697611534E-2</v>
      </c>
      <c r="T60" s="319">
        <v>72.550846806097766</v>
      </c>
      <c r="U60" s="84">
        <f>$R$60*AC34^2+$S$60*AC34+$T$60</f>
        <v>76.721594637125037</v>
      </c>
      <c r="W60" s="232"/>
      <c r="X60" s="68">
        <v>223.5792236627149</v>
      </c>
      <c r="Y60" s="68">
        <v>356.54486395172677</v>
      </c>
      <c r="AM60" s="228" t="s">
        <v>3</v>
      </c>
      <c r="AN60" s="68">
        <v>180.92175344436646</v>
      </c>
      <c r="AO60" s="288">
        <v>721.34661173481254</v>
      </c>
    </row>
    <row r="61" spans="3:42" x14ac:dyDescent="0.15">
      <c r="C61" s="12"/>
      <c r="D61" s="67">
        <v>309.8</v>
      </c>
      <c r="E61" s="68">
        <v>60.573303422326219</v>
      </c>
      <c r="F61" s="69">
        <v>457.54888920061728</v>
      </c>
      <c r="G61" s="129" t="s">
        <v>423</v>
      </c>
      <c r="H61">
        <f t="array" ref="H61:I61">LINEST(E59:E62,D59:D62)</f>
        <v>1.3453221095910938E-2</v>
      </c>
      <c r="I61">
        <v>56.856792112511286</v>
      </c>
      <c r="K61" s="298">
        <f>H61*$AC$34+I61</f>
        <v>58.748456154727556</v>
      </c>
      <c r="M61" s="12"/>
      <c r="N61" s="67">
        <v>303.07324445507652</v>
      </c>
      <c r="O61" s="68">
        <v>81.080240846621081</v>
      </c>
      <c r="P61" s="69">
        <v>457.54888920061728</v>
      </c>
      <c r="Q61" s="129" t="s">
        <v>420</v>
      </c>
      <c r="R61">
        <f t="array" ref="R61:S61">LINEST(O59:O62,N59:N62)</f>
        <v>2.5736507270352857E-2</v>
      </c>
      <c r="S61">
        <v>73.278097500272963</v>
      </c>
      <c r="T61" s="24"/>
      <c r="U61" s="84">
        <f>R61*AC34+S61</f>
        <v>76.896920459360558</v>
      </c>
      <c r="W61" s="232"/>
      <c r="X61" s="68">
        <v>277.77636826296043</v>
      </c>
      <c r="Y61" s="68">
        <v>421.03669396837233</v>
      </c>
      <c r="AM61" s="232"/>
      <c r="AN61" s="68">
        <v>223.5792236627149</v>
      </c>
      <c r="AO61" s="289">
        <v>715.9378701953035</v>
      </c>
    </row>
    <row r="62" spans="3:42" x14ac:dyDescent="0.15">
      <c r="C62" s="14"/>
      <c r="D62" s="67">
        <v>221</v>
      </c>
      <c r="E62" s="68">
        <v>60.013148119886417</v>
      </c>
      <c r="F62" s="69">
        <v>356.54486395172677</v>
      </c>
      <c r="G62" s="297" t="s">
        <v>462</v>
      </c>
      <c r="H62" s="2">
        <f t="array" ref="H62:I62">LINEST(E59:E62,LN(D59:D62))</f>
        <v>3.7150068381495589</v>
      </c>
      <c r="I62" s="2">
        <v>39.781139530608449</v>
      </c>
      <c r="K62" s="298">
        <f>H62*LN($AC$34)+I62</f>
        <v>58.15553958439466</v>
      </c>
      <c r="M62" s="14"/>
      <c r="N62" s="67">
        <v>223.5792236627149</v>
      </c>
      <c r="O62" s="68">
        <v>79.022331218565611</v>
      </c>
      <c r="P62" s="69">
        <v>356.54486395172677</v>
      </c>
      <c r="Q62" s="297" t="s">
        <v>462</v>
      </c>
      <c r="R62" s="2">
        <f t="array" ref="R62:S62">LINEST(O59:O62,LN(N59:N62))</f>
        <v>7.359429369270396</v>
      </c>
      <c r="S62" s="2">
        <v>39.161523106757379</v>
      </c>
      <c r="T62" s="24"/>
      <c r="U62" s="84">
        <f>R62*LN(AC34)+S62</f>
        <v>75.561213683346807</v>
      </c>
      <c r="W62" s="232"/>
      <c r="X62" s="68">
        <v>303.07324445507652</v>
      </c>
      <c r="Y62" s="68">
        <v>457.54888920061728</v>
      </c>
      <c r="AM62" s="232"/>
      <c r="AN62" s="68">
        <v>277.77636826296043</v>
      </c>
      <c r="AO62" s="289">
        <v>682.75011971480819</v>
      </c>
    </row>
    <row r="63" spans="3:42" x14ac:dyDescent="0.15">
      <c r="C63" s="12"/>
      <c r="D63" s="17"/>
      <c r="E63" s="42"/>
      <c r="F63" s="13"/>
      <c r="K63" s="298"/>
      <c r="M63" s="12"/>
      <c r="N63" s="17"/>
      <c r="O63" s="42"/>
      <c r="P63" s="13"/>
      <c r="T63" s="24"/>
      <c r="U63" s="3"/>
      <c r="W63" s="232"/>
      <c r="X63" s="68">
        <v>344.00846492037118</v>
      </c>
      <c r="Y63" s="68">
        <v>508.8924685660923</v>
      </c>
      <c r="AM63" s="232"/>
      <c r="AN63" s="68">
        <v>303.07324445507652</v>
      </c>
      <c r="AO63" s="289">
        <v>645.18533974845593</v>
      </c>
    </row>
    <row r="64" spans="3:42" x14ac:dyDescent="0.15">
      <c r="C64" s="10" t="s">
        <v>408</v>
      </c>
      <c r="D64" s="67">
        <v>304</v>
      </c>
      <c r="E64" s="68">
        <v>58.341740546145942</v>
      </c>
      <c r="F64" s="69">
        <v>311.04275486404356</v>
      </c>
      <c r="H64" t="s">
        <v>4</v>
      </c>
      <c r="I64" t="s">
        <v>5</v>
      </c>
      <c r="K64" s="298"/>
      <c r="M64" s="10" t="s">
        <v>408</v>
      </c>
      <c r="N64" s="67">
        <v>306.42216557619219</v>
      </c>
      <c r="O64" s="68">
        <v>78.99039262930242</v>
      </c>
      <c r="P64" s="69">
        <v>311.04275486404356</v>
      </c>
      <c r="R64" t="s">
        <v>4</v>
      </c>
      <c r="S64" t="s">
        <v>5</v>
      </c>
      <c r="T64" s="24" t="s">
        <v>6</v>
      </c>
      <c r="U64" s="3"/>
      <c r="W64" s="232"/>
      <c r="X64" s="68">
        <v>367.18361972524661</v>
      </c>
      <c r="Y64" s="68">
        <v>519.47729833181302</v>
      </c>
      <c r="AM64" s="232"/>
      <c r="AN64" s="68">
        <v>344.00846492037118</v>
      </c>
      <c r="AO64" s="289">
        <v>586.03019621125861</v>
      </c>
    </row>
    <row r="65" spans="3:41" x14ac:dyDescent="0.15">
      <c r="C65" s="12"/>
      <c r="D65" s="67">
        <v>281.7</v>
      </c>
      <c r="E65" s="68">
        <v>57.377484119444958</v>
      </c>
      <c r="F65" s="69">
        <v>289.48558554113851</v>
      </c>
      <c r="G65" s="316" t="s">
        <v>412</v>
      </c>
      <c r="H65" s="317">
        <f t="array" ref="H65:J65">LINEST(E64:E67,D64:D67^{1,2})</f>
        <v>1.7903146769029964E-4</v>
      </c>
      <c r="I65" s="317">
        <v>-6.2196267539453211E-2</v>
      </c>
      <c r="J65" s="317">
        <v>60.700059629450521</v>
      </c>
      <c r="K65" s="318">
        <f>$H$65*AC35^2+$I$65*AC35+$J$65</f>
        <v>55.940625377770097</v>
      </c>
      <c r="M65" s="12"/>
      <c r="N65" s="67">
        <v>280.37540028596254</v>
      </c>
      <c r="O65" s="68">
        <v>78.069558159890079</v>
      </c>
      <c r="P65" s="69">
        <v>289.48558554113851</v>
      </c>
      <c r="Q65" s="316" t="s">
        <v>412</v>
      </c>
      <c r="R65" s="317">
        <f t="array" ref="R65:T65">LINEST(O64:O67,N64:N67^{1,2})</f>
        <v>-2.4721772854465293E-5</v>
      </c>
      <c r="S65" s="317">
        <v>4.8827308589329932E-2</v>
      </c>
      <c r="T65" s="319">
        <v>66.34164448711266</v>
      </c>
      <c r="U65" s="84">
        <f>$R$65*AC35^2+$S$65*AC35+$T$65</f>
        <v>71.578105440536561</v>
      </c>
      <c r="W65" s="232"/>
      <c r="X65" s="68">
        <v>341.06998870275049</v>
      </c>
      <c r="Y65" s="68">
        <v>499.98917692950459</v>
      </c>
      <c r="AM65" s="232"/>
      <c r="AN65" s="68">
        <v>367.18361972524661</v>
      </c>
      <c r="AO65" s="289">
        <v>518.51525144517996</v>
      </c>
    </row>
    <row r="66" spans="3:41" x14ac:dyDescent="0.15">
      <c r="C66" s="12"/>
      <c r="D66" s="67">
        <v>255.1</v>
      </c>
      <c r="E66" s="68">
        <v>56.489949323611974</v>
      </c>
      <c r="F66" s="69">
        <v>260.47989897572495</v>
      </c>
      <c r="G66" s="129" t="s">
        <v>423</v>
      </c>
      <c r="H66">
        <f t="array" ref="H66:I66">LINEST(E64:E67,D64:D67)</f>
        <v>2.3251260708397729E-2</v>
      </c>
      <c r="I66">
        <v>50.944242882696471</v>
      </c>
      <c r="K66" s="298">
        <f>H66*$AC$35+I66</f>
        <v>53.590274603419125</v>
      </c>
      <c r="M66" s="12"/>
      <c r="N66" s="67">
        <v>247.99195567141854</v>
      </c>
      <c r="O66" s="68">
        <v>76.942323327149879</v>
      </c>
      <c r="P66" s="69">
        <v>260.47989897572495</v>
      </c>
      <c r="Q66" s="129" t="s">
        <v>420</v>
      </c>
      <c r="R66">
        <f t="array" ref="R66:S66">LINEST(O64:O67,N64:N67)</f>
        <v>3.6932753188143583E-2</v>
      </c>
      <c r="S66">
        <v>67.712743139350536</v>
      </c>
      <c r="T66" s="24"/>
      <c r="U66" s="84">
        <f>R66*AC35+S66</f>
        <v>71.915751212549466</v>
      </c>
      <c r="W66" s="290"/>
      <c r="X66" s="68">
        <v>367.27606807457477</v>
      </c>
      <c r="Y66" s="68">
        <v>515.99235857408132</v>
      </c>
      <c r="AM66" s="232"/>
      <c r="AN66" s="68">
        <v>341.06998870275049</v>
      </c>
      <c r="AO66" s="289">
        <v>579.62341036618864</v>
      </c>
    </row>
    <row r="67" spans="3:41" x14ac:dyDescent="0.15">
      <c r="C67" s="14"/>
      <c r="D67" s="67">
        <v>180.1</v>
      </c>
      <c r="E67" s="68">
        <v>55.305009598786256</v>
      </c>
      <c r="F67" s="69">
        <v>196.96128282198916</v>
      </c>
      <c r="G67" s="297" t="s">
        <v>462</v>
      </c>
      <c r="H67" s="2">
        <f t="array" ref="H67:I67">LINEST(E64:E67,LN(D64:D67))</f>
        <v>5.3221693771170955</v>
      </c>
      <c r="I67" s="2">
        <v>27.482822986776412</v>
      </c>
      <c r="K67" s="298">
        <f>H67*LN($AC$35)+I67</f>
        <v>52.680404933441565</v>
      </c>
      <c r="M67" s="14"/>
      <c r="N67" s="67">
        <v>179.97539914207314</v>
      </c>
      <c r="O67" s="68">
        <v>74.326760800359523</v>
      </c>
      <c r="P67" s="69">
        <v>196.96128282198916</v>
      </c>
      <c r="Q67" s="297" t="s">
        <v>462</v>
      </c>
      <c r="R67" s="2">
        <f t="array" ref="R67:S67">LINEST(O64:O67,LN(N64:N67))</f>
        <v>8.6635088396805724</v>
      </c>
      <c r="S67" s="2">
        <v>29.287175616213275</v>
      </c>
      <c r="T67" s="24"/>
      <c r="U67" s="84">
        <f>R67*LN($AC$35)+S67</f>
        <v>70.304185497953881</v>
      </c>
      <c r="W67" s="12"/>
      <c r="X67" s="17"/>
      <c r="Y67" s="13"/>
      <c r="AM67" s="290"/>
      <c r="AN67" s="68">
        <v>367.27606807457477</v>
      </c>
      <c r="AO67" s="291">
        <v>514.97229930894991</v>
      </c>
    </row>
    <row r="68" spans="3:41" ht="14" thickBot="1" x14ac:dyDescent="0.2">
      <c r="C68" s="12"/>
      <c r="D68" s="17"/>
      <c r="E68" s="42"/>
      <c r="F68" s="24"/>
      <c r="K68" s="298"/>
      <c r="M68" s="12"/>
      <c r="N68" s="17"/>
      <c r="O68" s="42"/>
      <c r="P68" s="13"/>
      <c r="T68" s="24"/>
      <c r="U68" s="3"/>
      <c r="W68" s="12"/>
      <c r="X68" s="16" t="s">
        <v>13</v>
      </c>
      <c r="Y68" s="11" t="s">
        <v>49</v>
      </c>
      <c r="AM68" s="236"/>
      <c r="AN68" s="292"/>
      <c r="AO68" s="293"/>
    </row>
    <row r="69" spans="3:41" x14ac:dyDescent="0.15">
      <c r="C69" s="10" t="s">
        <v>409</v>
      </c>
      <c r="D69" s="67">
        <v>218.4</v>
      </c>
      <c r="E69" s="68">
        <v>51.6790949757684</v>
      </c>
      <c r="F69" s="69">
        <v>130.02142396481116</v>
      </c>
      <c r="H69" t="s">
        <v>4</v>
      </c>
      <c r="I69" t="s">
        <v>5</v>
      </c>
      <c r="J69" t="s">
        <v>6</v>
      </c>
      <c r="K69" s="298"/>
      <c r="M69" s="10" t="s">
        <v>409</v>
      </c>
      <c r="N69" s="67">
        <v>216.68199713194693</v>
      </c>
      <c r="O69" s="68">
        <v>71.859694306887633</v>
      </c>
      <c r="P69" s="69">
        <v>130.02142396481116</v>
      </c>
      <c r="R69" t="s">
        <v>4</v>
      </c>
      <c r="S69" t="s">
        <v>5</v>
      </c>
      <c r="T69" s="24" t="s">
        <v>6</v>
      </c>
      <c r="U69" s="3"/>
      <c r="W69" s="228" t="s">
        <v>404</v>
      </c>
      <c r="X69" s="68">
        <v>142.54034990280852</v>
      </c>
      <c r="Y69" s="68">
        <v>164.90844203665162</v>
      </c>
      <c r="AM69" s="12"/>
      <c r="AN69" s="17"/>
      <c r="AO69" s="13"/>
    </row>
    <row r="70" spans="3:41" ht="14" thickBot="1" x14ac:dyDescent="0.2">
      <c r="C70" s="12"/>
      <c r="D70" s="67">
        <v>202.3</v>
      </c>
      <c r="E70" s="68">
        <v>50.407916560559215</v>
      </c>
      <c r="F70" s="69">
        <v>123.40172430505064</v>
      </c>
      <c r="G70" s="316" t="s">
        <v>412</v>
      </c>
      <c r="H70" s="317">
        <f t="array" ref="H70:J70">LINEST(E69:E72,D69:D72^{1,2})</f>
        <v>4.3771258461317448E-4</v>
      </c>
      <c r="I70" s="317">
        <v>-0.13316035781212651</v>
      </c>
      <c r="J70" s="317">
        <v>59.736296991604441</v>
      </c>
      <c r="K70" s="318">
        <f>$H$70*AC36^2+$I$70*AC36+$J$70</f>
        <v>51.807881706437314</v>
      </c>
      <c r="M70" s="12"/>
      <c r="N70" s="67">
        <v>203.48048535677617</v>
      </c>
      <c r="O70" s="68">
        <v>71.05536483352482</v>
      </c>
      <c r="P70" s="69">
        <v>123.40172430505064</v>
      </c>
      <c r="Q70" s="316" t="s">
        <v>412</v>
      </c>
      <c r="R70" s="317">
        <f t="array" ref="R70:T70">LINEST(O69:O72,N69:N72^{1,2})</f>
        <v>1.2754445574274584E-4</v>
      </c>
      <c r="S70" s="317">
        <v>2.8071138298031151E-3</v>
      </c>
      <c r="T70" s="319">
        <v>65.241579703239807</v>
      </c>
      <c r="U70" s="84">
        <f>$R$70*AC36^2+$S$70*AC36+$T$70</f>
        <v>66.311166142056649</v>
      </c>
      <c r="W70" s="232"/>
      <c r="X70" s="68">
        <v>179.97539914207314</v>
      </c>
      <c r="Y70" s="68">
        <v>196.96128282198916</v>
      </c>
      <c r="AM70" s="12"/>
      <c r="AN70" s="16" t="s">
        <v>13</v>
      </c>
      <c r="AO70" s="11" t="s">
        <v>516</v>
      </c>
    </row>
    <row r="71" spans="3:41" x14ac:dyDescent="0.15">
      <c r="C71" s="12"/>
      <c r="D71" s="67">
        <v>179.3</v>
      </c>
      <c r="E71" s="68">
        <v>50.113476278917901</v>
      </c>
      <c r="F71" s="69">
        <v>110.69899121354534</v>
      </c>
      <c r="G71" s="129" t="s">
        <v>423</v>
      </c>
      <c r="H71">
        <f t="array" ref="H71:I71">LINEST(E69:E72,D69:D72)</f>
        <v>1.6691170023465752E-2</v>
      </c>
      <c r="I71">
        <v>47.472082944897487</v>
      </c>
      <c r="K71" s="298">
        <f>H71*$AC$36+I71</f>
        <v>48.827897005706134</v>
      </c>
      <c r="M71" s="12"/>
      <c r="N71" s="67">
        <v>177.657613751502</v>
      </c>
      <c r="O71" s="68">
        <v>69.785748446535706</v>
      </c>
      <c r="P71" s="69">
        <v>110.69899121354534</v>
      </c>
      <c r="Q71" s="129" t="s">
        <v>420</v>
      </c>
      <c r="R71">
        <f t="array" ref="R71:S71">LINEST(O69:O72,N69:N72)</f>
        <v>4.6552416712476584E-2</v>
      </c>
      <c r="S71">
        <v>61.64630588002133</v>
      </c>
      <c r="T71" s="24"/>
      <c r="U71" s="84">
        <f>R71*AC36+S71</f>
        <v>65.427731691073831</v>
      </c>
      <c r="W71" s="232"/>
      <c r="X71" s="68">
        <v>225.68063250055866</v>
      </c>
      <c r="Y71" s="68">
        <v>237.81117979773683</v>
      </c>
      <c r="AM71" s="228" t="s">
        <v>404</v>
      </c>
      <c r="AN71" s="68">
        <v>142.54034990280852</v>
      </c>
      <c r="AO71" s="288">
        <v>473.91392562092256</v>
      </c>
    </row>
    <row r="72" spans="3:41" x14ac:dyDescent="0.15">
      <c r="C72" s="14"/>
      <c r="D72" s="67">
        <v>128</v>
      </c>
      <c r="E72" s="68">
        <v>49.839015741427502</v>
      </c>
      <c r="F72" s="69">
        <v>86.543140247698204</v>
      </c>
      <c r="G72" s="297" t="s">
        <v>462</v>
      </c>
      <c r="H72" s="2">
        <f t="array" ref="H72:I72">LINEST(E69:E72,LN(D69:D72))</f>
        <v>2.6616686914466596</v>
      </c>
      <c r="I72" s="2">
        <v>36.711006433690152</v>
      </c>
      <c r="K72" s="298">
        <f>H72*LN($AC$36)+I72</f>
        <v>48.415102275911373</v>
      </c>
      <c r="M72" s="14"/>
      <c r="N72" s="67">
        <v>129.31721034610501</v>
      </c>
      <c r="O72" s="68">
        <v>67.734414836531897</v>
      </c>
      <c r="P72" s="69">
        <v>86.543140247698204</v>
      </c>
      <c r="Q72" s="297" t="s">
        <v>462</v>
      </c>
      <c r="R72" s="2">
        <f t="array" ref="R72:S72">LINEST(O69:O72,LN(N69:N72))</f>
        <v>7.7546738852761088</v>
      </c>
      <c r="S72" s="2">
        <v>29.908329016852115</v>
      </c>
      <c r="T72" s="24"/>
      <c r="U72" s="84">
        <f>R72*LN($AC$36)+S72</f>
        <v>64.00778199163662</v>
      </c>
      <c r="W72" s="232"/>
      <c r="X72" s="68">
        <v>247.99195567141854</v>
      </c>
      <c r="Y72" s="68">
        <v>260.47989897572495</v>
      </c>
      <c r="AM72" s="232"/>
      <c r="AN72" s="68">
        <v>179.97539914207314</v>
      </c>
      <c r="AO72" s="289">
        <v>473.1384992406995</v>
      </c>
    </row>
    <row r="73" spans="3:41" x14ac:dyDescent="0.15">
      <c r="C73" s="12"/>
      <c r="D73" s="17"/>
      <c r="E73" s="42"/>
      <c r="F73" s="13"/>
      <c r="K73" s="298"/>
      <c r="M73" s="12"/>
      <c r="N73" s="17"/>
      <c r="O73" s="42"/>
      <c r="P73" s="13"/>
      <c r="T73" s="24"/>
      <c r="W73" s="232"/>
      <c r="X73" s="68">
        <v>284.00641090512107</v>
      </c>
      <c r="Y73" s="68">
        <v>292.86254766640252</v>
      </c>
      <c r="AM73" s="232"/>
      <c r="AN73" s="68">
        <v>225.68063250055866</v>
      </c>
      <c r="AO73" s="289">
        <v>462.69713755706249</v>
      </c>
    </row>
    <row r="74" spans="3:41" x14ac:dyDescent="0.15">
      <c r="C74" s="10" t="s">
        <v>410</v>
      </c>
      <c r="D74" s="67">
        <v>135.1</v>
      </c>
      <c r="E74" s="68">
        <v>42.598859931585011</v>
      </c>
      <c r="F74" s="69">
        <v>45.537563418715308</v>
      </c>
      <c r="H74" t="s">
        <v>4</v>
      </c>
      <c r="I74" t="s">
        <v>5</v>
      </c>
      <c r="J74" t="s">
        <v>6</v>
      </c>
      <c r="K74" s="298"/>
      <c r="M74" s="10" t="s">
        <v>410</v>
      </c>
      <c r="N74" s="67">
        <v>136.94470684441694</v>
      </c>
      <c r="O74" s="68">
        <v>61.636094765036098</v>
      </c>
      <c r="P74" s="69">
        <v>45.537563418715308</v>
      </c>
      <c r="R74" t="s">
        <v>4</v>
      </c>
      <c r="S74" t="s">
        <v>5</v>
      </c>
      <c r="T74" s="24" t="s">
        <v>6</v>
      </c>
      <c r="W74" s="232"/>
      <c r="X74" s="68">
        <v>305.11582722495291</v>
      </c>
      <c r="Y74" s="68">
        <v>310.41418560822922</v>
      </c>
      <c r="AM74" s="232"/>
      <c r="AN74" s="68">
        <v>247.99195567141854</v>
      </c>
      <c r="AO74" s="289">
        <v>445.05159760438255</v>
      </c>
    </row>
    <row r="75" spans="3:41" x14ac:dyDescent="0.15">
      <c r="C75" s="12"/>
      <c r="D75" s="67">
        <v>124.4</v>
      </c>
      <c r="E75" s="68">
        <v>41.766385883723473</v>
      </c>
      <c r="F75" s="69">
        <v>43.27283236895304</v>
      </c>
      <c r="G75" s="316" t="s">
        <v>412</v>
      </c>
      <c r="H75" s="317">
        <f t="array" ref="H75:J75">LINEST(E74:E77,D74:D77^{1,2})</f>
        <v>8.4241062650992351E-4</v>
      </c>
      <c r="I75" s="317">
        <v>-0.14168724327947177</v>
      </c>
      <c r="J75" s="317">
        <v>46.362347174072724</v>
      </c>
      <c r="K75" s="318">
        <f>$H$75*AC37^2+$I$75*AC37+$J$75</f>
        <v>41.320151480510276</v>
      </c>
      <c r="M75" s="12"/>
      <c r="N75" s="67">
        <v>126.48327019359726</v>
      </c>
      <c r="O75" s="68">
        <v>60.708709459674338</v>
      </c>
      <c r="P75" s="69">
        <v>43.27283236895304</v>
      </c>
      <c r="Q75" s="316" t="s">
        <v>412</v>
      </c>
      <c r="R75" s="317">
        <f t="array" ref="R75:T75">LINEST(O74:O77,N74:N77^{1,2})</f>
        <v>3.7912117857628723E-4</v>
      </c>
      <c r="S75" s="317">
        <v>-1.0613785702693062E-2</v>
      </c>
      <c r="T75" s="319">
        <v>55.981722272520869</v>
      </c>
      <c r="U75" s="84">
        <f>$R$75*AC37^2+$S$75*AC37+$T$75</f>
        <v>56.430178091287189</v>
      </c>
      <c r="W75" s="290"/>
      <c r="X75" s="68">
        <v>280.37540028596254</v>
      </c>
      <c r="Y75" s="68">
        <v>289.48558554113851</v>
      </c>
      <c r="AM75" s="232"/>
      <c r="AN75" s="68">
        <v>284.00641090512107</v>
      </c>
      <c r="AO75" s="289">
        <v>408.52036683816453</v>
      </c>
    </row>
    <row r="76" spans="3:41" x14ac:dyDescent="0.15">
      <c r="C76" s="12"/>
      <c r="D76" s="67">
        <v>113.2</v>
      </c>
      <c r="E76" s="68">
        <v>41.1225087051739</v>
      </c>
      <c r="F76" s="69">
        <v>39.567992760532817</v>
      </c>
      <c r="G76" s="129" t="s">
        <v>423</v>
      </c>
      <c r="H76">
        <f t="array" ref="H76:I76">LINEST(E74:E77,D74:D77)</f>
        <v>3.5173246523195922E-2</v>
      </c>
      <c r="I76">
        <v>37.515420960701775</v>
      </c>
      <c r="K76" s="298">
        <f>H76*$AC$37+I76</f>
        <v>39.313842725187101</v>
      </c>
      <c r="M76" s="12"/>
      <c r="N76" s="67">
        <v>110.48203024842798</v>
      </c>
      <c r="O76" s="68">
        <v>59.434186199278997</v>
      </c>
      <c r="P76" s="69">
        <v>39.567992760532817</v>
      </c>
      <c r="Q76" s="129" t="s">
        <v>420</v>
      </c>
      <c r="R76">
        <f t="array" ref="R76:S76">LINEST(O74:O77,N74:N77)</f>
        <v>7.0691547669535434E-2</v>
      </c>
      <c r="S76">
        <v>51.814419206850864</v>
      </c>
      <c r="T76" s="24"/>
      <c r="U76" s="84">
        <f>R76*AC37+S76</f>
        <v>55.428905512805116</v>
      </c>
      <c r="W76" s="232"/>
      <c r="X76" s="68">
        <v>306.42216557619219</v>
      </c>
      <c r="Y76" s="68">
        <v>311.04275486404356</v>
      </c>
      <c r="AM76" s="232"/>
      <c r="AN76" s="68">
        <v>305.11582722495291</v>
      </c>
      <c r="AO76" s="289">
        <v>374.87627917763552</v>
      </c>
    </row>
    <row r="77" spans="3:41" ht="14" thickBot="1" x14ac:dyDescent="0.2">
      <c r="C77" s="14"/>
      <c r="D77" s="67">
        <v>78.2</v>
      </c>
      <c r="E77" s="68">
        <v>40.43354617963378</v>
      </c>
      <c r="F77" s="69">
        <v>33.309297611254642</v>
      </c>
      <c r="G77" s="297" t="s">
        <v>462</v>
      </c>
      <c r="H77" s="2">
        <f t="array" ref="H77:I77">LINEST(E74:E77,LN(D74:D77))</f>
        <v>3.5059275896616744</v>
      </c>
      <c r="I77" s="2">
        <v>24.986738579812641</v>
      </c>
      <c r="J77" s="25"/>
      <c r="K77" s="298">
        <f>H77*LN($AC$37)+I77</f>
        <v>38.780386499484408</v>
      </c>
      <c r="M77" s="14"/>
      <c r="N77" s="67">
        <v>79.668407730229532</v>
      </c>
      <c r="O77" s="68">
        <v>57.542846550437403</v>
      </c>
      <c r="P77" s="69">
        <v>33.309297611254642</v>
      </c>
      <c r="Q77" s="297" t="s">
        <v>462</v>
      </c>
      <c r="R77" s="2">
        <f t="array" ref="R77:S77">LINEST(O74:O77,LN(N74:N77))</f>
        <v>7.3283870392003507</v>
      </c>
      <c r="S77" s="2">
        <v>25.309334897927904</v>
      </c>
      <c r="T77" s="26"/>
      <c r="U77" s="84">
        <f>R77*LN($AC$37)+S77</f>
        <v>54.141987042797297</v>
      </c>
      <c r="W77" s="236"/>
      <c r="X77" s="68">
        <v>68.235663849616046</v>
      </c>
      <c r="Y77" s="68">
        <v>119.40185523650993</v>
      </c>
      <c r="AM77" s="290"/>
      <c r="AN77" s="68"/>
      <c r="AO77" s="291"/>
    </row>
    <row r="78" spans="3:41" x14ac:dyDescent="0.15">
      <c r="W78" s="12"/>
      <c r="X78" s="17"/>
      <c r="Y78" s="13"/>
      <c r="AM78" s="232"/>
      <c r="AN78" s="68"/>
      <c r="AO78" s="289"/>
    </row>
    <row r="79" spans="3:41" ht="14" thickBot="1" x14ac:dyDescent="0.2">
      <c r="F79" s="5"/>
      <c r="W79" s="12"/>
      <c r="X79" s="16" t="s">
        <v>13</v>
      </c>
      <c r="Y79" s="11" t="s">
        <v>49</v>
      </c>
      <c r="AM79" s="236"/>
      <c r="AN79" s="68"/>
      <c r="AO79" s="293"/>
    </row>
    <row r="80" spans="3:41" x14ac:dyDescent="0.15">
      <c r="F80" s="5"/>
      <c r="W80" s="228" t="s">
        <v>411</v>
      </c>
      <c r="X80" s="68">
        <v>98.62537172384414</v>
      </c>
      <c r="Y80" s="68">
        <v>73.255512194579921</v>
      </c>
      <c r="AM80" s="12"/>
      <c r="AN80" s="17"/>
      <c r="AO80" s="13"/>
    </row>
    <row r="81" spans="6:41" ht="14" thickBot="1" x14ac:dyDescent="0.2">
      <c r="F81" s="5"/>
      <c r="W81" s="232"/>
      <c r="X81" s="68">
        <v>129.31721034610501</v>
      </c>
      <c r="Y81" s="68">
        <v>86.543140247698204</v>
      </c>
      <c r="AM81" s="12"/>
      <c r="AN81" s="16" t="s">
        <v>13</v>
      </c>
      <c r="AO81" s="11" t="s">
        <v>516</v>
      </c>
    </row>
    <row r="82" spans="6:41" x14ac:dyDescent="0.15">
      <c r="F82" s="5"/>
      <c r="W82" s="232"/>
      <c r="X82" s="68">
        <v>160.77952147934997</v>
      </c>
      <c r="Y82" s="68">
        <v>101.62904601770833</v>
      </c>
      <c r="AM82" s="228" t="s">
        <v>411</v>
      </c>
      <c r="AN82" s="68">
        <v>98.62537172384414</v>
      </c>
      <c r="AO82" s="288">
        <v>255.30068106481482</v>
      </c>
    </row>
    <row r="83" spans="6:41" x14ac:dyDescent="0.15">
      <c r="W83" s="232"/>
      <c r="X83" s="68">
        <v>177.657613751502</v>
      </c>
      <c r="Y83" s="68">
        <v>110.69899121354534</v>
      </c>
      <c r="AM83" s="232"/>
      <c r="AN83" s="68">
        <v>129.31721034610501</v>
      </c>
      <c r="AO83" s="289">
        <v>256.34269128011908</v>
      </c>
    </row>
    <row r="84" spans="6:41" x14ac:dyDescent="0.15">
      <c r="W84" s="232"/>
      <c r="X84" s="68">
        <v>203.34117912137015</v>
      </c>
      <c r="Y84" s="68">
        <v>123.35633973294334</v>
      </c>
      <c r="AM84" s="232"/>
      <c r="AN84" s="68">
        <v>160.77952147934997</v>
      </c>
      <c r="AO84" s="289">
        <v>253.81558432274147</v>
      </c>
    </row>
    <row r="85" spans="6:41" x14ac:dyDescent="0.15">
      <c r="W85" s="232"/>
      <c r="X85" s="68">
        <v>222.79446560777538</v>
      </c>
      <c r="Y85" s="68">
        <v>134.90921358508626</v>
      </c>
      <c r="AM85" s="232"/>
      <c r="AN85" s="68">
        <v>177.657613751502</v>
      </c>
      <c r="AO85" s="289">
        <v>243.93185845736002</v>
      </c>
    </row>
    <row r="86" spans="6:41" x14ac:dyDescent="0.15">
      <c r="W86" s="290"/>
      <c r="X86" s="68">
        <v>203.48048535677617</v>
      </c>
      <c r="Y86" s="68">
        <v>123.40172430505064</v>
      </c>
      <c r="AM86" s="232"/>
      <c r="AN86" s="68">
        <v>203.34117912137015</v>
      </c>
      <c r="AO86" s="289">
        <v>228.34086817976635</v>
      </c>
    </row>
    <row r="87" spans="6:41" ht="14" thickBot="1" x14ac:dyDescent="0.2">
      <c r="F87" s="5"/>
      <c r="W87" s="236"/>
      <c r="X87" s="68">
        <v>216.68199713194693</v>
      </c>
      <c r="Y87" s="68">
        <v>130.02142396481116</v>
      </c>
      <c r="AM87" s="232"/>
      <c r="AN87" s="68">
        <v>222.79446560777538</v>
      </c>
      <c r="AO87" s="289">
        <v>215.69856850350868</v>
      </c>
    </row>
    <row r="88" spans="6:41" x14ac:dyDescent="0.15">
      <c r="F88" s="5"/>
      <c r="W88" s="12"/>
      <c r="X88" s="17"/>
      <c r="Y88" s="13"/>
      <c r="AM88" s="290"/>
      <c r="AN88" s="68"/>
      <c r="AO88" s="291"/>
    </row>
    <row r="89" spans="6:41" ht="14" thickBot="1" x14ac:dyDescent="0.2">
      <c r="F89" s="5"/>
      <c r="W89" s="12"/>
      <c r="X89" s="17"/>
      <c r="Y89" s="13"/>
      <c r="AM89" s="236"/>
      <c r="AN89" s="68"/>
      <c r="AO89" s="293"/>
    </row>
    <row r="90" spans="6:41" x14ac:dyDescent="0.15">
      <c r="F90" s="5"/>
      <c r="W90" s="12"/>
      <c r="X90" s="16" t="s">
        <v>13</v>
      </c>
      <c r="Y90" s="11" t="s">
        <v>49</v>
      </c>
      <c r="AM90" s="12"/>
      <c r="AN90" s="17"/>
      <c r="AO90" s="13"/>
    </row>
    <row r="91" spans="6:41" ht="14" thickBot="1" x14ac:dyDescent="0.2">
      <c r="F91" s="5"/>
      <c r="W91" s="10" t="s">
        <v>410</v>
      </c>
      <c r="X91" s="68">
        <v>60.763954617523893</v>
      </c>
      <c r="Y91" s="68">
        <v>29.409439010889692</v>
      </c>
      <c r="AM91" s="12"/>
      <c r="AN91" s="17"/>
      <c r="AO91" s="13"/>
    </row>
    <row r="92" spans="6:41" x14ac:dyDescent="0.15">
      <c r="F92" s="5"/>
      <c r="W92" s="12"/>
      <c r="X92" s="68">
        <v>79.668407730229532</v>
      </c>
      <c r="Y92" s="68">
        <v>33.309297611254642</v>
      </c>
      <c r="AM92" s="228"/>
      <c r="AN92" s="320" t="s">
        <v>13</v>
      </c>
      <c r="AO92" s="11" t="s">
        <v>516</v>
      </c>
    </row>
    <row r="93" spans="6:41" x14ac:dyDescent="0.15">
      <c r="F93" s="5"/>
      <c r="W93" s="12"/>
      <c r="X93" s="68">
        <v>98.463521838786008</v>
      </c>
      <c r="Y93" s="68">
        <v>37.281582637626165</v>
      </c>
      <c r="AM93" s="322" t="s">
        <v>406</v>
      </c>
      <c r="AN93" s="68">
        <v>60.763954617523893</v>
      </c>
      <c r="AO93" s="323">
        <v>109.31968624976143</v>
      </c>
    </row>
    <row r="94" spans="6:41" x14ac:dyDescent="0.15">
      <c r="F94" s="5"/>
      <c r="W94" s="12"/>
      <c r="X94" s="68">
        <v>110.48203024842798</v>
      </c>
      <c r="Y94" s="68">
        <v>39.567992760532817</v>
      </c>
      <c r="AM94" s="232"/>
      <c r="AN94" s="68">
        <v>79.668407730229532</v>
      </c>
      <c r="AO94" s="289">
        <v>111.65317186130773</v>
      </c>
    </row>
    <row r="95" spans="6:41" x14ac:dyDescent="0.15">
      <c r="F95" s="5"/>
      <c r="W95" s="12"/>
      <c r="X95" s="68">
        <v>128.45544998656661</v>
      </c>
      <c r="Y95" s="68">
        <v>42.914202318586497</v>
      </c>
      <c r="AM95" s="232"/>
      <c r="AN95" s="68">
        <v>98.463521838786008</v>
      </c>
      <c r="AO95" s="289">
        <v>110.42478023967983</v>
      </c>
    </row>
    <row r="96" spans="6:41" x14ac:dyDescent="0.15">
      <c r="F96" s="5"/>
      <c r="W96" s="12"/>
      <c r="X96" s="68">
        <v>132.43201934330645</v>
      </c>
      <c r="Y96" s="68">
        <v>43.891248017188815</v>
      </c>
      <c r="AM96" s="232"/>
      <c r="AN96" s="68">
        <v>110.48203024842798</v>
      </c>
      <c r="AO96" s="289">
        <v>110.02884818331296</v>
      </c>
    </row>
    <row r="97" spans="6:41" x14ac:dyDescent="0.15">
      <c r="F97" s="5"/>
      <c r="W97" s="14"/>
      <c r="X97" s="68">
        <v>126.48327019359726</v>
      </c>
      <c r="Y97" s="68">
        <v>43.27283236895304</v>
      </c>
      <c r="AM97" s="232"/>
      <c r="AN97" s="68">
        <v>128.45544998656661</v>
      </c>
      <c r="AO97" s="289">
        <v>102.35401122473381</v>
      </c>
    </row>
    <row r="98" spans="6:41" x14ac:dyDescent="0.15">
      <c r="F98" s="5"/>
      <c r="X98" s="8">
        <v>136.94470684441694</v>
      </c>
      <c r="Y98" s="8">
        <v>45.537563418715308</v>
      </c>
      <c r="AM98" s="232"/>
      <c r="AN98" s="68">
        <v>132.43201934330645</v>
      </c>
      <c r="AO98" s="289">
        <v>100.48562347094051</v>
      </c>
    </row>
    <row r="99" spans="6:41" ht="14" thickBot="1" x14ac:dyDescent="0.2">
      <c r="F99" s="5"/>
      <c r="AM99" s="236"/>
      <c r="AN99" s="68"/>
      <c r="AO99" s="293"/>
    </row>
    <row r="100" spans="6:41" x14ac:dyDescent="0.15">
      <c r="AN100" s="8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9C294-0033-4B74-B7CB-2C22639913D5}">
  <sheetPr codeName="Taul17"/>
  <dimension ref="B2:AQ49"/>
  <sheetViews>
    <sheetView workbookViewId="0">
      <selection activeCell="I19" sqref="I19"/>
    </sheetView>
  </sheetViews>
  <sheetFormatPr baseColWidth="10" defaultColWidth="8.83203125" defaultRowHeight="13" x14ac:dyDescent="0.15"/>
  <cols>
    <col min="2" max="2" width="22.5" customWidth="1"/>
  </cols>
  <sheetData>
    <row r="2" spans="2:43" ht="14" thickBot="1" x14ac:dyDescent="0.2">
      <c r="E2" t="s">
        <v>455</v>
      </c>
    </row>
    <row r="3" spans="2:43" ht="17" x14ac:dyDescent="0.15">
      <c r="B3" s="2" t="s">
        <v>79</v>
      </c>
      <c r="E3" t="s">
        <v>454</v>
      </c>
      <c r="F3" t="s">
        <v>456</v>
      </c>
      <c r="K3" s="940" t="s">
        <v>427</v>
      </c>
      <c r="L3" s="941"/>
      <c r="M3" s="941"/>
      <c r="N3" s="941"/>
      <c r="O3" s="941"/>
      <c r="P3" s="941"/>
      <c r="Q3" s="942" t="s">
        <v>428</v>
      </c>
      <c r="R3" s="942"/>
      <c r="S3" s="942"/>
      <c r="T3" s="942"/>
      <c r="U3" s="942"/>
      <c r="V3" s="942"/>
      <c r="W3" s="934" t="s">
        <v>429</v>
      </c>
      <c r="X3" s="941" t="s">
        <v>313</v>
      </c>
      <c r="Y3" s="941"/>
      <c r="Z3" s="941"/>
      <c r="AA3" s="941"/>
      <c r="AB3" s="941"/>
      <c r="AC3" s="941"/>
      <c r="AD3" s="941"/>
      <c r="AE3" s="941"/>
      <c r="AF3" s="934" t="s">
        <v>430</v>
      </c>
      <c r="AG3" s="936" t="s">
        <v>431</v>
      </c>
    </row>
    <row r="4" spans="2:43" x14ac:dyDescent="0.15">
      <c r="B4" t="s">
        <v>7</v>
      </c>
      <c r="C4" s="314">
        <f>Tulokset!E37</f>
        <v>4.6056989925805771</v>
      </c>
      <c r="D4" t="s">
        <v>25</v>
      </c>
      <c r="E4" s="313">
        <f>Tulostus!E39/Tulostus!E33^2</f>
        <v>3.125E-2</v>
      </c>
      <c r="F4" s="313">
        <f>AVERAGE(E4:E5)</f>
        <v>3.125E-2</v>
      </c>
      <c r="K4" s="939" t="s">
        <v>432</v>
      </c>
      <c r="L4" s="904" t="s">
        <v>433</v>
      </c>
      <c r="M4" s="904" t="s">
        <v>434</v>
      </c>
      <c r="N4" s="904" t="s">
        <v>435</v>
      </c>
      <c r="O4" s="904" t="s">
        <v>436</v>
      </c>
      <c r="P4" s="904" t="s">
        <v>437</v>
      </c>
      <c r="Q4" s="933" t="s">
        <v>438</v>
      </c>
      <c r="R4" s="933" t="s">
        <v>439</v>
      </c>
      <c r="S4" s="933" t="s">
        <v>440</v>
      </c>
      <c r="T4" s="933" t="s">
        <v>441</v>
      </c>
      <c r="U4" s="933" t="s">
        <v>442</v>
      </c>
      <c r="V4" s="933" t="s">
        <v>443</v>
      </c>
      <c r="W4" s="935"/>
      <c r="X4" s="932" t="s">
        <v>61</v>
      </c>
      <c r="Y4" s="932" t="s">
        <v>62</v>
      </c>
      <c r="Z4" s="932" t="s">
        <v>63</v>
      </c>
      <c r="AA4" s="932" t="s">
        <v>64</v>
      </c>
      <c r="AB4" s="932" t="s">
        <v>65</v>
      </c>
      <c r="AC4" s="932" t="s">
        <v>66</v>
      </c>
      <c r="AD4" s="932" t="s">
        <v>67</v>
      </c>
      <c r="AE4" s="932" t="s">
        <v>68</v>
      </c>
      <c r="AF4" s="935"/>
      <c r="AG4" s="937"/>
    </row>
    <row r="5" spans="2:43" x14ac:dyDescent="0.15">
      <c r="B5" t="s">
        <v>8</v>
      </c>
      <c r="C5" s="314">
        <f>Tulokset!H37</f>
        <v>4.0607088592057181</v>
      </c>
      <c r="D5" t="s">
        <v>25</v>
      </c>
      <c r="E5" s="313">
        <f>Tulostus!G39/Tulostus!G33^2</f>
        <v>3.125E-2</v>
      </c>
      <c r="K5" s="939"/>
      <c r="L5" s="904"/>
      <c r="M5" s="904"/>
      <c r="N5" s="904"/>
      <c r="O5" s="904"/>
      <c r="P5" s="904"/>
      <c r="Q5" s="933"/>
      <c r="R5" s="933"/>
      <c r="S5" s="933"/>
      <c r="T5" s="933"/>
      <c r="U5" s="933"/>
      <c r="V5" s="933"/>
      <c r="W5" s="935"/>
      <c r="X5" s="932"/>
      <c r="Y5" s="932"/>
      <c r="Z5" s="932"/>
      <c r="AA5" s="932"/>
      <c r="AB5" s="932"/>
      <c r="AC5" s="932"/>
      <c r="AD5" s="932"/>
      <c r="AE5" s="932"/>
      <c r="AF5" s="932"/>
      <c r="AG5" s="938"/>
    </row>
    <row r="6" spans="2:43" x14ac:dyDescent="0.15">
      <c r="K6" s="308">
        <v>100</v>
      </c>
      <c r="L6" s="3">
        <v>9.9980000000000011</v>
      </c>
      <c r="M6" s="3">
        <v>345.6</v>
      </c>
      <c r="N6" s="3">
        <v>-64.028924709346654</v>
      </c>
      <c r="O6" s="3">
        <v>31.756873632767196</v>
      </c>
      <c r="P6" s="3">
        <v>95.78579834211385</v>
      </c>
      <c r="Q6" s="3">
        <v>100</v>
      </c>
      <c r="R6" s="3">
        <v>10.001000000000001</v>
      </c>
      <c r="S6" s="3">
        <v>366.1</v>
      </c>
      <c r="T6" s="3">
        <v>-79.000897073500028</v>
      </c>
      <c r="U6" s="3">
        <v>23.559591095089353</v>
      </c>
      <c r="V6" s="3">
        <v>102.56048816858939</v>
      </c>
      <c r="W6" s="3">
        <v>1023.831367997175</v>
      </c>
      <c r="X6" s="3">
        <v>69.944354434953652</v>
      </c>
      <c r="Y6" s="3">
        <v>66.442442059355784</v>
      </c>
      <c r="Z6" s="3">
        <v>58.164753109082021</v>
      </c>
      <c r="AA6" s="3">
        <v>45.033848136713658</v>
      </c>
      <c r="AB6" s="3">
        <v>39.586902452698837</v>
      </c>
      <c r="AC6" s="3">
        <v>38.272160465547479</v>
      </c>
      <c r="AD6" s="3">
        <v>38.517466643896555</v>
      </c>
      <c r="AE6" s="3">
        <v>37.52673013243556</v>
      </c>
      <c r="AF6" s="3">
        <v>71.759903439883232</v>
      </c>
      <c r="AG6" s="309">
        <v>54.052145206595526</v>
      </c>
      <c r="AI6" s="3">
        <f>X6-$AG6</f>
        <v>15.892209228358126</v>
      </c>
      <c r="AJ6" s="3">
        <f t="shared" ref="AJ6:AO14" si="0">Y6-$AG6</f>
        <v>12.390296852760258</v>
      </c>
      <c r="AK6" s="3">
        <f t="shared" si="0"/>
        <v>4.112607902486495</v>
      </c>
      <c r="AL6" s="3">
        <f t="shared" si="0"/>
        <v>-9.0182970698818679</v>
      </c>
      <c r="AM6" s="3">
        <f t="shared" si="0"/>
        <v>-14.465242753896689</v>
      </c>
      <c r="AN6" s="3">
        <f t="shared" si="0"/>
        <v>-15.779984741048047</v>
      </c>
      <c r="AO6" s="3">
        <f t="shared" si="0"/>
        <v>-15.534678562698971</v>
      </c>
      <c r="AP6" s="3">
        <f>AE6-$AG6</f>
        <v>-16.525415074159966</v>
      </c>
      <c r="AQ6" s="3"/>
    </row>
    <row r="7" spans="2:43" x14ac:dyDescent="0.15">
      <c r="B7" s="2" t="s">
        <v>88</v>
      </c>
      <c r="K7" s="308">
        <v>100</v>
      </c>
      <c r="L7" s="3">
        <v>9.9939</v>
      </c>
      <c r="M7" s="3">
        <v>295</v>
      </c>
      <c r="N7" s="3">
        <v>-130.36697343925576</v>
      </c>
      <c r="O7" s="3">
        <v>168.86179030109395</v>
      </c>
      <c r="P7" s="3">
        <v>299.22876374034973</v>
      </c>
      <c r="Q7" s="3">
        <v>100</v>
      </c>
      <c r="R7" s="3">
        <v>9.9873999999999974</v>
      </c>
      <c r="S7" s="3">
        <v>310.10000000000002</v>
      </c>
      <c r="T7" s="3">
        <v>-144.30650848150103</v>
      </c>
      <c r="U7" s="3">
        <v>158.44179166193612</v>
      </c>
      <c r="V7" s="3">
        <v>302.74830014343718</v>
      </c>
      <c r="W7" s="3">
        <v>912.58281565252344</v>
      </c>
      <c r="X7" s="3">
        <v>68.934606198098393</v>
      </c>
      <c r="Y7" s="3">
        <v>65.013265249389434</v>
      </c>
      <c r="Z7" s="3">
        <v>57.098562492395388</v>
      </c>
      <c r="AA7" s="3">
        <v>43.125181869049115</v>
      </c>
      <c r="AB7" s="3">
        <v>38.564168534984802</v>
      </c>
      <c r="AC7" s="3">
        <v>36.384242182618181</v>
      </c>
      <c r="AD7" s="3">
        <v>37.159369776419958</v>
      </c>
      <c r="AE7" s="3">
        <v>36.079431075497304</v>
      </c>
      <c r="AF7" s="3">
        <v>70.626022744765351</v>
      </c>
      <c r="AG7" s="309">
        <v>52.776208381479023</v>
      </c>
      <c r="AI7" s="3">
        <f t="shared" ref="AI7:AI14" si="1">X7-$AG7</f>
        <v>16.15839781661937</v>
      </c>
      <c r="AJ7" s="3">
        <f t="shared" si="0"/>
        <v>12.237056867910411</v>
      </c>
      <c r="AK7" s="3">
        <f t="shared" si="0"/>
        <v>4.3223541109163648</v>
      </c>
      <c r="AL7" s="3">
        <f t="shared" si="0"/>
        <v>-9.6510265124299082</v>
      </c>
      <c r="AM7" s="3">
        <f t="shared" si="0"/>
        <v>-14.212039846494221</v>
      </c>
      <c r="AN7" s="3">
        <f t="shared" si="0"/>
        <v>-16.391966198860842</v>
      </c>
      <c r="AO7" s="3">
        <f t="shared" si="0"/>
        <v>-15.616838605059066</v>
      </c>
      <c r="AP7" s="3">
        <f t="shared" ref="AP7:AP14" si="2">AE7-$AG7</f>
        <v>-16.696777305981719</v>
      </c>
      <c r="AQ7" s="3"/>
    </row>
    <row r="8" spans="2:43" x14ac:dyDescent="0.15">
      <c r="B8" t="s">
        <v>90</v>
      </c>
      <c r="K8" s="308">
        <v>100</v>
      </c>
      <c r="L8" s="3">
        <v>9.9953000000000003</v>
      </c>
      <c r="M8" s="3">
        <v>205.5</v>
      </c>
      <c r="N8" s="3">
        <v>-199.45251585140622</v>
      </c>
      <c r="O8" s="3">
        <v>297.73803406902653</v>
      </c>
      <c r="P8" s="3">
        <v>497.19054992043277</v>
      </c>
      <c r="Q8" s="3">
        <v>100</v>
      </c>
      <c r="R8" s="3">
        <v>10.019999999999998</v>
      </c>
      <c r="S8" s="3">
        <v>222.9</v>
      </c>
      <c r="T8" s="3">
        <v>-227.84147911245913</v>
      </c>
      <c r="U8" s="3">
        <v>277.15624577993214</v>
      </c>
      <c r="V8" s="3">
        <v>504.9977248923912</v>
      </c>
      <c r="W8" s="3">
        <v>714.25296036329905</v>
      </c>
      <c r="X8" s="3">
        <v>69.500148913211248</v>
      </c>
      <c r="Y8" s="3">
        <v>66.53050933060625</v>
      </c>
      <c r="Z8" s="3">
        <v>56.554531734825574</v>
      </c>
      <c r="AA8" s="3">
        <v>41.207128869549869</v>
      </c>
      <c r="AB8" s="3">
        <v>37.212637880414007</v>
      </c>
      <c r="AC8" s="3">
        <v>36.615562296469449</v>
      </c>
      <c r="AD8" s="3">
        <v>35.194774178601236</v>
      </c>
      <c r="AE8" s="3">
        <v>34.126363375665321</v>
      </c>
      <c r="AF8" s="3">
        <v>71.427778108560901</v>
      </c>
      <c r="AG8" s="309">
        <v>53.024004158793858</v>
      </c>
      <c r="AI8" s="3">
        <f t="shared" si="1"/>
        <v>16.47614475441739</v>
      </c>
      <c r="AJ8" s="3">
        <f t="shared" si="0"/>
        <v>13.506505171812393</v>
      </c>
      <c r="AK8" s="3">
        <f t="shared" si="0"/>
        <v>3.5305275760317159</v>
      </c>
      <c r="AL8" s="3">
        <f t="shared" si="0"/>
        <v>-11.816875289243988</v>
      </c>
      <c r="AM8" s="3">
        <f t="shared" si="0"/>
        <v>-15.81136627837985</v>
      </c>
      <c r="AN8" s="3">
        <f t="shared" si="0"/>
        <v>-16.408441862324409</v>
      </c>
      <c r="AO8" s="3">
        <f t="shared" si="0"/>
        <v>-17.829229980192622</v>
      </c>
      <c r="AP8" s="3">
        <f t="shared" si="2"/>
        <v>-18.897640783128537</v>
      </c>
      <c r="AQ8" s="3"/>
    </row>
    <row r="9" spans="2:43" x14ac:dyDescent="0.15">
      <c r="B9" t="s">
        <v>89</v>
      </c>
      <c r="K9" s="308">
        <v>80</v>
      </c>
      <c r="L9" s="3">
        <v>8.0030000000000001</v>
      </c>
      <c r="M9" s="3">
        <v>282.10000000000002</v>
      </c>
      <c r="N9" s="3">
        <v>-42.323972616678951</v>
      </c>
      <c r="O9" s="3">
        <v>21.239296194746526</v>
      </c>
      <c r="P9" s="3">
        <v>63.56326881142548</v>
      </c>
      <c r="Q9" s="3">
        <v>80</v>
      </c>
      <c r="R9" s="3">
        <v>8.0111999999999988</v>
      </c>
      <c r="S9" s="3">
        <v>304.10000000000002</v>
      </c>
      <c r="T9" s="3">
        <v>-53.428982848158206</v>
      </c>
      <c r="U9" s="3">
        <v>15.964517474551934</v>
      </c>
      <c r="V9" s="3">
        <v>69.393500322710139</v>
      </c>
      <c r="W9" s="3">
        <v>600.7118339877411</v>
      </c>
      <c r="X9" s="3">
        <v>67.234144561375444</v>
      </c>
      <c r="Y9" s="3">
        <v>62.301237505305579</v>
      </c>
      <c r="Z9" s="3">
        <v>54.116525954893504</v>
      </c>
      <c r="AA9" s="3">
        <v>40.908330293533496</v>
      </c>
      <c r="AB9" s="3">
        <v>36.891389748200275</v>
      </c>
      <c r="AC9" s="3">
        <v>31.815109111480648</v>
      </c>
      <c r="AD9" s="3">
        <v>33.586514710521072</v>
      </c>
      <c r="AE9" s="3">
        <v>32.503268411335654</v>
      </c>
      <c r="AF9" s="3">
        <v>68.61477164480813</v>
      </c>
      <c r="AG9" s="309">
        <v>50.113323788361761</v>
      </c>
      <c r="AI9" s="3">
        <f t="shared" si="1"/>
        <v>17.120820773013683</v>
      </c>
      <c r="AJ9" s="3">
        <f t="shared" si="0"/>
        <v>12.187913716943818</v>
      </c>
      <c r="AK9" s="3">
        <f t="shared" si="0"/>
        <v>4.003202166531743</v>
      </c>
      <c r="AL9" s="3">
        <f t="shared" si="0"/>
        <v>-9.2049934948282655</v>
      </c>
      <c r="AM9" s="3">
        <f t="shared" si="0"/>
        <v>-13.221934040161486</v>
      </c>
      <c r="AN9" s="3">
        <f t="shared" si="0"/>
        <v>-18.298214676881113</v>
      </c>
      <c r="AO9" s="3">
        <f t="shared" si="0"/>
        <v>-16.526809077840689</v>
      </c>
      <c r="AP9" s="3">
        <f t="shared" si="2"/>
        <v>-17.610055377026107</v>
      </c>
      <c r="AQ9" s="3"/>
    </row>
    <row r="10" spans="2:43" x14ac:dyDescent="0.15">
      <c r="C10" t="s">
        <v>4</v>
      </c>
      <c r="D10" t="s">
        <v>5</v>
      </c>
      <c r="K10" s="308">
        <v>80</v>
      </c>
      <c r="L10" s="3">
        <v>8.0055000000000014</v>
      </c>
      <c r="M10" s="3">
        <v>240.1</v>
      </c>
      <c r="N10" s="3">
        <v>-83.924627548136982</v>
      </c>
      <c r="O10" s="3">
        <v>110.69146680385855</v>
      </c>
      <c r="P10" s="3">
        <v>194.61609435199554</v>
      </c>
      <c r="Q10" s="3">
        <v>80</v>
      </c>
      <c r="R10" s="3">
        <v>8.0047999999999995</v>
      </c>
      <c r="S10" s="3">
        <v>254.15</v>
      </c>
      <c r="T10" s="3">
        <v>-95.786151584433213</v>
      </c>
      <c r="U10" s="3">
        <v>104.86166544562084</v>
      </c>
      <c r="V10" s="3">
        <v>200.64781703005406</v>
      </c>
      <c r="W10" s="3">
        <v>517.97700404648128</v>
      </c>
      <c r="X10" s="3">
        <v>65.935988353671362</v>
      </c>
      <c r="Y10" s="3">
        <v>60.658209116503386</v>
      </c>
      <c r="Z10" s="3">
        <v>52.899307595035523</v>
      </c>
      <c r="AA10" s="3">
        <v>39.130727175198793</v>
      </c>
      <c r="AB10" s="3">
        <v>35.156725990297538</v>
      </c>
      <c r="AC10" s="3">
        <v>30.589415923041177</v>
      </c>
      <c r="AD10" s="3">
        <v>32.039247395855341</v>
      </c>
      <c r="AE10" s="3">
        <v>30.629523015730452</v>
      </c>
      <c r="AF10" s="3">
        <v>67.240126473337639</v>
      </c>
      <c r="AG10" s="309">
        <v>48.656389304625122</v>
      </c>
      <c r="AI10" s="3">
        <f t="shared" si="1"/>
        <v>17.27959904904624</v>
      </c>
      <c r="AJ10" s="3">
        <f t="shared" si="0"/>
        <v>12.001819811878264</v>
      </c>
      <c r="AK10" s="3">
        <f t="shared" si="0"/>
        <v>4.242918290410401</v>
      </c>
      <c r="AL10" s="3">
        <f t="shared" si="0"/>
        <v>-9.5256621294263297</v>
      </c>
      <c r="AM10" s="3">
        <f t="shared" si="0"/>
        <v>-13.499663314327584</v>
      </c>
      <c r="AN10" s="3">
        <f t="shared" si="0"/>
        <v>-18.066973381583946</v>
      </c>
      <c r="AO10" s="3">
        <f t="shared" si="0"/>
        <v>-16.617141908769781</v>
      </c>
      <c r="AP10" s="3">
        <f t="shared" si="2"/>
        <v>-18.02686628889467</v>
      </c>
      <c r="AQ10" s="3"/>
    </row>
    <row r="11" spans="2:43" x14ac:dyDescent="0.15">
      <c r="B11" t="s">
        <v>141</v>
      </c>
      <c r="C11" s="107">
        <f>L29</f>
        <v>21.558461915520574</v>
      </c>
      <c r="D11" s="107">
        <f>M29</f>
        <v>3.8866064051300953</v>
      </c>
      <c r="F11" t="s">
        <v>459</v>
      </c>
      <c r="K11" s="308">
        <v>80</v>
      </c>
      <c r="L11" s="3">
        <v>7.9989999999999997</v>
      </c>
      <c r="M11" s="3">
        <v>169.5</v>
      </c>
      <c r="N11" s="3">
        <v>-127.64123985851943</v>
      </c>
      <c r="O11" s="3">
        <v>190.70416856960969</v>
      </c>
      <c r="P11" s="3">
        <v>318.34540842812908</v>
      </c>
      <c r="Q11" s="3">
        <v>80</v>
      </c>
      <c r="R11" s="3">
        <v>7.9888999999999992</v>
      </c>
      <c r="S11" s="3">
        <v>180</v>
      </c>
      <c r="T11" s="3">
        <v>-149.71723373925749</v>
      </c>
      <c r="U11" s="3">
        <v>177.47819594028149</v>
      </c>
      <c r="V11" s="3">
        <v>327.19542967953902</v>
      </c>
      <c r="W11" s="3">
        <v>396.01528741861938</v>
      </c>
      <c r="X11" s="3">
        <v>67.296242328506921</v>
      </c>
      <c r="Y11" s="3">
        <v>61.083092167881539</v>
      </c>
      <c r="Z11" s="3">
        <v>51.443914007280675</v>
      </c>
      <c r="AA11" s="3">
        <v>37.436984984573357</v>
      </c>
      <c r="AB11" s="3">
        <v>33.991587281203188</v>
      </c>
      <c r="AC11" s="3">
        <v>30.612742948609988</v>
      </c>
      <c r="AD11" s="3">
        <v>28.798356475690717</v>
      </c>
      <c r="AE11" s="3">
        <v>27.71722744629594</v>
      </c>
      <c r="AF11" s="3">
        <v>68.324392306141064</v>
      </c>
      <c r="AG11" s="309">
        <v>48.64710508699757</v>
      </c>
      <c r="AI11" s="3">
        <f t="shared" si="1"/>
        <v>18.649137241509351</v>
      </c>
      <c r="AJ11" s="3">
        <f t="shared" si="0"/>
        <v>12.435987080883969</v>
      </c>
      <c r="AK11" s="3">
        <f t="shared" si="0"/>
        <v>2.7968089202831052</v>
      </c>
      <c r="AL11" s="3">
        <f t="shared" si="0"/>
        <v>-11.210120102424213</v>
      </c>
      <c r="AM11" s="3">
        <f t="shared" si="0"/>
        <v>-14.655517805794382</v>
      </c>
      <c r="AN11" s="3">
        <f t="shared" si="0"/>
        <v>-18.034362138387582</v>
      </c>
      <c r="AO11" s="3">
        <f t="shared" si="0"/>
        <v>-19.848748611306853</v>
      </c>
      <c r="AP11" s="3">
        <f t="shared" si="2"/>
        <v>-20.92987764070163</v>
      </c>
      <c r="AQ11" s="3"/>
    </row>
    <row r="12" spans="2:43" x14ac:dyDescent="0.15">
      <c r="B12" t="s">
        <v>457</v>
      </c>
      <c r="C12" s="107">
        <f>U28</f>
        <v>-0.57965010557602148</v>
      </c>
      <c r="D12" s="107">
        <f>V28</f>
        <v>-3.3707784927193938</v>
      </c>
      <c r="E12">
        <f>C12*LN(F4)+D12</f>
        <v>-1.361864310762924</v>
      </c>
      <c r="F12" s="213">
        <f>IF(E12&lt;-1,-1,IF(E12&gt;1,1,E12))</f>
        <v>-1</v>
      </c>
      <c r="G12" t="s">
        <v>31</v>
      </c>
      <c r="K12" s="308">
        <v>60</v>
      </c>
      <c r="L12" s="3">
        <v>5.988999999999999</v>
      </c>
      <c r="M12" s="3">
        <v>199.7</v>
      </c>
      <c r="N12" s="3">
        <v>-23.459373713588381</v>
      </c>
      <c r="O12" s="3">
        <v>10.910513665900297</v>
      </c>
      <c r="P12" s="3">
        <v>34.369887379488681</v>
      </c>
      <c r="Q12" s="3">
        <v>60</v>
      </c>
      <c r="R12" s="3">
        <v>5.9939999999999998</v>
      </c>
      <c r="S12" s="3">
        <v>218.2</v>
      </c>
      <c r="T12" s="3">
        <v>-27.4204270966043</v>
      </c>
      <c r="U12" s="3">
        <v>8.1606630098083706</v>
      </c>
      <c r="V12" s="3">
        <v>35.581090106412674</v>
      </c>
      <c r="W12" s="3">
        <v>259.35833531644158</v>
      </c>
      <c r="X12" s="3">
        <v>61.366762753653845</v>
      </c>
      <c r="Y12" s="3">
        <v>55.884924627314881</v>
      </c>
      <c r="Z12" s="3">
        <v>46.989125287479069</v>
      </c>
      <c r="AA12" s="3">
        <v>34.946790007381985</v>
      </c>
      <c r="AB12" s="3">
        <v>30.722183874220484</v>
      </c>
      <c r="AC12" s="3">
        <v>23.753305795418918</v>
      </c>
      <c r="AD12" s="3">
        <v>25.452754920157975</v>
      </c>
      <c r="AE12" s="3">
        <v>23.657990100749792</v>
      </c>
      <c r="AF12" s="3">
        <v>62.58320144579492</v>
      </c>
      <c r="AG12" s="309">
        <v>43.397891485041725</v>
      </c>
      <c r="AI12" s="3">
        <f t="shared" si="1"/>
        <v>17.968871268612119</v>
      </c>
      <c r="AJ12" s="3">
        <f t="shared" si="0"/>
        <v>12.487033142273155</v>
      </c>
      <c r="AK12" s="3">
        <f t="shared" si="0"/>
        <v>3.591233802437344</v>
      </c>
      <c r="AL12" s="3">
        <f t="shared" si="0"/>
        <v>-8.4511014776597406</v>
      </c>
      <c r="AM12" s="3">
        <f t="shared" si="0"/>
        <v>-12.675707610821242</v>
      </c>
      <c r="AN12" s="3">
        <f t="shared" si="0"/>
        <v>-19.644585689622808</v>
      </c>
      <c r="AO12" s="3">
        <f t="shared" si="0"/>
        <v>-17.94513656488375</v>
      </c>
      <c r="AP12" s="3">
        <f t="shared" si="2"/>
        <v>-19.739901384291933</v>
      </c>
      <c r="AQ12" s="3"/>
    </row>
    <row r="13" spans="2:43" x14ac:dyDescent="0.15">
      <c r="K13" s="308">
        <v>60</v>
      </c>
      <c r="L13" s="3">
        <v>5.9947999999999997</v>
      </c>
      <c r="M13" s="3">
        <v>173.95</v>
      </c>
      <c r="N13" s="3">
        <v>-41.97741313864146</v>
      </c>
      <c r="O13" s="3">
        <v>55.474149340767042</v>
      </c>
      <c r="P13" s="3">
        <v>97.451562479408508</v>
      </c>
      <c r="Q13" s="3">
        <v>60</v>
      </c>
      <c r="R13" s="3">
        <v>6.0069999999999988</v>
      </c>
      <c r="S13" s="3">
        <v>182.1</v>
      </c>
      <c r="T13" s="3">
        <v>-49.858537320759162</v>
      </c>
      <c r="U13" s="3">
        <v>53.024605703615251</v>
      </c>
      <c r="V13" s="3">
        <v>102.88314302437441</v>
      </c>
      <c r="W13" s="3">
        <v>220.49732692531043</v>
      </c>
      <c r="X13" s="3">
        <v>60.696326680480432</v>
      </c>
      <c r="Y13" s="3">
        <v>54.29788293029663</v>
      </c>
      <c r="Z13" s="3">
        <v>44.977806639831179</v>
      </c>
      <c r="AA13" s="3">
        <v>33.46182000852744</v>
      </c>
      <c r="AB13" s="3">
        <v>30.224885205480724</v>
      </c>
      <c r="AC13" s="3">
        <v>23.194924135847206</v>
      </c>
      <c r="AD13" s="3">
        <v>23.259405868737375</v>
      </c>
      <c r="AE13" s="3">
        <v>21.641169172190146</v>
      </c>
      <c r="AF13" s="3">
        <v>61.697410757595293</v>
      </c>
      <c r="AG13" s="309">
        <v>42.037975231571743</v>
      </c>
      <c r="AI13" s="3">
        <f t="shared" si="1"/>
        <v>18.658351448908689</v>
      </c>
      <c r="AJ13" s="3">
        <f t="shared" si="0"/>
        <v>12.259907698724888</v>
      </c>
      <c r="AK13" s="3">
        <f t="shared" si="0"/>
        <v>2.9398314082594368</v>
      </c>
      <c r="AL13" s="3">
        <f t="shared" si="0"/>
        <v>-8.576155223044303</v>
      </c>
      <c r="AM13" s="3">
        <f t="shared" si="0"/>
        <v>-11.813090026091018</v>
      </c>
      <c r="AN13" s="3">
        <f t="shared" si="0"/>
        <v>-18.843051095724537</v>
      </c>
      <c r="AO13" s="3">
        <f t="shared" si="0"/>
        <v>-18.778569362834368</v>
      </c>
      <c r="AP13" s="3">
        <f t="shared" si="2"/>
        <v>-20.396806059381596</v>
      </c>
      <c r="AQ13" s="3"/>
    </row>
    <row r="14" spans="2:43" ht="14" thickBot="1" x14ac:dyDescent="0.2">
      <c r="F14" t="s">
        <v>458</v>
      </c>
      <c r="H14" t="s">
        <v>460</v>
      </c>
      <c r="K14" s="310">
        <v>60</v>
      </c>
      <c r="L14" s="311">
        <v>6.0060000000000002</v>
      </c>
      <c r="M14" s="311">
        <v>128.4</v>
      </c>
      <c r="N14" s="311">
        <v>-62.401752628216236</v>
      </c>
      <c r="O14" s="311">
        <v>95.93427382776386</v>
      </c>
      <c r="P14" s="311">
        <v>158.33602645598009</v>
      </c>
      <c r="Q14" s="311">
        <v>60</v>
      </c>
      <c r="R14" s="311">
        <v>6.0003000000000002</v>
      </c>
      <c r="S14" s="311">
        <v>130</v>
      </c>
      <c r="T14" s="311">
        <v>-77.298695160468242</v>
      </c>
      <c r="U14" s="311">
        <v>89.519464554965609</v>
      </c>
      <c r="V14" s="311">
        <v>166.81815971543386</v>
      </c>
      <c r="W14" s="311">
        <v>173.13748215541941</v>
      </c>
      <c r="X14" s="311">
        <v>61.27583180576643</v>
      </c>
      <c r="Y14" s="311">
        <v>54.252490404039399</v>
      </c>
      <c r="Z14" s="311">
        <v>43.309075772355826</v>
      </c>
      <c r="AA14" s="311">
        <v>31.684610278627403</v>
      </c>
      <c r="AB14" s="311">
        <v>25.613292739404354</v>
      </c>
      <c r="AC14" s="311">
        <v>21.985333705734263</v>
      </c>
      <c r="AD14" s="311">
        <v>20.857122600026315</v>
      </c>
      <c r="AE14" s="311">
        <v>19.02380520290744</v>
      </c>
      <c r="AF14" s="311">
        <v>62.125402324774001</v>
      </c>
      <c r="AG14" s="312">
        <v>41.522310881079832</v>
      </c>
      <c r="AI14" s="3">
        <f t="shared" si="1"/>
        <v>19.753520924686597</v>
      </c>
      <c r="AJ14" s="3">
        <f t="shared" si="0"/>
        <v>12.730179522959567</v>
      </c>
      <c r="AK14" s="3">
        <f t="shared" si="0"/>
        <v>1.7867648912759933</v>
      </c>
      <c r="AL14" s="3">
        <f t="shared" si="0"/>
        <v>-9.8377006024524292</v>
      </c>
      <c r="AM14" s="3">
        <f t="shared" si="0"/>
        <v>-15.909018141675478</v>
      </c>
      <c r="AN14" s="3">
        <f t="shared" si="0"/>
        <v>-19.536977175345569</v>
      </c>
      <c r="AO14" s="3">
        <f t="shared" si="0"/>
        <v>-20.665188281053517</v>
      </c>
      <c r="AP14" s="3">
        <f t="shared" si="2"/>
        <v>-22.498505678172393</v>
      </c>
      <c r="AQ14" s="3"/>
    </row>
    <row r="15" spans="2:43" x14ac:dyDescent="0.15">
      <c r="B15" t="s">
        <v>91</v>
      </c>
      <c r="C15" s="314">
        <f>MAX(C4,C5)</f>
        <v>4.6056989925805771</v>
      </c>
      <c r="D15" t="s">
        <v>25</v>
      </c>
      <c r="E15" s="82" t="s">
        <v>42</v>
      </c>
      <c r="F15" s="5">
        <f>C11*LN(C15)+D11</f>
        <v>36.812725598455096</v>
      </c>
      <c r="G15" t="s">
        <v>31</v>
      </c>
      <c r="H15" s="3">
        <f>F15+F12</f>
        <v>35.812725598455096</v>
      </c>
      <c r="I15" t="s">
        <v>31</v>
      </c>
    </row>
    <row r="16" spans="2:43" x14ac:dyDescent="0.15">
      <c r="B16" t="s">
        <v>92</v>
      </c>
      <c r="C16" s="79">
        <f>(2*MAX(C4,C5)+MIN(C4,C5))/3</f>
        <v>4.4240356147889575</v>
      </c>
      <c r="D16" t="s">
        <v>25</v>
      </c>
      <c r="E16" s="82" t="s">
        <v>42</v>
      </c>
      <c r="F16" s="5">
        <f>C11*LN(C16)+D11</f>
        <v>35.945167094673948</v>
      </c>
      <c r="G16" t="s">
        <v>31</v>
      </c>
      <c r="H16" s="3">
        <f>F16+F12</f>
        <v>34.945167094673948</v>
      </c>
      <c r="I16" t="s">
        <v>31</v>
      </c>
      <c r="U16" s="2" t="s">
        <v>453</v>
      </c>
      <c r="AI16" s="3">
        <f>AVERAGE(AI6:AI14)</f>
        <v>17.550783611685731</v>
      </c>
      <c r="AJ16" s="3">
        <f t="shared" ref="AJ16:AP16" si="3">AVERAGE(AJ6:AJ14)</f>
        <v>12.470744429571859</v>
      </c>
      <c r="AK16" s="3">
        <f t="shared" si="3"/>
        <v>3.4806943409591775</v>
      </c>
      <c r="AL16" s="3">
        <f t="shared" si="3"/>
        <v>-9.699103544599005</v>
      </c>
      <c r="AM16" s="3">
        <f t="shared" si="3"/>
        <v>-14.029286646404659</v>
      </c>
      <c r="AN16" s="3">
        <f t="shared" si="3"/>
        <v>-17.889395217753208</v>
      </c>
      <c r="AO16" s="3">
        <f t="shared" si="3"/>
        <v>-17.706926772737738</v>
      </c>
      <c r="AP16" s="3">
        <f t="shared" si="3"/>
        <v>-19.035760621304281</v>
      </c>
    </row>
    <row r="17" spans="2:42" x14ac:dyDescent="0.15">
      <c r="L17" s="4" t="s">
        <v>25</v>
      </c>
      <c r="M17" s="4" t="s">
        <v>27</v>
      </c>
      <c r="N17" s="4" t="s">
        <v>444</v>
      </c>
      <c r="O17" s="4" t="s">
        <v>445</v>
      </c>
      <c r="P17" t="s">
        <v>446</v>
      </c>
      <c r="R17" t="s">
        <v>447</v>
      </c>
      <c r="S17" t="s">
        <v>87</v>
      </c>
      <c r="U17" t="s">
        <v>82</v>
      </c>
      <c r="V17" t="s">
        <v>448</v>
      </c>
      <c r="X17" t="s">
        <v>449</v>
      </c>
      <c r="AI17" s="3">
        <f>ROUND(AI16,0)</f>
        <v>18</v>
      </c>
      <c r="AJ17" s="3">
        <f t="shared" ref="AJ17:AP17" si="4">ROUND(AJ16,0)</f>
        <v>12</v>
      </c>
      <c r="AK17" s="3">
        <f t="shared" si="4"/>
        <v>3</v>
      </c>
      <c r="AL17" s="3">
        <f t="shared" si="4"/>
        <v>-10</v>
      </c>
      <c r="AM17" s="3">
        <f t="shared" si="4"/>
        <v>-14</v>
      </c>
      <c r="AN17" s="3">
        <f t="shared" si="4"/>
        <v>-18</v>
      </c>
      <c r="AO17" s="3">
        <f t="shared" si="4"/>
        <v>-18</v>
      </c>
      <c r="AP17" s="3">
        <f t="shared" si="4"/>
        <v>-19</v>
      </c>
    </row>
    <row r="18" spans="2:42" ht="14" x14ac:dyDescent="0.15">
      <c r="B18" s="83" t="s">
        <v>82</v>
      </c>
      <c r="K18" s="3"/>
      <c r="L18" s="5">
        <f>L6</f>
        <v>9.9980000000000011</v>
      </c>
      <c r="M18" s="6">
        <f>AG6</f>
        <v>54.052145206595526</v>
      </c>
      <c r="N18" s="99">
        <f>P6/M6^2</f>
        <v>8.0196175148723031E-4</v>
      </c>
      <c r="O18" s="99">
        <f>V6/S6^2</f>
        <v>7.6520997302445765E-4</v>
      </c>
      <c r="P18" s="213">
        <f>AVERAGE(N18:O18)</f>
        <v>7.8358586225584404E-4</v>
      </c>
      <c r="R18">
        <f t="shared" ref="R18:R26" si="5">$L$29*LN(L18)+$M$29</f>
        <v>53.522487316077793</v>
      </c>
      <c r="S18" s="3">
        <f>M18-R18</f>
        <v>0.52965789051773271</v>
      </c>
      <c r="U18">
        <f t="shared" ref="U18:U26" si="6">$U$28*LN(P18)+$V$28</f>
        <v>0.77466454202855406</v>
      </c>
      <c r="V18" s="84">
        <f>R18+U18</f>
        <v>54.297151858106346</v>
      </c>
      <c r="X18" s="3">
        <f>V18-M18</f>
        <v>0.24500665151082046</v>
      </c>
    </row>
    <row r="19" spans="2:42" x14ac:dyDescent="0.15">
      <c r="K19" s="3"/>
      <c r="L19" s="5">
        <f t="shared" ref="L19:L26" si="7">L7</f>
        <v>9.9939</v>
      </c>
      <c r="M19" s="6">
        <f t="shared" ref="M19:M26" si="8">AG7</f>
        <v>52.776208381479023</v>
      </c>
      <c r="N19" s="99">
        <f t="shared" ref="N19:N26" si="9">P7/M7^2</f>
        <v>3.4384230248819276E-3</v>
      </c>
      <c r="O19" s="99">
        <f t="shared" ref="O19:O26" si="10">V7/S7^2</f>
        <v>3.1483150169535471E-3</v>
      </c>
      <c r="P19" s="213">
        <f t="shared" ref="P19:P26" si="11">AVERAGE(N19:O19)</f>
        <v>3.2933690209177371E-3</v>
      </c>
      <c r="R19">
        <f t="shared" si="5"/>
        <v>53.513644765335449</v>
      </c>
      <c r="S19" s="3">
        <f t="shared" ref="S19:S26" si="12">M19-R19</f>
        <v>-0.7374363838564264</v>
      </c>
      <c r="U19">
        <f t="shared" si="6"/>
        <v>-5.7588787350060233E-2</v>
      </c>
      <c r="V19" s="84">
        <f t="shared" ref="V19:V26" si="13">R19+U19</f>
        <v>53.456055977985386</v>
      </c>
      <c r="X19" s="3">
        <f t="shared" ref="X19:X26" si="14">V19-M19</f>
        <v>0.67984759650636306</v>
      </c>
    </row>
    <row r="20" spans="2:42" x14ac:dyDescent="0.15">
      <c r="B20" s="2" t="s">
        <v>84</v>
      </c>
      <c r="K20" s="3"/>
      <c r="L20" s="5">
        <f t="shared" si="7"/>
        <v>9.9953000000000003</v>
      </c>
      <c r="M20" s="6">
        <f t="shared" si="8"/>
        <v>53.024004158793858</v>
      </c>
      <c r="N20" s="99">
        <f t="shared" si="9"/>
        <v>1.1773327174725056E-2</v>
      </c>
      <c r="O20" s="99">
        <f t="shared" si="10"/>
        <v>1.0164108316721305E-2</v>
      </c>
      <c r="P20" s="213">
        <f t="shared" si="11"/>
        <v>1.096871774572318E-2</v>
      </c>
      <c r="R20">
        <f t="shared" si="5"/>
        <v>53.516664580708863</v>
      </c>
      <c r="S20" s="3">
        <f t="shared" si="12"/>
        <v>-0.49266042191500503</v>
      </c>
      <c r="U20">
        <f t="shared" si="6"/>
        <v>-0.75498688269917702</v>
      </c>
      <c r="V20" s="84">
        <f t="shared" si="13"/>
        <v>52.761677698009684</v>
      </c>
      <c r="X20" s="3">
        <f t="shared" si="14"/>
        <v>-0.26232646078417332</v>
      </c>
    </row>
    <row r="21" spans="2:42" x14ac:dyDescent="0.15">
      <c r="B21" t="s">
        <v>85</v>
      </c>
      <c r="C21" t="s">
        <v>28</v>
      </c>
      <c r="D21" s="3">
        <f>Tulostus!N54</f>
        <v>49.966638054503562</v>
      </c>
      <c r="E21" t="s">
        <v>31</v>
      </c>
      <c r="K21" s="3"/>
      <c r="L21" s="5">
        <f t="shared" si="7"/>
        <v>8.0030000000000001</v>
      </c>
      <c r="M21" s="6">
        <f t="shared" si="8"/>
        <v>50.113323788361761</v>
      </c>
      <c r="N21" s="99">
        <f t="shared" si="9"/>
        <v>7.9873009967434787E-4</v>
      </c>
      <c r="O21" s="99">
        <f t="shared" si="10"/>
        <v>7.5038812782047876E-4</v>
      </c>
      <c r="P21" s="213">
        <f t="shared" si="11"/>
        <v>7.7455911374741337E-4</v>
      </c>
      <c r="R21">
        <f t="shared" si="5"/>
        <v>48.724250594754039</v>
      </c>
      <c r="S21" s="3">
        <f t="shared" si="12"/>
        <v>1.3890731936077216</v>
      </c>
      <c r="U21">
        <f t="shared" si="6"/>
        <v>0.78138075180835287</v>
      </c>
      <c r="V21" s="84">
        <f t="shared" si="13"/>
        <v>49.505631346562396</v>
      </c>
      <c r="X21" s="3">
        <f t="shared" si="14"/>
        <v>-0.60769244179936521</v>
      </c>
    </row>
    <row r="22" spans="2:42" x14ac:dyDescent="0.15">
      <c r="B22" s="25"/>
      <c r="C22" s="25" t="s">
        <v>8</v>
      </c>
      <c r="D22" s="81">
        <f>Tulostus!N55</f>
        <v>48.666327398220631</v>
      </c>
      <c r="E22" t="s">
        <v>31</v>
      </c>
      <c r="K22" s="3"/>
      <c r="L22" s="5">
        <f t="shared" si="7"/>
        <v>8.0055000000000014</v>
      </c>
      <c r="M22" s="6">
        <f t="shared" si="8"/>
        <v>48.656389304625122</v>
      </c>
      <c r="N22" s="99">
        <f t="shared" si="9"/>
        <v>3.3759377704797714E-3</v>
      </c>
      <c r="O22" s="99">
        <f t="shared" si="10"/>
        <v>3.1063773510820757E-3</v>
      </c>
      <c r="P22" s="213">
        <f t="shared" si="11"/>
        <v>3.2411575607809236E-3</v>
      </c>
      <c r="R22">
        <f t="shared" si="5"/>
        <v>48.730984037016214</v>
      </c>
      <c r="S22" s="3">
        <f t="shared" si="12"/>
        <v>-7.4594732391091156E-2</v>
      </c>
      <c r="U22">
        <f t="shared" si="6"/>
        <v>-4.8325676375312376E-2</v>
      </c>
      <c r="V22" s="84">
        <f t="shared" si="13"/>
        <v>48.6826583606409</v>
      </c>
      <c r="X22" s="3">
        <f t="shared" si="14"/>
        <v>2.6269056015777892E-2</v>
      </c>
    </row>
    <row r="23" spans="2:42" x14ac:dyDescent="0.15">
      <c r="C23" t="s">
        <v>87</v>
      </c>
      <c r="D23" s="3">
        <f>ABS(D21-D22)</f>
        <v>1.3003106562829316</v>
      </c>
      <c r="E23" t="s">
        <v>31</v>
      </c>
      <c r="K23" s="3"/>
      <c r="L23" s="5">
        <f t="shared" si="7"/>
        <v>7.9989999999999997</v>
      </c>
      <c r="M23" s="6">
        <f t="shared" si="8"/>
        <v>48.64710508699757</v>
      </c>
      <c r="N23" s="99">
        <f t="shared" si="9"/>
        <v>1.1080495590122922E-2</v>
      </c>
      <c r="O23" s="99">
        <f t="shared" si="10"/>
        <v>1.0098624372825278E-2</v>
      </c>
      <c r="P23" s="213">
        <f t="shared" si="11"/>
        <v>1.05895599814741E-2</v>
      </c>
      <c r="R23">
        <f t="shared" si="5"/>
        <v>48.71347271080726</v>
      </c>
      <c r="S23" s="3">
        <f t="shared" si="12"/>
        <v>-6.6367623809689746E-2</v>
      </c>
      <c r="U23">
        <f t="shared" si="6"/>
        <v>-0.73459550395123774</v>
      </c>
      <c r="V23" s="84">
        <f t="shared" si="13"/>
        <v>47.978877206856019</v>
      </c>
      <c r="X23" s="3">
        <f t="shared" si="14"/>
        <v>-0.66822788014155066</v>
      </c>
    </row>
    <row r="24" spans="2:42" x14ac:dyDescent="0.15">
      <c r="D24" s="3"/>
      <c r="K24" s="3"/>
      <c r="L24" s="5">
        <f t="shared" si="7"/>
        <v>5.988999999999999</v>
      </c>
      <c r="M24" s="6">
        <f t="shared" si="8"/>
        <v>43.397891485041725</v>
      </c>
      <c r="N24" s="99">
        <f t="shared" si="9"/>
        <v>8.6183073758079999E-4</v>
      </c>
      <c r="O24" s="99">
        <f t="shared" si="10"/>
        <v>7.4732542371113786E-4</v>
      </c>
      <c r="P24" s="213">
        <f t="shared" si="11"/>
        <v>8.0457808064596887E-4</v>
      </c>
      <c r="R24">
        <f t="shared" si="5"/>
        <v>42.474624562876087</v>
      </c>
      <c r="S24" s="3">
        <f t="shared" si="12"/>
        <v>0.92326692216563799</v>
      </c>
      <c r="U24">
        <f t="shared" si="6"/>
        <v>0.75934011613379315</v>
      </c>
      <c r="V24" s="84">
        <f t="shared" si="13"/>
        <v>43.23396467900988</v>
      </c>
      <c r="X24" s="3">
        <f t="shared" si="14"/>
        <v>-0.16392680603184573</v>
      </c>
    </row>
    <row r="25" spans="2:42" x14ac:dyDescent="0.15">
      <c r="B25" t="s">
        <v>86</v>
      </c>
      <c r="C25" t="s">
        <v>7</v>
      </c>
      <c r="D25" s="3">
        <f>Tulostus!N53</f>
        <v>60.554075562111798</v>
      </c>
      <c r="E25" t="s">
        <v>31</v>
      </c>
      <c r="K25" s="3"/>
      <c r="L25" s="5">
        <f t="shared" si="7"/>
        <v>5.9947999999999997</v>
      </c>
      <c r="M25" s="6">
        <f t="shared" si="8"/>
        <v>42.037975231571743</v>
      </c>
      <c r="N25" s="99">
        <f t="shared" si="9"/>
        <v>3.2206233741101731E-3</v>
      </c>
      <c r="O25" s="99">
        <f t="shared" si="10"/>
        <v>3.1025895947720313E-3</v>
      </c>
      <c r="P25" s="213">
        <f t="shared" si="11"/>
        <v>3.1616064844411022E-3</v>
      </c>
      <c r="R25">
        <f t="shared" si="5"/>
        <v>42.495492582848584</v>
      </c>
      <c r="S25" s="3">
        <f t="shared" si="12"/>
        <v>-0.45751735127684157</v>
      </c>
      <c r="U25">
        <f t="shared" si="6"/>
        <v>-3.3921221542812852E-2</v>
      </c>
      <c r="V25" s="84">
        <f t="shared" si="13"/>
        <v>42.461571361305772</v>
      </c>
      <c r="X25" s="3">
        <f t="shared" si="14"/>
        <v>0.4235961297340296</v>
      </c>
    </row>
    <row r="26" spans="2:42" x14ac:dyDescent="0.15">
      <c r="B26" s="25"/>
      <c r="C26" s="25" t="s">
        <v>57</v>
      </c>
      <c r="D26" s="81">
        <f>Tulostus!N56</f>
        <v>58.69453842504565</v>
      </c>
      <c r="E26" t="s">
        <v>31</v>
      </c>
      <c r="K26" s="3"/>
      <c r="L26" s="5">
        <f t="shared" si="7"/>
        <v>6.0060000000000002</v>
      </c>
      <c r="M26" s="6">
        <f t="shared" si="8"/>
        <v>41.522310881079832</v>
      </c>
      <c r="N26" s="99">
        <f t="shared" si="9"/>
        <v>9.6039456658017237E-3</v>
      </c>
      <c r="O26" s="99">
        <f t="shared" si="10"/>
        <v>9.8708970245818851E-3</v>
      </c>
      <c r="P26" s="213">
        <f t="shared" si="11"/>
        <v>9.7374213451918053E-3</v>
      </c>
      <c r="R26">
        <f t="shared" si="5"/>
        <v>42.535732374121807</v>
      </c>
      <c r="S26" s="3">
        <f t="shared" si="12"/>
        <v>-1.0134214930419745</v>
      </c>
      <c r="U26">
        <f t="shared" si="6"/>
        <v>-0.68596733805203858</v>
      </c>
      <c r="V26" s="84">
        <f t="shared" si="13"/>
        <v>41.849765036069769</v>
      </c>
      <c r="X26" s="3">
        <f t="shared" si="14"/>
        <v>0.3274541549899368</v>
      </c>
    </row>
    <row r="27" spans="2:42" x14ac:dyDescent="0.15">
      <c r="C27" t="s">
        <v>87</v>
      </c>
      <c r="D27" s="3">
        <f>ABS(D25-D26)</f>
        <v>1.8595371370661482</v>
      </c>
      <c r="E27" t="s">
        <v>31</v>
      </c>
      <c r="K27" s="3"/>
      <c r="U27" t="s">
        <v>452</v>
      </c>
    </row>
    <row r="28" spans="2:42" x14ac:dyDescent="0.15">
      <c r="K28" s="3"/>
      <c r="L28" t="s">
        <v>451</v>
      </c>
      <c r="U28" s="2" cm="1">
        <f t="array" ref="U28:V28">LINEST(S18:S26,LN(P18:P26))</f>
        <v>-0.57965010557602148</v>
      </c>
      <c r="V28" s="2">
        <v>-3.3707784927193938</v>
      </c>
      <c r="X28" s="314">
        <f t="array" ref="X28">AVERAGE(ABS(X18:X26))</f>
        <v>0.37826079750154029</v>
      </c>
      <c r="Y28" t="s">
        <v>31</v>
      </c>
    </row>
    <row r="29" spans="2:42" x14ac:dyDescent="0.15">
      <c r="B29" t="s">
        <v>94</v>
      </c>
      <c r="C29" s="3">
        <f>AVERAGE(D27,D23)</f>
        <v>1.5799238966745399</v>
      </c>
      <c r="D29" t="s">
        <v>31</v>
      </c>
      <c r="L29" s="2">
        <f t="array" ref="L29:M29">LINEST(M18:M26,LN(L18:L26))</f>
        <v>21.558461915520574</v>
      </c>
      <c r="M29" s="2">
        <v>3.8866064051300953</v>
      </c>
    </row>
    <row r="30" spans="2:42" x14ac:dyDescent="0.15">
      <c r="B30" t="s">
        <v>93</v>
      </c>
      <c r="C30" s="3">
        <f>-10*LOG10((1-10^(-C29/10)))-3</f>
        <v>2.1575213231084573</v>
      </c>
      <c r="D30" t="s">
        <v>31</v>
      </c>
      <c r="U30" s="4" t="s">
        <v>22</v>
      </c>
      <c r="V30" s="4" t="s">
        <v>450</v>
      </c>
    </row>
    <row r="31" spans="2:42" x14ac:dyDescent="0.15">
      <c r="U31" s="4">
        <v>1</v>
      </c>
      <c r="V31" s="4">
        <v>-1</v>
      </c>
    </row>
    <row r="32" spans="2:42" x14ac:dyDescent="0.15">
      <c r="B32" t="s">
        <v>83</v>
      </c>
      <c r="C32" s="3">
        <f>H15+C30</f>
        <v>37.97024692156355</v>
      </c>
      <c r="D32" t="s">
        <v>31</v>
      </c>
    </row>
    <row r="33" spans="2:23" x14ac:dyDescent="0.15">
      <c r="B33" t="s">
        <v>95</v>
      </c>
      <c r="C33" s="3">
        <f>H15-2.6</f>
        <v>33.212725598455094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MIN(H15,IF(C29&lt;3,H16,IF(C29&gt;10,C33,C32)))</f>
        <v>34.945167094673948</v>
      </c>
      <c r="D35" s="2" t="s">
        <v>31</v>
      </c>
      <c r="F35" s="5">
        <f>C35+10*LOG10(4/10)</f>
        <v>30.965767007953573</v>
      </c>
      <c r="G35" s="5">
        <f>C35+10*LOG10(4/2.5)</f>
        <v>36.986366921233198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315">
        <f>AI17</f>
        <v>18</v>
      </c>
      <c r="D39" s="315">
        <f t="shared" ref="D39:J39" si="15">AJ17</f>
        <v>12</v>
      </c>
      <c r="E39" s="315">
        <f t="shared" si="15"/>
        <v>3</v>
      </c>
      <c r="F39" s="315">
        <f t="shared" si="15"/>
        <v>-10</v>
      </c>
      <c r="G39" s="315">
        <f t="shared" si="15"/>
        <v>-14</v>
      </c>
      <c r="H39" s="315">
        <f t="shared" si="15"/>
        <v>-18</v>
      </c>
      <c r="I39" s="315">
        <f t="shared" si="15"/>
        <v>-18</v>
      </c>
      <c r="J39" s="315">
        <f t="shared" si="15"/>
        <v>-19</v>
      </c>
      <c r="K39" s="87" t="s">
        <v>42</v>
      </c>
      <c r="L39" s="86">
        <f>$C$35+C39</f>
        <v>52.945167094673948</v>
      </c>
      <c r="M39" s="86">
        <f t="shared" ref="M39:S39" si="16">$C$35+D39</f>
        <v>46.945167094673948</v>
      </c>
      <c r="N39" s="86">
        <f t="shared" si="16"/>
        <v>37.945167094673948</v>
      </c>
      <c r="O39" s="86">
        <f t="shared" si="16"/>
        <v>24.945167094673948</v>
      </c>
      <c r="P39" s="86">
        <f t="shared" si="16"/>
        <v>20.945167094673948</v>
      </c>
      <c r="Q39" s="86">
        <f t="shared" si="16"/>
        <v>16.945167094673948</v>
      </c>
      <c r="R39" s="86">
        <f t="shared" si="16"/>
        <v>16.945167094673948</v>
      </c>
      <c r="S39" s="86">
        <f t="shared" si="16"/>
        <v>15.945167094673948</v>
      </c>
      <c r="T39" s="5">
        <f t="array" ref="T39">10*LOG10(SUM(10^(L39:S39/10)))</f>
        <v>54.036662078318741</v>
      </c>
      <c r="U39" s="5">
        <f t="array" ref="U39">10*LOG10(SUM(10^((L39:S39+L41:S41)/10)))</f>
        <v>34.741178077477393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mergeCells count="26">
    <mergeCell ref="AB4:AB5"/>
    <mergeCell ref="AC4:AC5"/>
    <mergeCell ref="AD4:AD5"/>
    <mergeCell ref="AE4:AE5"/>
    <mergeCell ref="U4:U5"/>
    <mergeCell ref="V4:V5"/>
    <mergeCell ref="X4:X5"/>
    <mergeCell ref="Y4:Y5"/>
    <mergeCell ref="Z4:Z5"/>
    <mergeCell ref="AA4:AA5"/>
    <mergeCell ref="AF3:AF5"/>
    <mergeCell ref="AG3:AG5"/>
    <mergeCell ref="K4:K5"/>
    <mergeCell ref="L4:L5"/>
    <mergeCell ref="M4:M5"/>
    <mergeCell ref="N4:N5"/>
    <mergeCell ref="T4:T5"/>
    <mergeCell ref="K3:P3"/>
    <mergeCell ref="Q3:V3"/>
    <mergeCell ref="W3:W5"/>
    <mergeCell ref="X3:AE3"/>
    <mergeCell ref="O4:O5"/>
    <mergeCell ref="P4:P5"/>
    <mergeCell ref="Q4:Q5"/>
    <mergeCell ref="R4:R5"/>
    <mergeCell ref="S4:S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1DD7-C1BD-4F42-8B54-89E5A7280EF3}">
  <dimension ref="B3:V163"/>
  <sheetViews>
    <sheetView showGridLines="0" topLeftCell="H1" zoomScaleNormal="100" workbookViewId="0">
      <selection activeCell="D4" sqref="D4:I4"/>
    </sheetView>
  </sheetViews>
  <sheetFormatPr baseColWidth="10" defaultColWidth="9.1640625" defaultRowHeight="15" x14ac:dyDescent="0.2"/>
  <cols>
    <col min="1" max="3" width="9.1640625" style="492"/>
    <col min="4" max="4" width="66.1640625" style="502" customWidth="1"/>
    <col min="5" max="11" width="61.5" style="492" customWidth="1"/>
    <col min="12" max="12" width="9.1640625" style="492"/>
    <col min="13" max="13" width="10.6640625" style="492" bestFit="1" customWidth="1"/>
    <col min="14" max="16384" width="9.1640625" style="492"/>
  </cols>
  <sheetData>
    <row r="3" spans="2:22" ht="18" thickBot="1" x14ac:dyDescent="0.25">
      <c r="B3" s="503" t="s">
        <v>705</v>
      </c>
      <c r="D3" s="488" t="s">
        <v>706</v>
      </c>
      <c r="E3" s="489" t="s">
        <v>708</v>
      </c>
      <c r="F3" s="490" t="s">
        <v>709</v>
      </c>
      <c r="G3" s="491" t="s">
        <v>710</v>
      </c>
      <c r="H3" s="764" t="s">
        <v>1400</v>
      </c>
      <c r="I3" s="766" t="s">
        <v>1401</v>
      </c>
      <c r="J3" s="768" t="s">
        <v>1402</v>
      </c>
      <c r="K3" s="770" t="s">
        <v>1403</v>
      </c>
      <c r="M3" s="508" t="s">
        <v>727</v>
      </c>
      <c r="T3" s="760" t="s">
        <v>1361</v>
      </c>
    </row>
    <row r="4" spans="2:22" ht="16" x14ac:dyDescent="0.2">
      <c r="B4" s="589">
        <v>2</v>
      </c>
      <c r="C4" s="503">
        <v>1</v>
      </c>
      <c r="D4" s="754" t="s">
        <v>1335</v>
      </c>
      <c r="E4" s="755" t="s">
        <v>1336</v>
      </c>
      <c r="F4" s="509" t="s">
        <v>1336</v>
      </c>
      <c r="G4" s="756" t="s">
        <v>1336</v>
      </c>
      <c r="H4" s="784" t="s">
        <v>1442</v>
      </c>
      <c r="I4" s="790" t="s">
        <v>1579</v>
      </c>
      <c r="J4" s="795" t="s">
        <v>1716</v>
      </c>
      <c r="K4" s="800" t="s">
        <v>1854</v>
      </c>
      <c r="M4" s="508"/>
    </row>
    <row r="5" spans="2:22" ht="16" x14ac:dyDescent="0.2">
      <c r="C5" s="503">
        <v>2</v>
      </c>
      <c r="D5" s="493" t="s">
        <v>301</v>
      </c>
      <c r="E5" s="494" t="s">
        <v>621</v>
      </c>
      <c r="F5" s="510" t="s">
        <v>731</v>
      </c>
      <c r="G5" s="495" t="s">
        <v>819</v>
      </c>
      <c r="H5" s="785" t="s">
        <v>1443</v>
      </c>
      <c r="I5" s="789" t="s">
        <v>1580</v>
      </c>
      <c r="J5" s="794" t="s">
        <v>1717</v>
      </c>
      <c r="K5" s="799" t="s">
        <v>1855</v>
      </c>
      <c r="M5" s="508" t="str" cm="1">
        <f t="array" ref="M5">INDEX(Kirjasto!D4:K130,18,Kirjasto!B4)</f>
        <v>Pressure difference [Pa]</v>
      </c>
      <c r="T5" s="760" t="s">
        <v>1362</v>
      </c>
      <c r="V5" s="492" t="b">
        <f>IF(B4=1,TRUE,FALSE)</f>
        <v>0</v>
      </c>
    </row>
    <row r="6" spans="2:22" ht="16" x14ac:dyDescent="0.2">
      <c r="C6" s="503">
        <v>3</v>
      </c>
      <c r="D6" s="493" t="s">
        <v>338</v>
      </c>
      <c r="E6" s="494" t="s">
        <v>622</v>
      </c>
      <c r="F6" s="510" t="s">
        <v>623</v>
      </c>
      <c r="G6" s="495" t="s">
        <v>623</v>
      </c>
      <c r="H6" s="785" t="s">
        <v>1444</v>
      </c>
      <c r="I6" s="789" t="s">
        <v>1581</v>
      </c>
      <c r="J6" s="794" t="s">
        <v>1718</v>
      </c>
      <c r="K6" s="799" t="s">
        <v>1856</v>
      </c>
      <c r="M6" s="508" t="str" cm="1">
        <f t="array" ref="M6">INDEX(Kirjasto!D4:K130,19,Kirjasto!B4)</f>
        <v>Air volume flow [dm³/s]</v>
      </c>
      <c r="T6" s="760" t="s">
        <v>1363</v>
      </c>
      <c r="V6" s="492" t="b">
        <f>IF(V5,FALSE,TRUE)</f>
        <v>1</v>
      </c>
    </row>
    <row r="7" spans="2:22" ht="16" x14ac:dyDescent="0.2">
      <c r="C7" s="503">
        <v>4</v>
      </c>
      <c r="D7" s="493" t="s">
        <v>339</v>
      </c>
      <c r="E7" s="494" t="s">
        <v>707</v>
      </c>
      <c r="F7" s="510" t="s">
        <v>790</v>
      </c>
      <c r="G7" s="495" t="s">
        <v>820</v>
      </c>
      <c r="H7" s="785" t="s">
        <v>1445</v>
      </c>
      <c r="I7" s="789" t="s">
        <v>1582</v>
      </c>
      <c r="J7" s="794" t="s">
        <v>1719</v>
      </c>
      <c r="K7" s="799" t="s">
        <v>1857</v>
      </c>
      <c r="M7" s="508" t="str" cm="1">
        <f t="array" ref="M7">INDEX(Kirjasto!D4:K135,132,Kirjasto!B4)</f>
        <v>Air volume flow [m³/h]</v>
      </c>
    </row>
    <row r="8" spans="2:22" ht="16" x14ac:dyDescent="0.2">
      <c r="C8" s="503">
        <v>5</v>
      </c>
      <c r="D8" s="493" t="s">
        <v>337</v>
      </c>
      <c r="E8" s="494" t="s">
        <v>723</v>
      </c>
      <c r="F8" s="510" t="s">
        <v>732</v>
      </c>
      <c r="G8" s="495" t="s">
        <v>821</v>
      </c>
      <c r="H8" s="785" t="s">
        <v>1446</v>
      </c>
      <c r="I8" s="789" t="s">
        <v>1583</v>
      </c>
      <c r="J8" s="794" t="s">
        <v>1720</v>
      </c>
      <c r="K8" s="799" t="s">
        <v>1858</v>
      </c>
      <c r="M8" s="508" t="str" cm="1">
        <f t="array" ref="M8">INDEX(Kirjasto!D4:K130,91,Kirjasto!B4)</f>
        <v>Supply air temperature after heat exchanger</v>
      </c>
    </row>
    <row r="9" spans="2:22" ht="32" x14ac:dyDescent="0.2">
      <c r="C9" s="503">
        <v>6</v>
      </c>
      <c r="D9" s="493" t="s">
        <v>624</v>
      </c>
      <c r="E9" s="515" t="s">
        <v>822</v>
      </c>
      <c r="F9" s="510" t="s">
        <v>1100</v>
      </c>
      <c r="G9" s="495" t="s">
        <v>823</v>
      </c>
      <c r="H9" s="785" t="s">
        <v>1447</v>
      </c>
      <c r="I9" s="789" t="s">
        <v>1584</v>
      </c>
      <c r="J9" s="794" t="s">
        <v>1721</v>
      </c>
      <c r="K9" s="799" t="s">
        <v>1859</v>
      </c>
      <c r="M9" s="492" t="str" cm="1">
        <f t="array" ref="M9">INDEX(Kirjasto!D4:K130,92,Kirjasto!B4)</f>
        <v>Supply air temperature [°C]</v>
      </c>
    </row>
    <row r="10" spans="2:22" ht="16" x14ac:dyDescent="0.2">
      <c r="C10" s="503">
        <v>7</v>
      </c>
      <c r="D10" s="493" t="s">
        <v>625</v>
      </c>
      <c r="E10" s="494" t="s">
        <v>824</v>
      </c>
      <c r="F10" s="510" t="s">
        <v>825</v>
      </c>
      <c r="G10" s="495" t="s">
        <v>826</v>
      </c>
      <c r="H10" s="785" t="s">
        <v>1448</v>
      </c>
      <c r="I10" s="789" t="s">
        <v>1585</v>
      </c>
      <c r="J10" s="794" t="s">
        <v>1722</v>
      </c>
      <c r="K10" s="799" t="s">
        <v>1860</v>
      </c>
      <c r="M10" s="492" t="str" cm="1">
        <f t="array" ref="M10">INDEX(Kirjasto!D4:K130,93,Kirjasto!B4)</f>
        <v>Outdoor air temperature [°C]</v>
      </c>
    </row>
    <row r="11" spans="2:22" ht="16" x14ac:dyDescent="0.2">
      <c r="C11" s="503">
        <v>8</v>
      </c>
      <c r="D11" s="493" t="s">
        <v>626</v>
      </c>
      <c r="E11" s="494" t="s">
        <v>827</v>
      </c>
      <c r="F11" s="510" t="s">
        <v>733</v>
      </c>
      <c r="G11" s="495" t="s">
        <v>828</v>
      </c>
      <c r="H11" s="785" t="s">
        <v>1449</v>
      </c>
      <c r="I11" s="789" t="s">
        <v>1586</v>
      </c>
      <c r="J11" s="794" t="s">
        <v>1723</v>
      </c>
      <c r="K11" s="799" t="s">
        <v>1861</v>
      </c>
    </row>
    <row r="12" spans="2:22" ht="16" x14ac:dyDescent="0.2">
      <c r="C12" s="503">
        <v>9</v>
      </c>
      <c r="D12" s="757" t="s">
        <v>1340</v>
      </c>
      <c r="E12" s="758" t="s">
        <v>1347</v>
      </c>
      <c r="F12" s="510" t="s">
        <v>1348</v>
      </c>
      <c r="G12" s="759" t="s">
        <v>1352</v>
      </c>
      <c r="H12" s="785" t="s">
        <v>1450</v>
      </c>
      <c r="I12" s="789" t="s">
        <v>1587</v>
      </c>
      <c r="J12" s="794" t="s">
        <v>1724</v>
      </c>
      <c r="K12" s="799" t="s">
        <v>1862</v>
      </c>
      <c r="M12" s="508" t="str" cm="1">
        <f t="array" ref="M12">INDEX(Kirjasto!D4:K130,94,Kirjasto!B4)</f>
        <v>Exhaust air temperature</v>
      </c>
    </row>
    <row r="13" spans="2:22" ht="16" x14ac:dyDescent="0.2">
      <c r="C13" s="503">
        <v>10</v>
      </c>
      <c r="D13" s="846" t="s">
        <v>1340</v>
      </c>
      <c r="E13" s="847" t="s">
        <v>1347</v>
      </c>
      <c r="F13" s="510" t="s">
        <v>1348</v>
      </c>
      <c r="G13" s="848" t="s">
        <v>1352</v>
      </c>
      <c r="H13" s="785" t="s">
        <v>1450</v>
      </c>
      <c r="I13" s="789" t="s">
        <v>1587</v>
      </c>
      <c r="J13" s="794" t="s">
        <v>1724</v>
      </c>
      <c r="K13" s="799" t="s">
        <v>1862</v>
      </c>
      <c r="M13" s="492" t="str" cm="1">
        <f t="array" ref="M13">INDEX(Kirjasto!D4:K130,95,Kirjasto!B4)</f>
        <v>Exhaust air temperature [°C]</v>
      </c>
    </row>
    <row r="14" spans="2:22" ht="16" x14ac:dyDescent="0.2">
      <c r="C14" s="503">
        <v>11</v>
      </c>
      <c r="D14" s="757" t="s">
        <v>1338</v>
      </c>
      <c r="E14" s="758" t="s">
        <v>1346</v>
      </c>
      <c r="F14" s="510" t="s">
        <v>1350</v>
      </c>
      <c r="G14" s="759" t="s">
        <v>1354</v>
      </c>
      <c r="H14" s="785" t="s">
        <v>1452</v>
      </c>
      <c r="I14" s="789" t="s">
        <v>1589</v>
      </c>
      <c r="J14" s="794" t="s">
        <v>1726</v>
      </c>
      <c r="K14" s="799" t="s">
        <v>1864</v>
      </c>
      <c r="M14" s="492" t="str" cm="1">
        <f t="array" ref="M14">INDEX(Kirjasto!D4:K130,96,Kirjasto!B4)</f>
        <v>Outdoor air temperature [°C]</v>
      </c>
    </row>
    <row r="15" spans="2:22" ht="16" x14ac:dyDescent="0.2">
      <c r="C15" s="503">
        <v>12</v>
      </c>
      <c r="D15" s="757" t="s">
        <v>1337</v>
      </c>
      <c r="E15" s="758" t="s">
        <v>1345</v>
      </c>
      <c r="F15" s="510" t="s">
        <v>1357</v>
      </c>
      <c r="G15" s="759" t="s">
        <v>1355</v>
      </c>
      <c r="H15" s="785" t="s">
        <v>1453</v>
      </c>
      <c r="I15" s="789" t="s">
        <v>1590</v>
      </c>
      <c r="J15" s="794" t="s">
        <v>1727</v>
      </c>
      <c r="K15" s="799" t="s">
        <v>1865</v>
      </c>
    </row>
    <row r="16" spans="2:22" ht="16" x14ac:dyDescent="0.2">
      <c r="C16" s="503">
        <v>13</v>
      </c>
      <c r="D16" s="757" t="s">
        <v>1341</v>
      </c>
      <c r="E16" s="758" t="s">
        <v>1344</v>
      </c>
      <c r="F16" s="510" t="s">
        <v>1351</v>
      </c>
      <c r="G16" s="759" t="s">
        <v>1356</v>
      </c>
      <c r="H16" s="785" t="s">
        <v>1454</v>
      </c>
      <c r="I16" s="789" t="s">
        <v>1591</v>
      </c>
      <c r="J16" s="794" t="s">
        <v>1728</v>
      </c>
      <c r="K16" s="799" t="s">
        <v>1866</v>
      </c>
      <c r="M16" s="492" t="str" cm="1">
        <f t="array" ref="M16">INDEX(Kirjasto!D4:K130,15,Kirjasto!B4)</f>
        <v>Air density: 1.2 kg/m³</v>
      </c>
    </row>
    <row r="17" spans="3:13" ht="16" x14ac:dyDescent="0.2">
      <c r="C17" s="503">
        <v>14</v>
      </c>
      <c r="D17" s="757" t="s">
        <v>1339</v>
      </c>
      <c r="E17" s="758" t="s">
        <v>1343</v>
      </c>
      <c r="F17" s="510" t="s">
        <v>1349</v>
      </c>
      <c r="G17" s="759" t="s">
        <v>1353</v>
      </c>
      <c r="H17" s="785" t="s">
        <v>1451</v>
      </c>
      <c r="I17" s="789" t="s">
        <v>1588</v>
      </c>
      <c r="J17" s="794" t="s">
        <v>1725</v>
      </c>
      <c r="K17" s="799" t="s">
        <v>1863</v>
      </c>
      <c r="M17" s="492" t="str" cm="1">
        <f t="array" ref="M17">INDEX(Kirjasto!D4:K130,16,Kirjasto!B4)</f>
        <v>Supply air</v>
      </c>
    </row>
    <row r="18" spans="3:13" ht="16" x14ac:dyDescent="0.2">
      <c r="C18" s="503">
        <v>15</v>
      </c>
      <c r="D18" s="493" t="s">
        <v>628</v>
      </c>
      <c r="E18" s="494" t="s">
        <v>829</v>
      </c>
      <c r="F18" s="510" t="s">
        <v>734</v>
      </c>
      <c r="G18" s="495" t="s">
        <v>830</v>
      </c>
      <c r="H18" s="785" t="s">
        <v>1455</v>
      </c>
      <c r="I18" s="789" t="s">
        <v>1592</v>
      </c>
      <c r="J18" s="794" t="s">
        <v>1729</v>
      </c>
      <c r="K18" s="799" t="s">
        <v>1867</v>
      </c>
      <c r="M18" s="492" t="str" cm="1">
        <f t="array" ref="M18">INDEX(Kirjasto!D4:K130,17,Kirjasto!B4)</f>
        <v>Extract air</v>
      </c>
    </row>
    <row r="19" spans="3:13" ht="16" x14ac:dyDescent="0.2">
      <c r="C19" s="503">
        <v>16</v>
      </c>
      <c r="D19" s="623" t="s">
        <v>311</v>
      </c>
      <c r="E19" s="624" t="s">
        <v>641</v>
      </c>
      <c r="F19" s="510" t="s">
        <v>747</v>
      </c>
      <c r="G19" s="495" t="s">
        <v>642</v>
      </c>
      <c r="H19" s="785" t="s">
        <v>1456</v>
      </c>
      <c r="I19" s="789" t="s">
        <v>1593</v>
      </c>
      <c r="J19" s="794" t="s">
        <v>1730</v>
      </c>
      <c r="K19" s="799" t="s">
        <v>1868</v>
      </c>
    </row>
    <row r="20" spans="3:13" ht="16" x14ac:dyDescent="0.2">
      <c r="C20" s="503">
        <v>17</v>
      </c>
      <c r="D20" s="623" t="s">
        <v>312</v>
      </c>
      <c r="E20" s="624" t="s">
        <v>645</v>
      </c>
      <c r="F20" s="510" t="s">
        <v>749</v>
      </c>
      <c r="G20" s="495" t="s">
        <v>646</v>
      </c>
      <c r="H20" s="785" t="s">
        <v>1457</v>
      </c>
      <c r="I20" s="789" t="s">
        <v>1992</v>
      </c>
      <c r="J20" s="794" t="s">
        <v>1993</v>
      </c>
      <c r="K20" s="799" t="s">
        <v>1994</v>
      </c>
      <c r="M20" s="492" t="str" cm="1">
        <f t="array" ref="M20">INDEX(Kirjasto!D4:K130,6,Kirjasto!B4)</f>
        <v>Sound insulated casing: "dB-paketti" (NB! Requires a cabinet)</v>
      </c>
    </row>
    <row r="21" spans="3:13" ht="16" x14ac:dyDescent="0.2">
      <c r="C21" s="503">
        <v>18</v>
      </c>
      <c r="D21" s="593" t="s">
        <v>629</v>
      </c>
      <c r="E21" s="594" t="s">
        <v>630</v>
      </c>
      <c r="F21" s="510" t="s">
        <v>735</v>
      </c>
      <c r="G21" s="595" t="s">
        <v>831</v>
      </c>
      <c r="H21" s="785" t="s">
        <v>1458</v>
      </c>
      <c r="I21" s="789" t="s">
        <v>1595</v>
      </c>
      <c r="J21" s="794" t="s">
        <v>1732</v>
      </c>
      <c r="K21" s="799" t="s">
        <v>1870</v>
      </c>
      <c r="M21" s="492" t="str" cm="1">
        <f t="array" ref="M21">INDEX(Kirjasto!D4:K130,7,Kirjasto!B4)</f>
        <v>Heating coil</v>
      </c>
    </row>
    <row r="22" spans="3:13" ht="16" x14ac:dyDescent="0.2">
      <c r="C22" s="503">
        <v>19</v>
      </c>
      <c r="D22" s="593" t="s">
        <v>631</v>
      </c>
      <c r="E22" s="594" t="s">
        <v>632</v>
      </c>
      <c r="F22" s="510" t="s">
        <v>736</v>
      </c>
      <c r="G22" s="595" t="s">
        <v>832</v>
      </c>
      <c r="H22" s="785" t="s">
        <v>1459</v>
      </c>
      <c r="I22" s="789" t="s">
        <v>1596</v>
      </c>
      <c r="J22" s="794" t="s">
        <v>1733</v>
      </c>
      <c r="K22" s="799" t="s">
        <v>1871</v>
      </c>
    </row>
    <row r="23" spans="3:13" ht="16" x14ac:dyDescent="0.2">
      <c r="C23" s="503">
        <v>20</v>
      </c>
      <c r="D23" s="493" t="s">
        <v>341</v>
      </c>
      <c r="E23" s="494" t="s">
        <v>712</v>
      </c>
      <c r="F23" s="510" t="s">
        <v>737</v>
      </c>
      <c r="G23" s="495" t="s">
        <v>833</v>
      </c>
      <c r="H23" s="785" t="s">
        <v>1460</v>
      </c>
      <c r="I23" s="789" t="s">
        <v>1597</v>
      </c>
      <c r="J23" s="794" t="s">
        <v>1734</v>
      </c>
      <c r="K23" s="799" t="s">
        <v>1872</v>
      </c>
    </row>
    <row r="24" spans="3:13" ht="16" x14ac:dyDescent="0.2">
      <c r="C24" s="503">
        <v>21</v>
      </c>
      <c r="D24" s="493" t="s">
        <v>303</v>
      </c>
      <c r="E24" s="494" t="s">
        <v>633</v>
      </c>
      <c r="F24" s="510" t="s">
        <v>738</v>
      </c>
      <c r="G24" s="495" t="s">
        <v>834</v>
      </c>
      <c r="H24" s="785" t="s">
        <v>1461</v>
      </c>
      <c r="I24" s="789" t="s">
        <v>1598</v>
      </c>
      <c r="J24" s="794" t="s">
        <v>1735</v>
      </c>
      <c r="K24" s="799" t="s">
        <v>1873</v>
      </c>
    </row>
    <row r="25" spans="3:13" ht="16" x14ac:dyDescent="0.2">
      <c r="C25" s="503">
        <v>22</v>
      </c>
      <c r="D25" s="493" t="s">
        <v>302</v>
      </c>
      <c r="E25" s="494" t="s">
        <v>634</v>
      </c>
      <c r="F25" s="510" t="s">
        <v>739</v>
      </c>
      <c r="G25" s="495" t="s">
        <v>831</v>
      </c>
      <c r="H25" s="785" t="s">
        <v>1462</v>
      </c>
      <c r="I25" s="789" t="s">
        <v>1599</v>
      </c>
      <c r="J25" s="794" t="s">
        <v>1736</v>
      </c>
      <c r="K25" s="799" t="s">
        <v>1874</v>
      </c>
    </row>
    <row r="26" spans="3:13" ht="16" x14ac:dyDescent="0.2">
      <c r="C26" s="503">
        <v>23</v>
      </c>
      <c r="D26" s="493" t="s">
        <v>635</v>
      </c>
      <c r="E26" s="494" t="s">
        <v>636</v>
      </c>
      <c r="F26" s="510" t="s">
        <v>1126</v>
      </c>
      <c r="G26" s="625" t="s">
        <v>1125</v>
      </c>
      <c r="H26" s="785" t="s">
        <v>1463</v>
      </c>
      <c r="I26" s="789" t="s">
        <v>1600</v>
      </c>
      <c r="J26" s="794" t="s">
        <v>1737</v>
      </c>
      <c r="K26" s="799" t="s">
        <v>1875</v>
      </c>
    </row>
    <row r="27" spans="3:13" ht="16" x14ac:dyDescent="0.2">
      <c r="C27" s="503">
        <v>24</v>
      </c>
      <c r="D27" s="493" t="s">
        <v>342</v>
      </c>
      <c r="E27" s="494" t="s">
        <v>711</v>
      </c>
      <c r="F27" s="510" t="s">
        <v>740</v>
      </c>
      <c r="G27" s="625" t="s">
        <v>1124</v>
      </c>
      <c r="H27" s="785" t="s">
        <v>1464</v>
      </c>
      <c r="I27" s="789" t="s">
        <v>1601</v>
      </c>
      <c r="J27" s="794" t="s">
        <v>1738</v>
      </c>
      <c r="K27" s="799" t="s">
        <v>1876</v>
      </c>
    </row>
    <row r="28" spans="3:13" ht="16" x14ac:dyDescent="0.2">
      <c r="C28" s="503">
        <v>25</v>
      </c>
      <c r="D28" s="493" t="s">
        <v>306</v>
      </c>
      <c r="E28" s="494" t="s">
        <v>637</v>
      </c>
      <c r="F28" s="510" t="s">
        <v>741</v>
      </c>
      <c r="G28" s="495" t="s">
        <v>835</v>
      </c>
      <c r="H28" s="785" t="s">
        <v>1465</v>
      </c>
      <c r="I28" s="789" t="s">
        <v>1602</v>
      </c>
      <c r="J28" s="794" t="s">
        <v>1739</v>
      </c>
      <c r="K28" s="799" t="s">
        <v>1877</v>
      </c>
    </row>
    <row r="29" spans="3:13" ht="16" x14ac:dyDescent="0.2">
      <c r="C29" s="503">
        <v>26</v>
      </c>
      <c r="D29" s="493" t="s">
        <v>304</v>
      </c>
      <c r="E29" s="494" t="s">
        <v>715</v>
      </c>
      <c r="F29" s="510" t="s">
        <v>742</v>
      </c>
      <c r="G29" s="495" t="s">
        <v>836</v>
      </c>
      <c r="H29" s="785" t="s">
        <v>1466</v>
      </c>
      <c r="I29" s="789" t="s">
        <v>1603</v>
      </c>
      <c r="J29" s="794" t="s">
        <v>1740</v>
      </c>
      <c r="K29" s="799" t="s">
        <v>1878</v>
      </c>
    </row>
    <row r="30" spans="3:13" ht="16" x14ac:dyDescent="0.2">
      <c r="C30" s="503">
        <v>27</v>
      </c>
      <c r="D30" s="493" t="s">
        <v>305</v>
      </c>
      <c r="E30" s="494" t="s">
        <v>713</v>
      </c>
      <c r="F30" s="510" t="s">
        <v>743</v>
      </c>
      <c r="G30" s="495" t="s">
        <v>837</v>
      </c>
      <c r="H30" s="785" t="s">
        <v>1467</v>
      </c>
      <c r="I30" s="789" t="s">
        <v>1604</v>
      </c>
      <c r="J30" s="794" t="s">
        <v>1741</v>
      </c>
      <c r="K30" s="799" t="s">
        <v>1879</v>
      </c>
    </row>
    <row r="31" spans="3:13" ht="16" x14ac:dyDescent="0.2">
      <c r="C31" s="503">
        <v>28</v>
      </c>
      <c r="D31" s="493" t="s">
        <v>307</v>
      </c>
      <c r="E31" s="494" t="s">
        <v>714</v>
      </c>
      <c r="F31" s="510" t="s">
        <v>744</v>
      </c>
      <c r="G31" s="495" t="s">
        <v>838</v>
      </c>
      <c r="H31" s="785" t="s">
        <v>1468</v>
      </c>
      <c r="I31" s="789" t="s">
        <v>1605</v>
      </c>
      <c r="J31" s="794" t="s">
        <v>1742</v>
      </c>
      <c r="K31" s="799" t="s">
        <v>1880</v>
      </c>
    </row>
    <row r="32" spans="3:13" ht="16" x14ac:dyDescent="0.2">
      <c r="C32" s="503">
        <v>29</v>
      </c>
      <c r="D32" s="493" t="s">
        <v>308</v>
      </c>
      <c r="E32" s="494" t="s">
        <v>638</v>
      </c>
      <c r="F32" s="510" t="s">
        <v>745</v>
      </c>
      <c r="G32" s="495" t="s">
        <v>839</v>
      </c>
      <c r="H32" s="785" t="s">
        <v>1469</v>
      </c>
      <c r="I32" s="789" t="s">
        <v>1606</v>
      </c>
      <c r="J32" s="794" t="s">
        <v>1743</v>
      </c>
      <c r="K32" s="799" t="s">
        <v>1881</v>
      </c>
    </row>
    <row r="33" spans="3:11" ht="16" x14ac:dyDescent="0.2">
      <c r="C33" s="503">
        <v>30</v>
      </c>
      <c r="D33" s="493" t="s">
        <v>76</v>
      </c>
      <c r="E33" s="494" t="s">
        <v>76</v>
      </c>
      <c r="F33" s="510" t="s">
        <v>76</v>
      </c>
      <c r="G33" s="495" t="s">
        <v>76</v>
      </c>
      <c r="H33" s="785" t="s">
        <v>76</v>
      </c>
      <c r="I33" s="789" t="s">
        <v>76</v>
      </c>
      <c r="J33" s="794" t="s">
        <v>76</v>
      </c>
      <c r="K33" s="799" t="s">
        <v>76</v>
      </c>
    </row>
    <row r="34" spans="3:11" ht="16" x14ac:dyDescent="0.2">
      <c r="C34" s="503">
        <v>31</v>
      </c>
      <c r="D34" s="493" t="s">
        <v>309</v>
      </c>
      <c r="E34" s="494" t="s">
        <v>639</v>
      </c>
      <c r="F34" s="510" t="s">
        <v>809</v>
      </c>
      <c r="G34" s="516" t="s">
        <v>840</v>
      </c>
      <c r="H34" s="785" t="s">
        <v>1470</v>
      </c>
      <c r="I34" s="789" t="s">
        <v>1607</v>
      </c>
      <c r="J34" s="794" t="s">
        <v>1744</v>
      </c>
      <c r="K34" s="799" t="s">
        <v>1882</v>
      </c>
    </row>
    <row r="35" spans="3:11" ht="16" x14ac:dyDescent="0.2">
      <c r="C35" s="503">
        <v>32</v>
      </c>
      <c r="D35" s="493" t="s">
        <v>310</v>
      </c>
      <c r="E35" s="494" t="s">
        <v>640</v>
      </c>
      <c r="F35" s="512" t="s">
        <v>746</v>
      </c>
      <c r="G35" s="495" t="s">
        <v>841</v>
      </c>
      <c r="H35" s="785" t="s">
        <v>1471</v>
      </c>
      <c r="I35" s="789" t="s">
        <v>1608</v>
      </c>
      <c r="J35" s="794" t="s">
        <v>1745</v>
      </c>
      <c r="K35" s="799" t="s">
        <v>1883</v>
      </c>
    </row>
    <row r="36" spans="3:11" ht="16" x14ac:dyDescent="0.2">
      <c r="C36" s="503">
        <v>33</v>
      </c>
      <c r="D36" s="493" t="s">
        <v>311</v>
      </c>
      <c r="E36" s="494" t="s">
        <v>641</v>
      </c>
      <c r="F36" s="510" t="s">
        <v>747</v>
      </c>
      <c r="G36" s="495" t="s">
        <v>642</v>
      </c>
      <c r="H36" s="785" t="s">
        <v>1456</v>
      </c>
      <c r="I36" s="789" t="s">
        <v>1593</v>
      </c>
      <c r="J36" s="794" t="s">
        <v>1730</v>
      </c>
      <c r="K36" s="799" t="s">
        <v>1868</v>
      </c>
    </row>
    <row r="37" spans="3:11" ht="16" x14ac:dyDescent="0.2">
      <c r="C37" s="503">
        <v>34</v>
      </c>
      <c r="D37" s="493" t="s">
        <v>544</v>
      </c>
      <c r="E37" s="494" t="s">
        <v>643</v>
      </c>
      <c r="F37" s="510" t="s">
        <v>748</v>
      </c>
      <c r="G37" s="495" t="s">
        <v>644</v>
      </c>
      <c r="H37" s="785" t="s">
        <v>1472</v>
      </c>
      <c r="I37" s="789" t="s">
        <v>1609</v>
      </c>
      <c r="J37" s="794" t="s">
        <v>1746</v>
      </c>
      <c r="K37" s="799" t="s">
        <v>1884</v>
      </c>
    </row>
    <row r="38" spans="3:11" ht="16" x14ac:dyDescent="0.2">
      <c r="C38" s="503">
        <v>35</v>
      </c>
      <c r="D38" s="493" t="s">
        <v>312</v>
      </c>
      <c r="E38" s="494" t="s">
        <v>645</v>
      </c>
      <c r="F38" s="510" t="s">
        <v>749</v>
      </c>
      <c r="G38" s="495" t="s">
        <v>646</v>
      </c>
      <c r="H38" s="785" t="s">
        <v>1457</v>
      </c>
      <c r="I38" s="789" t="s">
        <v>1594</v>
      </c>
      <c r="J38" s="794" t="s">
        <v>1731</v>
      </c>
      <c r="K38" s="799" t="s">
        <v>1869</v>
      </c>
    </row>
    <row r="39" spans="3:11" ht="16" x14ac:dyDescent="0.2">
      <c r="C39" s="503">
        <v>36</v>
      </c>
      <c r="D39" s="493" t="s">
        <v>280</v>
      </c>
      <c r="E39" s="494" t="s">
        <v>647</v>
      </c>
      <c r="F39" s="510" t="s">
        <v>750</v>
      </c>
      <c r="G39" s="495" t="s">
        <v>648</v>
      </c>
      <c r="H39" s="785" t="s">
        <v>1473</v>
      </c>
      <c r="I39" s="789" t="s">
        <v>1610</v>
      </c>
      <c r="J39" s="794" t="s">
        <v>1747</v>
      </c>
      <c r="K39" s="799" t="s">
        <v>1885</v>
      </c>
    </row>
    <row r="40" spans="3:11" ht="16" x14ac:dyDescent="0.2">
      <c r="C40" s="503">
        <v>37</v>
      </c>
      <c r="D40" s="493" t="s">
        <v>390</v>
      </c>
      <c r="E40" s="494" t="s">
        <v>649</v>
      </c>
      <c r="F40" s="510" t="s">
        <v>751</v>
      </c>
      <c r="G40" s="495" t="s">
        <v>842</v>
      </c>
      <c r="H40" s="785" t="s">
        <v>1474</v>
      </c>
      <c r="I40" s="789" t="s">
        <v>1611</v>
      </c>
      <c r="J40" s="794" t="s">
        <v>1748</v>
      </c>
      <c r="K40" s="799" t="s">
        <v>1886</v>
      </c>
    </row>
    <row r="41" spans="3:11" ht="18" x14ac:dyDescent="0.25">
      <c r="C41" s="503">
        <v>38</v>
      </c>
      <c r="D41" s="493" t="s">
        <v>650</v>
      </c>
      <c r="E41" s="494" t="s">
        <v>651</v>
      </c>
      <c r="F41" s="510" t="s">
        <v>752</v>
      </c>
      <c r="G41" s="516" t="s">
        <v>843</v>
      </c>
      <c r="H41" s="785" t="s">
        <v>1475</v>
      </c>
      <c r="I41" s="789" t="s">
        <v>1612</v>
      </c>
      <c r="J41" s="794" t="s">
        <v>1749</v>
      </c>
      <c r="K41" s="799" t="s">
        <v>1887</v>
      </c>
    </row>
    <row r="42" spans="3:11" ht="18" x14ac:dyDescent="0.25">
      <c r="C42" s="503">
        <v>39</v>
      </c>
      <c r="D42" s="493" t="s">
        <v>652</v>
      </c>
      <c r="E42" s="494" t="s">
        <v>652</v>
      </c>
      <c r="F42" s="510" t="s">
        <v>652</v>
      </c>
      <c r="G42" s="495" t="s">
        <v>652</v>
      </c>
      <c r="H42" s="785" t="s">
        <v>652</v>
      </c>
      <c r="I42" s="789" t="s">
        <v>652</v>
      </c>
      <c r="J42" s="794" t="s">
        <v>652</v>
      </c>
      <c r="K42" s="799" t="s">
        <v>652</v>
      </c>
    </row>
    <row r="43" spans="3:11" ht="18" x14ac:dyDescent="0.25">
      <c r="C43" s="503">
        <v>40</v>
      </c>
      <c r="D43" s="493" t="s">
        <v>653</v>
      </c>
      <c r="E43" s="494" t="s">
        <v>653</v>
      </c>
      <c r="F43" s="510" t="s">
        <v>653</v>
      </c>
      <c r="G43" s="495" t="s">
        <v>653</v>
      </c>
      <c r="H43" s="785" t="s">
        <v>653</v>
      </c>
      <c r="I43" s="789" t="s">
        <v>653</v>
      </c>
      <c r="J43" s="794" t="s">
        <v>653</v>
      </c>
      <c r="K43" s="799" t="s">
        <v>653</v>
      </c>
    </row>
    <row r="44" spans="3:11" ht="16" x14ac:dyDescent="0.2">
      <c r="C44" s="503">
        <v>41</v>
      </c>
      <c r="D44" s="493" t="s">
        <v>654</v>
      </c>
      <c r="E44" s="494" t="s">
        <v>655</v>
      </c>
      <c r="F44" s="510" t="s">
        <v>753</v>
      </c>
      <c r="G44" s="495" t="s">
        <v>844</v>
      </c>
      <c r="H44" s="785" t="s">
        <v>1476</v>
      </c>
      <c r="I44" s="789" t="s">
        <v>1613</v>
      </c>
      <c r="J44" s="794" t="s">
        <v>1750</v>
      </c>
      <c r="K44" s="799" t="s">
        <v>1888</v>
      </c>
    </row>
    <row r="45" spans="3:11" ht="16" x14ac:dyDescent="0.2">
      <c r="C45" s="503">
        <v>42</v>
      </c>
      <c r="D45" s="493" t="s">
        <v>96</v>
      </c>
      <c r="E45" s="494" t="s">
        <v>656</v>
      </c>
      <c r="F45" s="510" t="s">
        <v>754</v>
      </c>
      <c r="G45" s="495" t="s">
        <v>845</v>
      </c>
      <c r="H45" s="785" t="s">
        <v>1477</v>
      </c>
      <c r="I45" s="789" t="s">
        <v>1614</v>
      </c>
      <c r="J45" s="794" t="s">
        <v>1751</v>
      </c>
      <c r="K45" s="799" t="s">
        <v>1889</v>
      </c>
    </row>
    <row r="46" spans="3:11" ht="32" x14ac:dyDescent="0.2">
      <c r="C46" s="503">
        <v>43</v>
      </c>
      <c r="D46" s="493" t="s">
        <v>314</v>
      </c>
      <c r="E46" s="494" t="s">
        <v>846</v>
      </c>
      <c r="F46" s="510" t="s">
        <v>755</v>
      </c>
      <c r="G46" s="516" t="s">
        <v>847</v>
      </c>
      <c r="H46" s="785" t="s">
        <v>1478</v>
      </c>
      <c r="I46" s="789" t="s">
        <v>1615</v>
      </c>
      <c r="J46" s="794" t="s">
        <v>1752</v>
      </c>
      <c r="K46" s="799" t="s">
        <v>1890</v>
      </c>
    </row>
    <row r="47" spans="3:11" ht="32" x14ac:dyDescent="0.2">
      <c r="C47" s="503">
        <v>44</v>
      </c>
      <c r="D47" s="493" t="s">
        <v>791</v>
      </c>
      <c r="E47" s="496" t="s">
        <v>848</v>
      </c>
      <c r="F47" s="511" t="s">
        <v>849</v>
      </c>
      <c r="G47" s="516" t="s">
        <v>850</v>
      </c>
      <c r="H47" s="785" t="s">
        <v>1479</v>
      </c>
      <c r="I47" s="789" t="s">
        <v>1616</v>
      </c>
      <c r="J47" s="794" t="s">
        <v>1753</v>
      </c>
      <c r="K47" s="799" t="s">
        <v>1891</v>
      </c>
    </row>
    <row r="48" spans="3:11" ht="32" x14ac:dyDescent="0.2">
      <c r="C48" s="503">
        <v>45</v>
      </c>
      <c r="D48" s="493" t="s">
        <v>657</v>
      </c>
      <c r="E48" s="494" t="s">
        <v>658</v>
      </c>
      <c r="F48" s="510" t="s">
        <v>756</v>
      </c>
      <c r="G48" s="495" t="s">
        <v>851</v>
      </c>
      <c r="H48" s="785" t="s">
        <v>1480</v>
      </c>
      <c r="I48" s="789" t="s">
        <v>1617</v>
      </c>
      <c r="J48" s="794" t="s">
        <v>1754</v>
      </c>
      <c r="K48" s="799" t="s">
        <v>1892</v>
      </c>
    </row>
    <row r="49" spans="3:11" ht="32" x14ac:dyDescent="0.2">
      <c r="C49" s="503">
        <v>46</v>
      </c>
      <c r="D49" s="493" t="s">
        <v>659</v>
      </c>
      <c r="E49" s="496" t="s">
        <v>660</v>
      </c>
      <c r="F49" s="511" t="s">
        <v>757</v>
      </c>
      <c r="G49" s="517" t="s">
        <v>852</v>
      </c>
      <c r="H49" s="785" t="s">
        <v>1481</v>
      </c>
      <c r="I49" s="789" t="s">
        <v>1618</v>
      </c>
      <c r="J49" s="794" t="s">
        <v>1755</v>
      </c>
      <c r="K49" s="799" t="s">
        <v>1893</v>
      </c>
    </row>
    <row r="50" spans="3:11" ht="32" x14ac:dyDescent="0.2">
      <c r="C50" s="503">
        <v>47</v>
      </c>
      <c r="D50" s="493" t="s">
        <v>572</v>
      </c>
      <c r="E50" s="496" t="s">
        <v>718</v>
      </c>
      <c r="F50" s="511" t="s">
        <v>758</v>
      </c>
      <c r="G50" s="495" t="s">
        <v>853</v>
      </c>
      <c r="H50" s="785" t="s">
        <v>1482</v>
      </c>
      <c r="I50" s="789" t="s">
        <v>1619</v>
      </c>
      <c r="J50" s="794" t="s">
        <v>1756</v>
      </c>
      <c r="K50" s="799" t="s">
        <v>1894</v>
      </c>
    </row>
    <row r="51" spans="3:11" ht="16" x14ac:dyDescent="0.2">
      <c r="C51" s="503">
        <v>48</v>
      </c>
      <c r="D51" s="493" t="s">
        <v>315</v>
      </c>
      <c r="E51" s="494" t="s">
        <v>661</v>
      </c>
      <c r="F51" s="510" t="s">
        <v>759</v>
      </c>
      <c r="G51" s="495" t="s">
        <v>854</v>
      </c>
      <c r="H51" s="785" t="s">
        <v>1483</v>
      </c>
      <c r="I51" s="789" t="s">
        <v>1620</v>
      </c>
      <c r="J51" s="794" t="s">
        <v>1757</v>
      </c>
      <c r="K51" s="799" t="s">
        <v>1895</v>
      </c>
    </row>
    <row r="52" spans="3:11" ht="16" x14ac:dyDescent="0.2">
      <c r="C52" s="503">
        <v>49</v>
      </c>
      <c r="D52" s="493" t="s">
        <v>207</v>
      </c>
      <c r="E52" s="494" t="s">
        <v>719</v>
      </c>
      <c r="F52" s="510" t="s">
        <v>760</v>
      </c>
      <c r="G52" s="495" t="s">
        <v>855</v>
      </c>
      <c r="H52" s="785" t="s">
        <v>1484</v>
      </c>
      <c r="I52" s="789" t="s">
        <v>1621</v>
      </c>
      <c r="J52" s="794" t="s">
        <v>1758</v>
      </c>
      <c r="K52" s="799" t="s">
        <v>1896</v>
      </c>
    </row>
    <row r="53" spans="3:11" ht="16" x14ac:dyDescent="0.2">
      <c r="C53" s="503">
        <v>50</v>
      </c>
      <c r="D53" s="493" t="s">
        <v>316</v>
      </c>
      <c r="E53" s="494" t="s">
        <v>145</v>
      </c>
      <c r="F53" s="510" t="s">
        <v>761</v>
      </c>
      <c r="G53" s="495" t="s">
        <v>856</v>
      </c>
      <c r="H53" s="785" t="s">
        <v>1485</v>
      </c>
      <c r="I53" s="789" t="s">
        <v>1622</v>
      </c>
      <c r="J53" s="794" t="s">
        <v>1759</v>
      </c>
      <c r="K53" s="799" t="s">
        <v>1897</v>
      </c>
    </row>
    <row r="54" spans="3:11" ht="16" x14ac:dyDescent="0.2">
      <c r="C54" s="503">
        <v>51</v>
      </c>
      <c r="D54" s="493" t="s">
        <v>317</v>
      </c>
      <c r="E54" s="494" t="s">
        <v>146</v>
      </c>
      <c r="F54" s="510" t="s">
        <v>762</v>
      </c>
      <c r="G54" s="495" t="s">
        <v>857</v>
      </c>
      <c r="H54" s="785" t="s">
        <v>1486</v>
      </c>
      <c r="I54" s="789" t="s">
        <v>1623</v>
      </c>
      <c r="J54" s="794" t="s">
        <v>1760</v>
      </c>
      <c r="K54" s="799" t="s">
        <v>1898</v>
      </c>
    </row>
    <row r="55" spans="3:11" ht="16" x14ac:dyDescent="0.2">
      <c r="C55" s="503">
        <v>52</v>
      </c>
      <c r="D55" s="493" t="s">
        <v>318</v>
      </c>
      <c r="E55" s="494" t="s">
        <v>147</v>
      </c>
      <c r="F55" s="510" t="s">
        <v>763</v>
      </c>
      <c r="G55" s="495" t="s">
        <v>858</v>
      </c>
      <c r="H55" s="785" t="s">
        <v>1487</v>
      </c>
      <c r="I55" s="789" t="s">
        <v>1624</v>
      </c>
      <c r="J55" s="794" t="s">
        <v>1761</v>
      </c>
      <c r="K55" s="799" t="s">
        <v>1899</v>
      </c>
    </row>
    <row r="56" spans="3:11" ht="16" x14ac:dyDescent="0.2">
      <c r="C56" s="503">
        <v>53</v>
      </c>
      <c r="D56" s="493" t="s">
        <v>319</v>
      </c>
      <c r="E56" s="494" t="s">
        <v>148</v>
      </c>
      <c r="F56" s="510" t="s">
        <v>764</v>
      </c>
      <c r="G56" s="495" t="s">
        <v>859</v>
      </c>
      <c r="H56" s="785" t="s">
        <v>764</v>
      </c>
      <c r="I56" s="789" t="s">
        <v>1625</v>
      </c>
      <c r="J56" s="794" t="s">
        <v>1762</v>
      </c>
      <c r="K56" s="799" t="s">
        <v>1900</v>
      </c>
    </row>
    <row r="57" spans="3:11" ht="16" x14ac:dyDescent="0.2">
      <c r="C57" s="503">
        <v>54</v>
      </c>
      <c r="D57" s="493" t="s">
        <v>320</v>
      </c>
      <c r="E57" s="494" t="s">
        <v>662</v>
      </c>
      <c r="F57" s="510" t="s">
        <v>765</v>
      </c>
      <c r="G57" s="495" t="s">
        <v>860</v>
      </c>
      <c r="H57" s="785" t="s">
        <v>1488</v>
      </c>
      <c r="I57" s="789" t="s">
        <v>1626</v>
      </c>
      <c r="J57" s="794" t="s">
        <v>1763</v>
      </c>
      <c r="K57" s="799" t="s">
        <v>1901</v>
      </c>
    </row>
    <row r="58" spans="3:11" ht="96" x14ac:dyDescent="0.2">
      <c r="C58" s="503">
        <v>55</v>
      </c>
      <c r="D58" s="493" t="s">
        <v>336</v>
      </c>
      <c r="E58" s="496" t="s">
        <v>861</v>
      </c>
      <c r="F58" s="511" t="s">
        <v>862</v>
      </c>
      <c r="G58" s="517" t="s">
        <v>863</v>
      </c>
      <c r="H58" s="785" t="s">
        <v>1489</v>
      </c>
      <c r="I58" s="789" t="s">
        <v>1627</v>
      </c>
      <c r="J58" s="794" t="s">
        <v>1764</v>
      </c>
      <c r="K58" s="799" t="s">
        <v>1902</v>
      </c>
    </row>
    <row r="59" spans="3:11" ht="48" x14ac:dyDescent="0.2">
      <c r="C59" s="503">
        <v>56</v>
      </c>
      <c r="D59" s="493" t="s">
        <v>402</v>
      </c>
      <c r="E59" s="496" t="s">
        <v>864</v>
      </c>
      <c r="F59" s="511" t="s">
        <v>865</v>
      </c>
      <c r="G59" s="516" t="s">
        <v>866</v>
      </c>
      <c r="H59" s="785" t="s">
        <v>1490</v>
      </c>
      <c r="I59" s="789" t="s">
        <v>1628</v>
      </c>
      <c r="J59" s="794" t="s">
        <v>1765</v>
      </c>
      <c r="K59" s="799" t="s">
        <v>1903</v>
      </c>
    </row>
    <row r="60" spans="3:11" ht="16" x14ac:dyDescent="0.2">
      <c r="C60" s="503">
        <v>57</v>
      </c>
      <c r="D60" s="493" t="s">
        <v>322</v>
      </c>
      <c r="E60" s="494" t="s">
        <v>663</v>
      </c>
      <c r="F60" s="510" t="s">
        <v>766</v>
      </c>
      <c r="G60" s="495" t="s">
        <v>867</v>
      </c>
      <c r="H60" s="785" t="s">
        <v>1491</v>
      </c>
      <c r="I60" s="789" t="s">
        <v>1629</v>
      </c>
      <c r="J60" s="794" t="s">
        <v>1766</v>
      </c>
      <c r="K60" s="799" t="s">
        <v>1904</v>
      </c>
    </row>
    <row r="61" spans="3:11" ht="16" x14ac:dyDescent="0.2">
      <c r="C61" s="503">
        <v>58</v>
      </c>
      <c r="D61" s="493" t="s">
        <v>321</v>
      </c>
      <c r="E61" s="494" t="s">
        <v>186</v>
      </c>
      <c r="F61" s="510" t="s">
        <v>767</v>
      </c>
      <c r="G61" s="495" t="s">
        <v>868</v>
      </c>
      <c r="H61" s="785" t="s">
        <v>1492</v>
      </c>
      <c r="I61" s="789" t="s">
        <v>767</v>
      </c>
      <c r="J61" s="794" t="s">
        <v>1767</v>
      </c>
      <c r="K61" s="799" t="s">
        <v>1905</v>
      </c>
    </row>
    <row r="62" spans="3:11" x14ac:dyDescent="0.2">
      <c r="C62" s="503">
        <v>59</v>
      </c>
      <c r="D62" s="497" t="s">
        <v>323</v>
      </c>
      <c r="E62" s="494" t="s">
        <v>664</v>
      </c>
      <c r="F62" s="510" t="s">
        <v>768</v>
      </c>
      <c r="G62" s="495" t="s">
        <v>869</v>
      </c>
      <c r="H62" s="786" t="s">
        <v>1493</v>
      </c>
      <c r="I62" s="791" t="s">
        <v>1630</v>
      </c>
      <c r="J62" s="796" t="s">
        <v>1768</v>
      </c>
      <c r="K62" s="801" t="s">
        <v>1906</v>
      </c>
    </row>
    <row r="63" spans="3:11" x14ac:dyDescent="0.2">
      <c r="C63" s="503">
        <v>60</v>
      </c>
      <c r="D63" s="497" t="s">
        <v>324</v>
      </c>
      <c r="E63" s="494" t="s">
        <v>665</v>
      </c>
      <c r="F63" s="510" t="s">
        <v>769</v>
      </c>
      <c r="G63" s="495" t="s">
        <v>870</v>
      </c>
      <c r="H63" s="786" t="s">
        <v>1494</v>
      </c>
      <c r="I63" s="791" t="s">
        <v>1631</v>
      </c>
      <c r="J63" s="796" t="s">
        <v>1769</v>
      </c>
      <c r="K63" s="801" t="s">
        <v>1907</v>
      </c>
    </row>
    <row r="64" spans="3:11" x14ac:dyDescent="0.2">
      <c r="C64" s="503">
        <v>61</v>
      </c>
      <c r="D64" s="497" t="s">
        <v>330</v>
      </c>
      <c r="E64" s="494" t="s">
        <v>666</v>
      </c>
      <c r="F64" s="510" t="s">
        <v>770</v>
      </c>
      <c r="G64" s="495" t="s">
        <v>871</v>
      </c>
      <c r="H64" s="786" t="s">
        <v>1495</v>
      </c>
      <c r="I64" s="791" t="s">
        <v>1632</v>
      </c>
      <c r="J64" s="796" t="s">
        <v>1770</v>
      </c>
      <c r="K64" s="801" t="s">
        <v>1908</v>
      </c>
    </row>
    <row r="65" spans="3:11" x14ac:dyDescent="0.2">
      <c r="C65" s="503">
        <v>62</v>
      </c>
      <c r="D65" s="497" t="s">
        <v>329</v>
      </c>
      <c r="E65" s="494" t="s">
        <v>667</v>
      </c>
      <c r="F65" s="510" t="s">
        <v>771</v>
      </c>
      <c r="G65" s="495" t="s">
        <v>872</v>
      </c>
      <c r="H65" s="786" t="s">
        <v>1496</v>
      </c>
      <c r="I65" s="791" t="s">
        <v>1633</v>
      </c>
      <c r="J65" s="796" t="s">
        <v>1771</v>
      </c>
      <c r="K65" s="801" t="s">
        <v>1909</v>
      </c>
    </row>
    <row r="66" spans="3:11" x14ac:dyDescent="0.2">
      <c r="C66" s="503">
        <v>63</v>
      </c>
      <c r="D66" s="497" t="s">
        <v>331</v>
      </c>
      <c r="E66" s="494" t="s">
        <v>668</v>
      </c>
      <c r="F66" s="510" t="s">
        <v>772</v>
      </c>
      <c r="G66" s="495" t="s">
        <v>873</v>
      </c>
      <c r="H66" s="786" t="s">
        <v>1497</v>
      </c>
      <c r="I66" s="791" t="s">
        <v>1634</v>
      </c>
      <c r="J66" s="796" t="s">
        <v>1772</v>
      </c>
      <c r="K66" s="801" t="s">
        <v>1910</v>
      </c>
    </row>
    <row r="67" spans="3:11" x14ac:dyDescent="0.2">
      <c r="C67" s="503">
        <v>64</v>
      </c>
      <c r="D67" s="497" t="s">
        <v>332</v>
      </c>
      <c r="E67" s="494" t="s">
        <v>669</v>
      </c>
      <c r="F67" s="510" t="s">
        <v>773</v>
      </c>
      <c r="G67" s="495" t="s">
        <v>874</v>
      </c>
      <c r="H67" s="786" t="s">
        <v>1498</v>
      </c>
      <c r="I67" s="791" t="s">
        <v>1635</v>
      </c>
      <c r="J67" s="796" t="s">
        <v>1773</v>
      </c>
      <c r="K67" s="801" t="s">
        <v>1911</v>
      </c>
    </row>
    <row r="68" spans="3:11" x14ac:dyDescent="0.2">
      <c r="C68" s="503">
        <v>65</v>
      </c>
      <c r="D68" s="498" t="s">
        <v>325</v>
      </c>
      <c r="E68" s="494" t="s">
        <v>670</v>
      </c>
      <c r="F68" s="510" t="s">
        <v>774</v>
      </c>
      <c r="G68" s="495" t="s">
        <v>875</v>
      </c>
      <c r="H68" s="787" t="s">
        <v>1499</v>
      </c>
      <c r="I68" s="792" t="s">
        <v>1636</v>
      </c>
      <c r="J68" s="797" t="s">
        <v>1774</v>
      </c>
      <c r="K68" s="802" t="s">
        <v>1912</v>
      </c>
    </row>
    <row r="69" spans="3:11" x14ac:dyDescent="0.2">
      <c r="C69" s="503">
        <v>66</v>
      </c>
      <c r="D69" s="497" t="s">
        <v>326</v>
      </c>
      <c r="E69" s="494" t="s">
        <v>671</v>
      </c>
      <c r="F69" s="510" t="s">
        <v>775</v>
      </c>
      <c r="G69" s="495" t="s">
        <v>876</v>
      </c>
      <c r="H69" s="786" t="s">
        <v>1500</v>
      </c>
      <c r="I69" s="791" t="s">
        <v>1637</v>
      </c>
      <c r="J69" s="796" t="s">
        <v>1775</v>
      </c>
      <c r="K69" s="801" t="s">
        <v>1913</v>
      </c>
    </row>
    <row r="70" spans="3:11" x14ac:dyDescent="0.2">
      <c r="C70" s="503">
        <v>67</v>
      </c>
      <c r="D70" s="497" t="s">
        <v>327</v>
      </c>
      <c r="E70" s="494" t="s">
        <v>672</v>
      </c>
      <c r="F70" s="510" t="s">
        <v>776</v>
      </c>
      <c r="G70" s="495" t="s">
        <v>877</v>
      </c>
      <c r="H70" s="786" t="s">
        <v>1501</v>
      </c>
      <c r="I70" s="791" t="s">
        <v>1638</v>
      </c>
      <c r="J70" s="796" t="s">
        <v>1776</v>
      </c>
      <c r="K70" s="801" t="s">
        <v>1914</v>
      </c>
    </row>
    <row r="71" spans="3:11" x14ac:dyDescent="0.2">
      <c r="C71" s="503">
        <v>68</v>
      </c>
      <c r="D71" s="497" t="s">
        <v>328</v>
      </c>
      <c r="E71" s="494" t="s">
        <v>673</v>
      </c>
      <c r="F71" s="510" t="s">
        <v>777</v>
      </c>
      <c r="G71" s="495" t="s">
        <v>878</v>
      </c>
      <c r="H71" s="786" t="s">
        <v>1502</v>
      </c>
      <c r="I71" s="791" t="s">
        <v>1639</v>
      </c>
      <c r="J71" s="796" t="s">
        <v>1777</v>
      </c>
      <c r="K71" s="801" t="s">
        <v>1915</v>
      </c>
    </row>
    <row r="72" spans="3:11" x14ac:dyDescent="0.2">
      <c r="C72" s="503">
        <v>69</v>
      </c>
      <c r="D72" s="497" t="s">
        <v>333</v>
      </c>
      <c r="E72" s="494" t="s">
        <v>674</v>
      </c>
      <c r="F72" s="510" t="s">
        <v>778</v>
      </c>
      <c r="G72" s="495" t="s">
        <v>675</v>
      </c>
      <c r="H72" s="786" t="s">
        <v>1503</v>
      </c>
      <c r="I72" s="791" t="s">
        <v>1640</v>
      </c>
      <c r="J72" s="796" t="s">
        <v>1778</v>
      </c>
      <c r="K72" s="801" t="s">
        <v>1916</v>
      </c>
    </row>
    <row r="73" spans="3:11" x14ac:dyDescent="0.2">
      <c r="C73" s="503">
        <v>70</v>
      </c>
      <c r="D73" s="497" t="s">
        <v>334</v>
      </c>
      <c r="E73" s="494" t="s">
        <v>676</v>
      </c>
      <c r="F73" s="510" t="s">
        <v>779</v>
      </c>
      <c r="G73" s="495" t="s">
        <v>879</v>
      </c>
      <c r="H73" s="786" t="s">
        <v>1504</v>
      </c>
      <c r="I73" s="791" t="s">
        <v>1641</v>
      </c>
      <c r="J73" s="796" t="s">
        <v>1779</v>
      </c>
      <c r="K73" s="801" t="s">
        <v>1917</v>
      </c>
    </row>
    <row r="74" spans="3:11" x14ac:dyDescent="0.2">
      <c r="C74" s="503">
        <v>71</v>
      </c>
      <c r="D74" s="497" t="s">
        <v>335</v>
      </c>
      <c r="E74" s="494" t="s">
        <v>677</v>
      </c>
      <c r="F74" s="510" t="s">
        <v>780</v>
      </c>
      <c r="G74" s="495" t="s">
        <v>677</v>
      </c>
      <c r="H74" s="786" t="s">
        <v>1505</v>
      </c>
      <c r="I74" s="791" t="s">
        <v>1642</v>
      </c>
      <c r="J74" s="796" t="s">
        <v>1780</v>
      </c>
      <c r="K74" s="801" t="s">
        <v>1918</v>
      </c>
    </row>
    <row r="75" spans="3:11" ht="32" x14ac:dyDescent="0.2">
      <c r="C75" s="503">
        <v>72</v>
      </c>
      <c r="D75" s="493" t="s">
        <v>678</v>
      </c>
      <c r="E75" s="518" t="s">
        <v>880</v>
      </c>
      <c r="F75" s="510" t="s">
        <v>781</v>
      </c>
      <c r="G75" s="519" t="s">
        <v>881</v>
      </c>
      <c r="H75" s="785" t="s">
        <v>1506</v>
      </c>
      <c r="I75" s="789" t="s">
        <v>1643</v>
      </c>
      <c r="J75" s="794" t="s">
        <v>1781</v>
      </c>
      <c r="K75" s="799" t="s">
        <v>1919</v>
      </c>
    </row>
    <row r="76" spans="3:11" ht="32" x14ac:dyDescent="0.2">
      <c r="C76" s="503">
        <v>73</v>
      </c>
      <c r="D76" s="493" t="s">
        <v>205</v>
      </c>
      <c r="E76" s="496" t="s">
        <v>792</v>
      </c>
      <c r="F76" s="510" t="s">
        <v>782</v>
      </c>
      <c r="G76" s="495" t="s">
        <v>882</v>
      </c>
      <c r="H76" s="785" t="s">
        <v>1507</v>
      </c>
      <c r="I76" s="789" t="s">
        <v>1644</v>
      </c>
      <c r="J76" s="794" t="s">
        <v>1782</v>
      </c>
      <c r="K76" s="799" t="s">
        <v>1920</v>
      </c>
    </row>
    <row r="77" spans="3:11" ht="16" x14ac:dyDescent="0.2">
      <c r="C77" s="503">
        <v>74</v>
      </c>
      <c r="D77" s="499" t="s">
        <v>206</v>
      </c>
      <c r="E77" s="500" t="s">
        <v>679</v>
      </c>
      <c r="F77" s="626" t="s">
        <v>1134</v>
      </c>
      <c r="G77" s="520" t="s">
        <v>883</v>
      </c>
      <c r="H77" s="788" t="s">
        <v>1508</v>
      </c>
      <c r="I77" s="793" t="s">
        <v>1645</v>
      </c>
      <c r="J77" s="798" t="s">
        <v>1783</v>
      </c>
      <c r="K77" s="803" t="s">
        <v>1921</v>
      </c>
    </row>
    <row r="78" spans="3:11" ht="16" x14ac:dyDescent="0.2">
      <c r="C78" s="503">
        <v>75</v>
      </c>
      <c r="D78" s="493" t="s">
        <v>207</v>
      </c>
      <c r="E78" s="494" t="s">
        <v>719</v>
      </c>
      <c r="F78" s="510" t="s">
        <v>760</v>
      </c>
      <c r="G78" s="495" t="s">
        <v>855</v>
      </c>
      <c r="H78" s="785" t="s">
        <v>1484</v>
      </c>
      <c r="I78" s="789" t="s">
        <v>1621</v>
      </c>
      <c r="J78" s="794" t="s">
        <v>1758</v>
      </c>
      <c r="K78" s="799" t="s">
        <v>1896</v>
      </c>
    </row>
    <row r="79" spans="3:11" ht="16" x14ac:dyDescent="0.2">
      <c r="C79" s="503">
        <v>76</v>
      </c>
      <c r="D79" s="493" t="s">
        <v>214</v>
      </c>
      <c r="E79" s="494" t="s">
        <v>680</v>
      </c>
      <c r="F79" s="510" t="s">
        <v>783</v>
      </c>
      <c r="G79" s="495" t="s">
        <v>884</v>
      </c>
      <c r="H79" s="785" t="s">
        <v>1509</v>
      </c>
      <c r="I79" s="789" t="s">
        <v>1646</v>
      </c>
      <c r="J79" s="794" t="s">
        <v>1784</v>
      </c>
      <c r="K79" s="799" t="s">
        <v>1922</v>
      </c>
    </row>
    <row r="80" spans="3:11" ht="16" x14ac:dyDescent="0.2">
      <c r="C80" s="503">
        <v>77</v>
      </c>
      <c r="D80" s="493" t="s">
        <v>216</v>
      </c>
      <c r="E80" s="494" t="s">
        <v>681</v>
      </c>
      <c r="F80" s="510" t="s">
        <v>784</v>
      </c>
      <c r="G80" s="495" t="s">
        <v>885</v>
      </c>
      <c r="H80" s="785" t="s">
        <v>1510</v>
      </c>
      <c r="I80" s="789" t="s">
        <v>1647</v>
      </c>
      <c r="J80" s="794" t="s">
        <v>1785</v>
      </c>
      <c r="K80" s="799" t="s">
        <v>1923</v>
      </c>
    </row>
    <row r="81" spans="3:11" ht="16" x14ac:dyDescent="0.2">
      <c r="C81" s="503">
        <v>78</v>
      </c>
      <c r="D81" s="493" t="s">
        <v>218</v>
      </c>
      <c r="E81" s="494" t="s">
        <v>682</v>
      </c>
      <c r="F81" s="510" t="s">
        <v>886</v>
      </c>
      <c r="G81" s="516" t="s">
        <v>887</v>
      </c>
      <c r="H81" s="785" t="s">
        <v>1511</v>
      </c>
      <c r="I81" s="789" t="s">
        <v>1648</v>
      </c>
      <c r="J81" s="794" t="s">
        <v>1786</v>
      </c>
      <c r="K81" s="799" t="s">
        <v>1924</v>
      </c>
    </row>
    <row r="82" spans="3:11" ht="16" x14ac:dyDescent="0.2">
      <c r="C82" s="503">
        <v>79</v>
      </c>
      <c r="D82" s="493" t="s">
        <v>220</v>
      </c>
      <c r="E82" s="515" t="s">
        <v>888</v>
      </c>
      <c r="F82" s="511" t="s">
        <v>889</v>
      </c>
      <c r="G82" s="519" t="s">
        <v>890</v>
      </c>
      <c r="H82" s="785" t="s">
        <v>1512</v>
      </c>
      <c r="I82" s="789" t="s">
        <v>1649</v>
      </c>
      <c r="J82" s="794" t="s">
        <v>1787</v>
      </c>
      <c r="K82" s="799" t="s">
        <v>1925</v>
      </c>
    </row>
    <row r="83" spans="3:11" ht="16" x14ac:dyDescent="0.2">
      <c r="C83" s="503">
        <v>80</v>
      </c>
      <c r="D83" s="493" t="s">
        <v>222</v>
      </c>
      <c r="E83" s="515" t="s">
        <v>984</v>
      </c>
      <c r="F83" s="510" t="s">
        <v>891</v>
      </c>
      <c r="G83" s="519" t="s">
        <v>892</v>
      </c>
      <c r="H83" s="785" t="s">
        <v>1513</v>
      </c>
      <c r="I83" s="789" t="s">
        <v>1650</v>
      </c>
      <c r="J83" s="794" t="s">
        <v>1788</v>
      </c>
      <c r="K83" s="799" t="s">
        <v>1926</v>
      </c>
    </row>
    <row r="84" spans="3:11" ht="16" x14ac:dyDescent="0.2">
      <c r="C84" s="503">
        <v>81</v>
      </c>
      <c r="D84" s="493" t="s">
        <v>225</v>
      </c>
      <c r="E84" s="494" t="s">
        <v>683</v>
      </c>
      <c r="F84" s="510" t="s">
        <v>886</v>
      </c>
      <c r="G84" s="495" t="s">
        <v>893</v>
      </c>
      <c r="H84" s="785" t="s">
        <v>1514</v>
      </c>
      <c r="I84" s="789" t="s">
        <v>1651</v>
      </c>
      <c r="J84" s="794" t="s">
        <v>1789</v>
      </c>
      <c r="K84" s="799" t="s">
        <v>1927</v>
      </c>
    </row>
    <row r="85" spans="3:11" ht="32" x14ac:dyDescent="0.2">
      <c r="C85" s="503">
        <v>82</v>
      </c>
      <c r="D85" s="749" t="s">
        <v>1296</v>
      </c>
      <c r="E85" s="750" t="s">
        <v>1297</v>
      </c>
      <c r="F85" s="510" t="s">
        <v>1298</v>
      </c>
      <c r="G85" s="751" t="s">
        <v>1299</v>
      </c>
      <c r="H85" s="785" t="s">
        <v>1515</v>
      </c>
      <c r="I85" s="789" t="s">
        <v>1652</v>
      </c>
      <c r="J85" s="794" t="s">
        <v>1790</v>
      </c>
      <c r="K85" s="799" t="s">
        <v>1928</v>
      </c>
    </row>
    <row r="86" spans="3:11" ht="16" x14ac:dyDescent="0.2">
      <c r="C86" s="503">
        <v>83</v>
      </c>
      <c r="D86" s="493" t="s">
        <v>226</v>
      </c>
      <c r="E86" s="494" t="s">
        <v>894</v>
      </c>
      <c r="F86" s="510" t="s">
        <v>895</v>
      </c>
      <c r="G86" s="495" t="s">
        <v>896</v>
      </c>
      <c r="H86" s="785" t="s">
        <v>1516</v>
      </c>
      <c r="I86" s="789" t="s">
        <v>1653</v>
      </c>
      <c r="J86" s="794" t="s">
        <v>1791</v>
      </c>
      <c r="K86" s="799" t="s">
        <v>1929</v>
      </c>
    </row>
    <row r="87" spans="3:11" ht="16" x14ac:dyDescent="0.2">
      <c r="C87" s="503">
        <v>84</v>
      </c>
      <c r="D87" s="493" t="s">
        <v>227</v>
      </c>
      <c r="E87" s="494" t="s">
        <v>684</v>
      </c>
      <c r="F87" s="510" t="s">
        <v>785</v>
      </c>
      <c r="G87" s="495" t="s">
        <v>897</v>
      </c>
      <c r="H87" s="785" t="s">
        <v>1517</v>
      </c>
      <c r="I87" s="789" t="s">
        <v>1654</v>
      </c>
      <c r="J87" s="794" t="s">
        <v>1792</v>
      </c>
      <c r="K87" s="799" t="s">
        <v>1930</v>
      </c>
    </row>
    <row r="88" spans="3:11" ht="16" x14ac:dyDescent="0.2">
      <c r="C88" s="503">
        <v>85</v>
      </c>
      <c r="D88" s="737" t="s">
        <v>228</v>
      </c>
      <c r="E88" s="494" t="s">
        <v>685</v>
      </c>
      <c r="F88" s="510" t="s">
        <v>786</v>
      </c>
      <c r="G88" s="495" t="s">
        <v>898</v>
      </c>
      <c r="H88" s="785" t="s">
        <v>1518</v>
      </c>
      <c r="I88" s="789" t="s">
        <v>1655</v>
      </c>
      <c r="J88" s="794" t="s">
        <v>1793</v>
      </c>
      <c r="K88" s="799" t="s">
        <v>1931</v>
      </c>
    </row>
    <row r="89" spans="3:11" ht="16" x14ac:dyDescent="0.2">
      <c r="C89" s="503">
        <v>86</v>
      </c>
      <c r="D89" s="493" t="s">
        <v>231</v>
      </c>
      <c r="E89" s="494" t="s">
        <v>686</v>
      </c>
      <c r="F89" s="510" t="s">
        <v>787</v>
      </c>
      <c r="G89" s="495" t="s">
        <v>899</v>
      </c>
      <c r="H89" s="785" t="s">
        <v>1519</v>
      </c>
      <c r="I89" s="789" t="s">
        <v>1656</v>
      </c>
      <c r="J89" s="794" t="s">
        <v>1794</v>
      </c>
      <c r="K89" s="799" t="s">
        <v>1932</v>
      </c>
    </row>
    <row r="90" spans="3:11" ht="16" x14ac:dyDescent="0.2">
      <c r="C90" s="503">
        <v>87</v>
      </c>
      <c r="D90" s="737" t="s">
        <v>1283</v>
      </c>
      <c r="E90" s="750" t="s">
        <v>1317</v>
      </c>
      <c r="F90" s="510" t="s">
        <v>1318</v>
      </c>
      <c r="G90" s="752" t="s">
        <v>1319</v>
      </c>
      <c r="H90" s="785" t="s">
        <v>1520</v>
      </c>
      <c r="I90" s="789" t="s">
        <v>1657</v>
      </c>
      <c r="J90" s="794" t="s">
        <v>1795</v>
      </c>
      <c r="K90" s="799" t="s">
        <v>1933</v>
      </c>
    </row>
    <row r="91" spans="3:11" ht="16" x14ac:dyDescent="0.2">
      <c r="C91" s="503">
        <v>88</v>
      </c>
      <c r="D91" s="493" t="s">
        <v>234</v>
      </c>
      <c r="E91" s="494" t="s">
        <v>722</v>
      </c>
      <c r="F91" s="510" t="s">
        <v>788</v>
      </c>
      <c r="G91" s="495" t="s">
        <v>900</v>
      </c>
      <c r="H91" s="785" t="s">
        <v>1521</v>
      </c>
      <c r="I91" s="789" t="s">
        <v>1658</v>
      </c>
      <c r="J91" s="794" t="s">
        <v>1796</v>
      </c>
      <c r="K91" s="799" t="s">
        <v>1934</v>
      </c>
    </row>
    <row r="92" spans="3:11" ht="16" x14ac:dyDescent="0.2">
      <c r="C92" s="503">
        <v>89</v>
      </c>
      <c r="D92" s="493" t="s">
        <v>236</v>
      </c>
      <c r="E92" s="494" t="s">
        <v>687</v>
      </c>
      <c r="F92" s="512" t="s">
        <v>789</v>
      </c>
      <c r="G92" s="495" t="s">
        <v>901</v>
      </c>
      <c r="H92" s="785" t="s">
        <v>1522</v>
      </c>
      <c r="I92" s="789" t="s">
        <v>1659</v>
      </c>
      <c r="J92" s="794" t="s">
        <v>1797</v>
      </c>
      <c r="K92" s="799" t="s">
        <v>1935</v>
      </c>
    </row>
    <row r="93" spans="3:11" ht="16" x14ac:dyDescent="0.2">
      <c r="C93" s="503">
        <v>90</v>
      </c>
      <c r="D93" s="493" t="s">
        <v>238</v>
      </c>
      <c r="E93" s="494" t="s">
        <v>902</v>
      </c>
      <c r="F93" s="510" t="s">
        <v>799</v>
      </c>
      <c r="G93" s="495" t="s">
        <v>903</v>
      </c>
      <c r="H93" s="785" t="s">
        <v>1523</v>
      </c>
      <c r="I93" s="789" t="s">
        <v>1660</v>
      </c>
      <c r="J93" s="794" t="s">
        <v>1798</v>
      </c>
      <c r="K93" s="799" t="s">
        <v>1936</v>
      </c>
    </row>
    <row r="94" spans="3:11" ht="16" x14ac:dyDescent="0.2">
      <c r="C94" s="503">
        <v>91</v>
      </c>
      <c r="D94" s="493" t="s">
        <v>688</v>
      </c>
      <c r="E94" s="494" t="s">
        <v>904</v>
      </c>
      <c r="F94" s="510" t="s">
        <v>800</v>
      </c>
      <c r="G94" s="495" t="s">
        <v>905</v>
      </c>
      <c r="H94" s="785" t="s">
        <v>1524</v>
      </c>
      <c r="I94" s="789" t="s">
        <v>1661</v>
      </c>
      <c r="J94" s="794" t="s">
        <v>1799</v>
      </c>
      <c r="K94" s="799" t="s">
        <v>1937</v>
      </c>
    </row>
    <row r="95" spans="3:11" ht="16" x14ac:dyDescent="0.2">
      <c r="C95" s="503">
        <v>92</v>
      </c>
      <c r="D95" s="493" t="s">
        <v>689</v>
      </c>
      <c r="E95" s="494" t="s">
        <v>690</v>
      </c>
      <c r="F95" s="510" t="s">
        <v>801</v>
      </c>
      <c r="G95" s="495" t="s">
        <v>906</v>
      </c>
      <c r="H95" s="785" t="s">
        <v>1525</v>
      </c>
      <c r="I95" s="789" t="s">
        <v>1662</v>
      </c>
      <c r="J95" s="794" t="s">
        <v>1800</v>
      </c>
      <c r="K95" s="799" t="s">
        <v>1938</v>
      </c>
    </row>
    <row r="96" spans="3:11" ht="16" x14ac:dyDescent="0.2">
      <c r="C96" s="503">
        <v>93</v>
      </c>
      <c r="D96" s="493" t="s">
        <v>691</v>
      </c>
      <c r="E96" s="494" t="s">
        <v>692</v>
      </c>
      <c r="F96" s="510" t="s">
        <v>802</v>
      </c>
      <c r="G96" s="495" t="s">
        <v>907</v>
      </c>
      <c r="H96" s="785" t="s">
        <v>1526</v>
      </c>
      <c r="I96" s="789" t="s">
        <v>1663</v>
      </c>
      <c r="J96" s="794" t="s">
        <v>1801</v>
      </c>
      <c r="K96" s="799" t="s">
        <v>1939</v>
      </c>
    </row>
    <row r="97" spans="3:11" ht="16" x14ac:dyDescent="0.2">
      <c r="C97" s="503">
        <v>94</v>
      </c>
      <c r="D97" s="493" t="s">
        <v>209</v>
      </c>
      <c r="E97" s="494" t="s">
        <v>693</v>
      </c>
      <c r="F97" s="510" t="s">
        <v>803</v>
      </c>
      <c r="G97" s="495" t="s">
        <v>908</v>
      </c>
      <c r="H97" s="785" t="s">
        <v>1527</v>
      </c>
      <c r="I97" s="789" t="s">
        <v>1664</v>
      </c>
      <c r="J97" s="794" t="s">
        <v>1802</v>
      </c>
      <c r="K97" s="799" t="s">
        <v>1940</v>
      </c>
    </row>
    <row r="98" spans="3:11" ht="16" x14ac:dyDescent="0.2">
      <c r="C98" s="503">
        <v>95</v>
      </c>
      <c r="D98" s="493" t="s">
        <v>694</v>
      </c>
      <c r="E98" s="494" t="s">
        <v>695</v>
      </c>
      <c r="F98" s="510" t="s">
        <v>804</v>
      </c>
      <c r="G98" s="495" t="s">
        <v>909</v>
      </c>
      <c r="H98" s="785" t="s">
        <v>1528</v>
      </c>
      <c r="I98" s="789" t="s">
        <v>1665</v>
      </c>
      <c r="J98" s="794" t="s">
        <v>1803</v>
      </c>
      <c r="K98" s="799" t="s">
        <v>1941</v>
      </c>
    </row>
    <row r="99" spans="3:11" ht="16" x14ac:dyDescent="0.2">
      <c r="C99" s="503">
        <v>96</v>
      </c>
      <c r="D99" s="493" t="s">
        <v>691</v>
      </c>
      <c r="E99" s="494" t="s">
        <v>692</v>
      </c>
      <c r="F99" s="510" t="s">
        <v>802</v>
      </c>
      <c r="G99" s="495" t="s">
        <v>907</v>
      </c>
      <c r="H99" s="785" t="s">
        <v>1526</v>
      </c>
      <c r="I99" s="789" t="s">
        <v>1663</v>
      </c>
      <c r="J99" s="794" t="s">
        <v>1801</v>
      </c>
      <c r="K99" s="799" t="s">
        <v>1939</v>
      </c>
    </row>
    <row r="100" spans="3:11" ht="16" x14ac:dyDescent="0.2">
      <c r="C100" s="503">
        <v>97</v>
      </c>
      <c r="D100" s="493" t="s">
        <v>208</v>
      </c>
      <c r="E100" s="515" t="s">
        <v>696</v>
      </c>
      <c r="F100" s="510" t="s">
        <v>910</v>
      </c>
      <c r="G100" s="495" t="s">
        <v>911</v>
      </c>
      <c r="H100" s="785" t="s">
        <v>1529</v>
      </c>
      <c r="I100" s="789" t="s">
        <v>1666</v>
      </c>
      <c r="J100" s="794" t="s">
        <v>1804</v>
      </c>
      <c r="K100" s="799" t="s">
        <v>1942</v>
      </c>
    </row>
    <row r="101" spans="3:11" ht="16" x14ac:dyDescent="0.2">
      <c r="C101" s="503">
        <v>98</v>
      </c>
      <c r="D101" s="493" t="s">
        <v>209</v>
      </c>
      <c r="E101" s="494" t="s">
        <v>693</v>
      </c>
      <c r="F101" s="510" t="s">
        <v>982</v>
      </c>
      <c r="G101" s="558" t="s">
        <v>978</v>
      </c>
      <c r="H101" s="785" t="s">
        <v>1527</v>
      </c>
      <c r="I101" s="789" t="s">
        <v>1664</v>
      </c>
      <c r="J101" s="794" t="s">
        <v>1802</v>
      </c>
      <c r="K101" s="799" t="s">
        <v>1940</v>
      </c>
    </row>
    <row r="102" spans="3:11" ht="16" x14ac:dyDescent="0.2">
      <c r="C102" s="503">
        <v>99</v>
      </c>
      <c r="D102" s="493" t="s">
        <v>210</v>
      </c>
      <c r="E102" s="494" t="s">
        <v>697</v>
      </c>
      <c r="F102" s="510" t="s">
        <v>983</v>
      </c>
      <c r="G102" s="558" t="s">
        <v>979</v>
      </c>
      <c r="H102" s="785" t="s">
        <v>1530</v>
      </c>
      <c r="I102" s="789" t="s">
        <v>1667</v>
      </c>
      <c r="J102" s="794" t="s">
        <v>1805</v>
      </c>
      <c r="K102" s="799" t="s">
        <v>1943</v>
      </c>
    </row>
    <row r="103" spans="3:11" ht="16" x14ac:dyDescent="0.2">
      <c r="C103" s="503">
        <v>100</v>
      </c>
      <c r="D103" s="493" t="s">
        <v>239</v>
      </c>
      <c r="E103" s="494" t="s">
        <v>121</v>
      </c>
      <c r="F103" s="512" t="s">
        <v>912</v>
      </c>
      <c r="G103" s="495" t="s">
        <v>698</v>
      </c>
      <c r="H103" s="785" t="s">
        <v>1531</v>
      </c>
      <c r="I103" s="789" t="s">
        <v>1668</v>
      </c>
      <c r="J103" s="794" t="s">
        <v>1806</v>
      </c>
      <c r="K103" s="799" t="s">
        <v>1944</v>
      </c>
    </row>
    <row r="104" spans="3:11" ht="27.75" customHeight="1" x14ac:dyDescent="0.2">
      <c r="C104" s="503">
        <v>101</v>
      </c>
      <c r="D104" s="493" t="s">
        <v>793</v>
      </c>
      <c r="E104" s="496" t="s">
        <v>796</v>
      </c>
      <c r="F104" s="510" t="s">
        <v>913</v>
      </c>
      <c r="G104" s="501" t="s">
        <v>914</v>
      </c>
      <c r="H104" s="785" t="s">
        <v>1532</v>
      </c>
      <c r="I104" s="789" t="s">
        <v>1669</v>
      </c>
      <c r="J104" s="794" t="s">
        <v>1807</v>
      </c>
      <c r="K104" s="799" t="s">
        <v>1945</v>
      </c>
    </row>
    <row r="105" spans="3:11" ht="30" customHeight="1" x14ac:dyDescent="0.2">
      <c r="C105" s="503">
        <v>102</v>
      </c>
      <c r="D105" s="493" t="s">
        <v>699</v>
      </c>
      <c r="E105" s="496" t="s">
        <v>795</v>
      </c>
      <c r="F105" s="510" t="s">
        <v>915</v>
      </c>
      <c r="G105" s="501" t="s">
        <v>916</v>
      </c>
      <c r="H105" s="785" t="s">
        <v>1533</v>
      </c>
      <c r="I105" s="789" t="s">
        <v>1670</v>
      </c>
      <c r="J105" s="794" t="s">
        <v>1808</v>
      </c>
      <c r="K105" s="799" t="s">
        <v>1946</v>
      </c>
    </row>
    <row r="106" spans="3:11" ht="32" x14ac:dyDescent="0.2">
      <c r="C106" s="503">
        <v>103</v>
      </c>
      <c r="D106" s="493" t="s">
        <v>700</v>
      </c>
      <c r="E106" s="496" t="s">
        <v>794</v>
      </c>
      <c r="F106" s="510" t="s">
        <v>917</v>
      </c>
      <c r="G106" s="501" t="s">
        <v>918</v>
      </c>
      <c r="H106" s="785" t="s">
        <v>1534</v>
      </c>
      <c r="I106" s="789" t="s">
        <v>1671</v>
      </c>
      <c r="J106" s="794" t="s">
        <v>1809</v>
      </c>
      <c r="K106" s="799" t="s">
        <v>1947</v>
      </c>
    </row>
    <row r="107" spans="3:11" ht="16" x14ac:dyDescent="0.2">
      <c r="C107" s="503">
        <v>104</v>
      </c>
      <c r="D107" s="493" t="s">
        <v>538</v>
      </c>
      <c r="E107" s="494" t="s">
        <v>919</v>
      </c>
      <c r="F107" s="510" t="s">
        <v>805</v>
      </c>
      <c r="G107" s="516" t="s">
        <v>920</v>
      </c>
      <c r="H107" s="785" t="s">
        <v>1535</v>
      </c>
      <c r="I107" s="789" t="s">
        <v>1672</v>
      </c>
      <c r="J107" s="794" t="s">
        <v>1810</v>
      </c>
      <c r="K107" s="799" t="s">
        <v>1948</v>
      </c>
    </row>
    <row r="108" spans="3:11" ht="16" x14ac:dyDescent="0.2">
      <c r="C108" s="503">
        <v>105</v>
      </c>
      <c r="D108" s="493" t="s">
        <v>626</v>
      </c>
      <c r="E108" s="494" t="s">
        <v>627</v>
      </c>
      <c r="F108" s="510" t="s">
        <v>733</v>
      </c>
      <c r="G108" s="516" t="s">
        <v>828</v>
      </c>
      <c r="H108" s="785" t="s">
        <v>1449</v>
      </c>
      <c r="I108" s="789" t="s">
        <v>1586</v>
      </c>
      <c r="J108" s="794" t="s">
        <v>1723</v>
      </c>
      <c r="K108" s="799" t="s">
        <v>1861</v>
      </c>
    </row>
    <row r="109" spans="3:11" ht="16" x14ac:dyDescent="0.2">
      <c r="C109" s="503">
        <v>106</v>
      </c>
      <c r="D109" s="493" t="s">
        <v>510</v>
      </c>
      <c r="E109" s="494" t="s">
        <v>797</v>
      </c>
      <c r="F109" s="510" t="s">
        <v>806</v>
      </c>
      <c r="G109" s="495" t="s">
        <v>921</v>
      </c>
      <c r="H109" s="785" t="s">
        <v>1536</v>
      </c>
      <c r="I109" s="789" t="s">
        <v>1673</v>
      </c>
      <c r="J109" s="794" t="s">
        <v>1811</v>
      </c>
      <c r="K109" s="799" t="s">
        <v>1949</v>
      </c>
    </row>
    <row r="110" spans="3:11" ht="16" x14ac:dyDescent="0.2">
      <c r="C110" s="503">
        <v>107</v>
      </c>
      <c r="D110" s="493" t="s">
        <v>620</v>
      </c>
      <c r="E110" s="494" t="s">
        <v>922</v>
      </c>
      <c r="F110" s="510" t="s">
        <v>923</v>
      </c>
      <c r="G110" s="495" t="s">
        <v>924</v>
      </c>
      <c r="H110" s="785" t="s">
        <v>1537</v>
      </c>
      <c r="I110" s="789" t="s">
        <v>1674</v>
      </c>
      <c r="J110" s="794" t="s">
        <v>1812</v>
      </c>
      <c r="K110" s="799" t="s">
        <v>1950</v>
      </c>
    </row>
    <row r="111" spans="3:11" ht="16" x14ac:dyDescent="0.2">
      <c r="C111" s="503">
        <v>108</v>
      </c>
      <c r="D111" s="493" t="s">
        <v>489</v>
      </c>
      <c r="E111" s="494" t="s">
        <v>925</v>
      </c>
      <c r="F111" s="510" t="s">
        <v>926</v>
      </c>
      <c r="G111" s="495" t="s">
        <v>927</v>
      </c>
      <c r="H111" s="785" t="s">
        <v>1538</v>
      </c>
      <c r="I111" s="789" t="s">
        <v>1675</v>
      </c>
      <c r="J111" s="794" t="s">
        <v>1813</v>
      </c>
      <c r="K111" s="799" t="s">
        <v>1951</v>
      </c>
    </row>
    <row r="112" spans="3:11" ht="16" x14ac:dyDescent="0.2">
      <c r="C112" s="503">
        <v>109</v>
      </c>
      <c r="D112" s="493" t="s">
        <v>490</v>
      </c>
      <c r="E112" s="494" t="s">
        <v>928</v>
      </c>
      <c r="F112" s="510" t="s">
        <v>929</v>
      </c>
      <c r="G112" s="495" t="s">
        <v>930</v>
      </c>
      <c r="H112" s="785" t="s">
        <v>1539</v>
      </c>
      <c r="I112" s="789" t="s">
        <v>1676</v>
      </c>
      <c r="J112" s="794" t="s">
        <v>1814</v>
      </c>
      <c r="K112" s="799" t="s">
        <v>1952</v>
      </c>
    </row>
    <row r="113" spans="3:11" ht="16" x14ac:dyDescent="0.2">
      <c r="C113" s="503">
        <v>110</v>
      </c>
      <c r="D113" s="493" t="s">
        <v>491</v>
      </c>
      <c r="E113" s="494" t="s">
        <v>931</v>
      </c>
      <c r="F113" s="510" t="s">
        <v>808</v>
      </c>
      <c r="G113" s="495" t="s">
        <v>932</v>
      </c>
      <c r="H113" s="785" t="s">
        <v>1540</v>
      </c>
      <c r="I113" s="789" t="s">
        <v>1677</v>
      </c>
      <c r="J113" s="794" t="s">
        <v>1815</v>
      </c>
      <c r="K113" s="799" t="s">
        <v>1953</v>
      </c>
    </row>
    <row r="114" spans="3:11" ht="16" x14ac:dyDescent="0.2">
      <c r="C114" s="503">
        <v>111</v>
      </c>
      <c r="D114" s="493" t="s">
        <v>492</v>
      </c>
      <c r="E114" s="494" t="s">
        <v>933</v>
      </c>
      <c r="F114" s="510" t="s">
        <v>807</v>
      </c>
      <c r="G114" s="495" t="s">
        <v>934</v>
      </c>
      <c r="H114" s="785" t="s">
        <v>1541</v>
      </c>
      <c r="I114" s="789" t="s">
        <v>1678</v>
      </c>
      <c r="J114" s="794" t="s">
        <v>1816</v>
      </c>
      <c r="K114" s="799" t="s">
        <v>1954</v>
      </c>
    </row>
    <row r="115" spans="3:11" ht="16" x14ac:dyDescent="0.2">
      <c r="C115" s="503">
        <v>112</v>
      </c>
      <c r="D115" s="493" t="s">
        <v>511</v>
      </c>
      <c r="E115" s="494" t="s">
        <v>701</v>
      </c>
      <c r="F115" s="510" t="s">
        <v>810</v>
      </c>
      <c r="G115" s="495" t="s">
        <v>935</v>
      </c>
      <c r="H115" s="785" t="s">
        <v>1542</v>
      </c>
      <c r="I115" s="789" t="s">
        <v>1679</v>
      </c>
      <c r="J115" s="794" t="s">
        <v>1817</v>
      </c>
      <c r="K115" s="799" t="s">
        <v>1955</v>
      </c>
    </row>
    <row r="116" spans="3:11" ht="16" x14ac:dyDescent="0.2">
      <c r="C116" s="503">
        <v>113</v>
      </c>
      <c r="D116" s="493" t="s">
        <v>512</v>
      </c>
      <c r="E116" s="494" t="s">
        <v>702</v>
      </c>
      <c r="F116" s="510" t="s">
        <v>811</v>
      </c>
      <c r="G116" s="495" t="s">
        <v>936</v>
      </c>
      <c r="H116" s="785" t="s">
        <v>1543</v>
      </c>
      <c r="I116" s="789" t="s">
        <v>1680</v>
      </c>
      <c r="J116" s="794" t="s">
        <v>1818</v>
      </c>
      <c r="K116" s="799" t="s">
        <v>1956</v>
      </c>
    </row>
    <row r="117" spans="3:11" ht="32" x14ac:dyDescent="0.2">
      <c r="C117" s="503">
        <v>114</v>
      </c>
      <c r="D117" s="493" t="s">
        <v>798</v>
      </c>
      <c r="E117" s="518" t="s">
        <v>937</v>
      </c>
      <c r="F117" s="521" t="s">
        <v>938</v>
      </c>
      <c r="G117" s="517" t="s">
        <v>939</v>
      </c>
      <c r="H117" s="785" t="s">
        <v>1544</v>
      </c>
      <c r="I117" s="789" t="s">
        <v>1681</v>
      </c>
      <c r="J117" s="794" t="s">
        <v>1819</v>
      </c>
      <c r="K117" s="799" t="s">
        <v>1957</v>
      </c>
    </row>
    <row r="118" spans="3:11" ht="16" x14ac:dyDescent="0.2">
      <c r="C118" s="503">
        <v>115</v>
      </c>
      <c r="D118" s="493" t="s">
        <v>497</v>
      </c>
      <c r="E118" s="494" t="s">
        <v>940</v>
      </c>
      <c r="F118" s="510" t="s">
        <v>812</v>
      </c>
      <c r="G118" s="558" t="s">
        <v>981</v>
      </c>
      <c r="H118" s="785" t="s">
        <v>1545</v>
      </c>
      <c r="I118" s="789" t="s">
        <v>1682</v>
      </c>
      <c r="J118" s="794" t="s">
        <v>1820</v>
      </c>
      <c r="K118" s="799" t="s">
        <v>1958</v>
      </c>
    </row>
    <row r="119" spans="3:11" ht="16" x14ac:dyDescent="0.2">
      <c r="C119" s="503">
        <v>116</v>
      </c>
      <c r="D119" s="493" t="s">
        <v>503</v>
      </c>
      <c r="E119" s="494" t="s">
        <v>941</v>
      </c>
      <c r="F119" s="510" t="s">
        <v>813</v>
      </c>
      <c r="G119" s="558" t="s">
        <v>980</v>
      </c>
      <c r="H119" s="785" t="s">
        <v>1546</v>
      </c>
      <c r="I119" s="789" t="s">
        <v>1683</v>
      </c>
      <c r="J119" s="794" t="s">
        <v>1821</v>
      </c>
      <c r="K119" s="799" t="s">
        <v>1959</v>
      </c>
    </row>
    <row r="120" spans="3:11" ht="16" x14ac:dyDescent="0.2">
      <c r="C120" s="503">
        <v>117</v>
      </c>
      <c r="D120" s="493" t="s">
        <v>491</v>
      </c>
      <c r="E120" s="494" t="s">
        <v>931</v>
      </c>
      <c r="F120" s="510" t="s">
        <v>808</v>
      </c>
      <c r="G120" s="495" t="s">
        <v>942</v>
      </c>
      <c r="H120" s="785" t="s">
        <v>1540</v>
      </c>
      <c r="I120" s="789" t="s">
        <v>1677</v>
      </c>
      <c r="J120" s="794" t="s">
        <v>1815</v>
      </c>
      <c r="K120" s="799" t="s">
        <v>1953</v>
      </c>
    </row>
    <row r="121" spans="3:11" ht="16" x14ac:dyDescent="0.2">
      <c r="C121" s="503">
        <v>118</v>
      </c>
      <c r="D121" s="493" t="s">
        <v>492</v>
      </c>
      <c r="E121" s="494" t="s">
        <v>933</v>
      </c>
      <c r="F121" s="510" t="s">
        <v>807</v>
      </c>
      <c r="G121" s="495" t="s">
        <v>943</v>
      </c>
      <c r="H121" s="785" t="s">
        <v>1541</v>
      </c>
      <c r="I121" s="789" t="s">
        <v>1678</v>
      </c>
      <c r="J121" s="794" t="s">
        <v>1816</v>
      </c>
      <c r="K121" s="799" t="s">
        <v>1954</v>
      </c>
    </row>
    <row r="122" spans="3:11" ht="16" x14ac:dyDescent="0.2">
      <c r="C122" s="503">
        <v>119</v>
      </c>
      <c r="D122" s="493" t="s">
        <v>498</v>
      </c>
      <c r="E122" s="494" t="s">
        <v>703</v>
      </c>
      <c r="F122" s="510" t="s">
        <v>814</v>
      </c>
      <c r="G122" s="495" t="s">
        <v>944</v>
      </c>
      <c r="H122" s="785" t="s">
        <v>1547</v>
      </c>
      <c r="I122" s="789" t="s">
        <v>1684</v>
      </c>
      <c r="J122" s="794" t="s">
        <v>1822</v>
      </c>
      <c r="K122" s="799" t="s">
        <v>1960</v>
      </c>
    </row>
    <row r="123" spans="3:11" ht="16" x14ac:dyDescent="0.2">
      <c r="C123" s="503">
        <v>120</v>
      </c>
      <c r="D123" s="493" t="s">
        <v>514</v>
      </c>
      <c r="E123" s="494" t="s">
        <v>945</v>
      </c>
      <c r="F123" s="510" t="s">
        <v>946</v>
      </c>
      <c r="G123" s="495" t="s">
        <v>947</v>
      </c>
      <c r="H123" s="785" t="s">
        <v>1548</v>
      </c>
      <c r="I123" s="789" t="s">
        <v>1685</v>
      </c>
      <c r="J123" s="794" t="s">
        <v>1823</v>
      </c>
      <c r="K123" s="799" t="s">
        <v>1961</v>
      </c>
    </row>
    <row r="124" spans="3:11" ht="16" x14ac:dyDescent="0.2">
      <c r="C124" s="503">
        <v>121</v>
      </c>
      <c r="D124" s="493" t="s">
        <v>556</v>
      </c>
      <c r="E124" s="494" t="s">
        <v>704</v>
      </c>
      <c r="F124" s="510" t="s">
        <v>948</v>
      </c>
      <c r="G124" s="495" t="s">
        <v>949</v>
      </c>
      <c r="H124" s="785" t="s">
        <v>1549</v>
      </c>
      <c r="I124" s="789" t="s">
        <v>1686</v>
      </c>
      <c r="J124" s="794" t="s">
        <v>1824</v>
      </c>
      <c r="K124" s="799" t="s">
        <v>1962</v>
      </c>
    </row>
    <row r="125" spans="3:11" ht="16" x14ac:dyDescent="0.2">
      <c r="C125" s="503">
        <v>122</v>
      </c>
      <c r="D125" s="493" t="s">
        <v>501</v>
      </c>
      <c r="E125" s="494" t="s">
        <v>950</v>
      </c>
      <c r="F125" s="510" t="s">
        <v>815</v>
      </c>
      <c r="G125" s="516" t="s">
        <v>951</v>
      </c>
      <c r="H125" s="785" t="s">
        <v>1550</v>
      </c>
      <c r="I125" s="789" t="s">
        <v>1687</v>
      </c>
      <c r="J125" s="794" t="s">
        <v>1825</v>
      </c>
      <c r="K125" s="799" t="s">
        <v>1963</v>
      </c>
    </row>
    <row r="126" spans="3:11" ht="16" x14ac:dyDescent="0.2">
      <c r="C126" s="503">
        <v>123</v>
      </c>
      <c r="D126" s="757" t="s">
        <v>1342</v>
      </c>
      <c r="E126" s="758" t="s">
        <v>1358</v>
      </c>
      <c r="F126" s="510" t="s">
        <v>1359</v>
      </c>
      <c r="G126" s="759" t="s">
        <v>1360</v>
      </c>
      <c r="H126" s="785" t="s">
        <v>1551</v>
      </c>
      <c r="I126" s="789" t="s">
        <v>1688</v>
      </c>
      <c r="J126" s="794" t="s">
        <v>1826</v>
      </c>
      <c r="K126" s="799" t="s">
        <v>1964</v>
      </c>
    </row>
    <row r="127" spans="3:11" ht="16" x14ac:dyDescent="0.2">
      <c r="C127" s="503">
        <v>124</v>
      </c>
      <c r="D127" s="493" t="s">
        <v>720</v>
      </c>
      <c r="E127" s="524" t="s">
        <v>716</v>
      </c>
      <c r="F127" s="510" t="s">
        <v>973</v>
      </c>
      <c r="G127" s="523" t="s">
        <v>972</v>
      </c>
      <c r="H127" s="785" t="s">
        <v>1552</v>
      </c>
      <c r="I127" s="789" t="s">
        <v>1689</v>
      </c>
      <c r="J127" s="794" t="s">
        <v>1827</v>
      </c>
      <c r="K127" s="799" t="s">
        <v>1965</v>
      </c>
    </row>
    <row r="128" spans="3:11" ht="16" x14ac:dyDescent="0.2">
      <c r="C128" s="503">
        <v>125</v>
      </c>
      <c r="D128" s="493" t="s">
        <v>717</v>
      </c>
      <c r="E128" s="515" t="s">
        <v>952</v>
      </c>
      <c r="F128" s="510" t="s">
        <v>953</v>
      </c>
      <c r="G128" s="495" t="s">
        <v>954</v>
      </c>
      <c r="H128" s="785" t="s">
        <v>1553</v>
      </c>
      <c r="I128" s="789" t="s">
        <v>1690</v>
      </c>
      <c r="J128" s="794" t="s">
        <v>1828</v>
      </c>
      <c r="K128" s="799" t="s">
        <v>1966</v>
      </c>
    </row>
    <row r="129" spans="3:11" ht="32" x14ac:dyDescent="0.2">
      <c r="C129" s="503">
        <v>126</v>
      </c>
      <c r="D129" s="493" t="s">
        <v>724</v>
      </c>
      <c r="E129" s="494" t="s">
        <v>955</v>
      </c>
      <c r="F129" s="513" t="s">
        <v>956</v>
      </c>
      <c r="G129" s="495" t="s">
        <v>957</v>
      </c>
      <c r="H129" s="785" t="s">
        <v>1554</v>
      </c>
      <c r="I129" s="789" t="s">
        <v>1691</v>
      </c>
      <c r="J129" s="794" t="s">
        <v>1829</v>
      </c>
      <c r="K129" s="799" t="s">
        <v>1967</v>
      </c>
    </row>
    <row r="130" spans="3:11" ht="16" x14ac:dyDescent="0.2">
      <c r="C130" s="503">
        <v>127</v>
      </c>
      <c r="D130" s="493" t="s">
        <v>725</v>
      </c>
      <c r="E130" s="494" t="s">
        <v>726</v>
      </c>
      <c r="F130" s="513" t="s">
        <v>816</v>
      </c>
      <c r="G130" s="495" t="s">
        <v>958</v>
      </c>
      <c r="H130" s="785" t="s">
        <v>1555</v>
      </c>
      <c r="I130" s="789" t="s">
        <v>1692</v>
      </c>
      <c r="J130" s="794" t="s">
        <v>1830</v>
      </c>
      <c r="K130" s="799" t="s">
        <v>1968</v>
      </c>
    </row>
    <row r="131" spans="3:11" ht="16" x14ac:dyDescent="0.2">
      <c r="C131" s="503">
        <v>128</v>
      </c>
      <c r="D131" s="493" t="s">
        <v>728</v>
      </c>
      <c r="E131" s="494" t="s">
        <v>729</v>
      </c>
      <c r="F131" s="513" t="s">
        <v>817</v>
      </c>
      <c r="G131" s="495" t="s">
        <v>959</v>
      </c>
      <c r="H131" s="785" t="s">
        <v>1556</v>
      </c>
      <c r="I131" s="789" t="s">
        <v>1693</v>
      </c>
      <c r="J131" s="794" t="s">
        <v>1831</v>
      </c>
      <c r="K131" s="799" t="s">
        <v>1969</v>
      </c>
    </row>
    <row r="132" spans="3:11" ht="32" x14ac:dyDescent="0.2">
      <c r="C132" s="503">
        <v>129</v>
      </c>
      <c r="D132" s="493" t="s">
        <v>392</v>
      </c>
      <c r="E132" s="496" t="s">
        <v>730</v>
      </c>
      <c r="F132" s="522" t="s">
        <v>818</v>
      </c>
      <c r="G132" s="516" t="s">
        <v>960</v>
      </c>
      <c r="H132" s="785" t="s">
        <v>1557</v>
      </c>
      <c r="I132" s="789" t="s">
        <v>1694</v>
      </c>
      <c r="J132" s="794" t="s">
        <v>1832</v>
      </c>
      <c r="K132" s="799" t="s">
        <v>1970</v>
      </c>
    </row>
    <row r="133" spans="3:11" ht="16" x14ac:dyDescent="0.2">
      <c r="C133" s="503">
        <v>130</v>
      </c>
      <c r="D133" s="493" t="s">
        <v>961</v>
      </c>
      <c r="E133" s="494" t="s">
        <v>962</v>
      </c>
      <c r="F133" s="513" t="s">
        <v>963</v>
      </c>
      <c r="G133" s="495" t="s">
        <v>964</v>
      </c>
      <c r="H133" s="785" t="s">
        <v>1558</v>
      </c>
      <c r="I133" s="789" t="s">
        <v>1695</v>
      </c>
      <c r="J133" s="794" t="s">
        <v>1833</v>
      </c>
      <c r="K133" s="799" t="s">
        <v>1971</v>
      </c>
    </row>
    <row r="134" spans="3:11" ht="16" x14ac:dyDescent="0.2">
      <c r="C134" s="503">
        <v>131</v>
      </c>
      <c r="D134" s="493" t="s">
        <v>965</v>
      </c>
      <c r="E134" s="494" t="s">
        <v>966</v>
      </c>
      <c r="F134" s="513" t="s">
        <v>967</v>
      </c>
      <c r="G134" s="495" t="s">
        <v>968</v>
      </c>
      <c r="H134" s="785" t="s">
        <v>1559</v>
      </c>
      <c r="I134" s="789" t="s">
        <v>1696</v>
      </c>
      <c r="J134" s="794" t="s">
        <v>1834</v>
      </c>
      <c r="K134" s="799" t="s">
        <v>1972</v>
      </c>
    </row>
    <row r="135" spans="3:11" ht="16" x14ac:dyDescent="0.2">
      <c r="C135" s="503">
        <v>132</v>
      </c>
      <c r="D135" s="593" t="s">
        <v>1102</v>
      </c>
      <c r="E135" s="658" t="s">
        <v>1192</v>
      </c>
      <c r="F135" s="510" t="s">
        <v>1193</v>
      </c>
      <c r="G135" s="659" t="s">
        <v>1194</v>
      </c>
      <c r="H135" s="785" t="s">
        <v>1560</v>
      </c>
      <c r="I135" s="789" t="s">
        <v>1697</v>
      </c>
      <c r="J135" s="794" t="s">
        <v>1835</v>
      </c>
      <c r="K135" s="799" t="s">
        <v>1973</v>
      </c>
    </row>
    <row r="136" spans="3:11" ht="16" x14ac:dyDescent="0.2">
      <c r="C136" s="503">
        <v>133</v>
      </c>
      <c r="D136" s="623" t="s">
        <v>1109</v>
      </c>
      <c r="E136" s="624" t="s">
        <v>1123</v>
      </c>
      <c r="F136" s="510" t="s">
        <v>1127</v>
      </c>
      <c r="G136" s="625" t="s">
        <v>1128</v>
      </c>
      <c r="H136" s="785" t="s">
        <v>1561</v>
      </c>
      <c r="I136" s="789" t="s">
        <v>1698</v>
      </c>
      <c r="J136" s="794" t="s">
        <v>1836</v>
      </c>
      <c r="K136" s="799" t="s">
        <v>1974</v>
      </c>
    </row>
    <row r="137" spans="3:11" ht="16" x14ac:dyDescent="0.2">
      <c r="C137" s="503">
        <v>134</v>
      </c>
      <c r="D137" s="623" t="s">
        <v>1130</v>
      </c>
      <c r="E137" s="624" t="s">
        <v>1129</v>
      </c>
      <c r="F137" s="510" t="s">
        <v>1131</v>
      </c>
      <c r="G137" s="625" t="s">
        <v>1132</v>
      </c>
      <c r="H137" s="785" t="s">
        <v>1562</v>
      </c>
      <c r="I137" s="789" t="s">
        <v>1699</v>
      </c>
      <c r="J137" s="794" t="s">
        <v>1837</v>
      </c>
      <c r="K137" s="799" t="s">
        <v>1975</v>
      </c>
    </row>
    <row r="138" spans="3:11" ht="32" x14ac:dyDescent="0.2">
      <c r="C138" s="503">
        <v>135</v>
      </c>
      <c r="D138" s="623" t="s">
        <v>1112</v>
      </c>
      <c r="E138" s="628" t="s">
        <v>1141</v>
      </c>
      <c r="F138" s="510" t="s">
        <v>1142</v>
      </c>
      <c r="G138" s="625" t="s">
        <v>1133</v>
      </c>
      <c r="H138" s="785" t="s">
        <v>1563</v>
      </c>
      <c r="I138" s="789" t="s">
        <v>1700</v>
      </c>
      <c r="J138" s="794" t="s">
        <v>1838</v>
      </c>
      <c r="K138" s="799" t="s">
        <v>1976</v>
      </c>
    </row>
    <row r="139" spans="3:11" ht="16" x14ac:dyDescent="0.2">
      <c r="C139" s="503">
        <v>136</v>
      </c>
      <c r="D139" s="623" t="s">
        <v>1113</v>
      </c>
      <c r="E139" s="624" t="s">
        <v>1135</v>
      </c>
      <c r="F139" s="510" t="s">
        <v>1143</v>
      </c>
      <c r="G139" s="625" t="s">
        <v>1136</v>
      </c>
      <c r="H139" s="785" t="s">
        <v>1564</v>
      </c>
      <c r="I139" s="789" t="s">
        <v>1701</v>
      </c>
      <c r="J139" s="794" t="s">
        <v>1839</v>
      </c>
      <c r="K139" s="799" t="s">
        <v>1977</v>
      </c>
    </row>
    <row r="140" spans="3:11" ht="16" x14ac:dyDescent="0.2">
      <c r="C140" s="503">
        <v>137</v>
      </c>
      <c r="D140" s="623" t="s">
        <v>1122</v>
      </c>
      <c r="E140" s="624" t="s">
        <v>1137</v>
      </c>
      <c r="F140" s="510" t="s">
        <v>1144</v>
      </c>
      <c r="G140" s="625" t="s">
        <v>1138</v>
      </c>
      <c r="H140" s="785" t="s">
        <v>1565</v>
      </c>
      <c r="I140" s="789" t="s">
        <v>1702</v>
      </c>
      <c r="J140" s="794" t="s">
        <v>1840</v>
      </c>
      <c r="K140" s="799" t="s">
        <v>1978</v>
      </c>
    </row>
    <row r="141" spans="3:11" ht="16" x14ac:dyDescent="0.2">
      <c r="C141" s="503">
        <v>138</v>
      </c>
      <c r="D141" s="623" t="s">
        <v>1108</v>
      </c>
      <c r="E141" s="624" t="s">
        <v>1139</v>
      </c>
      <c r="F141" s="510" t="s">
        <v>1145</v>
      </c>
      <c r="G141" s="625" t="s">
        <v>1140</v>
      </c>
      <c r="H141" s="785" t="s">
        <v>1566</v>
      </c>
      <c r="I141" s="789" t="s">
        <v>1703</v>
      </c>
      <c r="J141" s="794" t="s">
        <v>1841</v>
      </c>
      <c r="K141" s="799" t="s">
        <v>1979</v>
      </c>
    </row>
    <row r="142" spans="3:11" ht="16" x14ac:dyDescent="0.2">
      <c r="C142" s="503">
        <v>139</v>
      </c>
      <c r="D142" s="643" t="s">
        <v>1162</v>
      </c>
      <c r="E142" s="644" t="s">
        <v>1163</v>
      </c>
      <c r="F142" s="510" t="s">
        <v>1164</v>
      </c>
      <c r="G142" s="645" t="s">
        <v>1165</v>
      </c>
      <c r="H142" s="785" t="s">
        <v>1567</v>
      </c>
      <c r="I142" s="789" t="s">
        <v>1704</v>
      </c>
      <c r="J142" s="794" t="s">
        <v>1842</v>
      </c>
      <c r="K142" s="799" t="s">
        <v>1980</v>
      </c>
    </row>
    <row r="143" spans="3:11" ht="16" x14ac:dyDescent="0.2">
      <c r="C143" s="503">
        <v>140</v>
      </c>
      <c r="D143" s="493" t="s">
        <v>205</v>
      </c>
      <c r="E143" s="653" t="s">
        <v>362</v>
      </c>
      <c r="F143" s="626" t="s">
        <v>362</v>
      </c>
      <c r="G143" s="654" t="s">
        <v>362</v>
      </c>
      <c r="H143" s="785" t="s">
        <v>1507</v>
      </c>
      <c r="I143" s="789" t="s">
        <v>1644</v>
      </c>
      <c r="J143" s="794" t="s">
        <v>1782</v>
      </c>
      <c r="K143" s="799" t="s">
        <v>1920</v>
      </c>
    </row>
    <row r="144" spans="3:11" ht="96" x14ac:dyDescent="0.2">
      <c r="C144" s="503">
        <v>141</v>
      </c>
      <c r="D144" s="655" t="s">
        <v>336</v>
      </c>
      <c r="E144" s="656" t="s">
        <v>1171</v>
      </c>
      <c r="F144" s="511" t="s">
        <v>1172</v>
      </c>
      <c r="G144" s="517" t="s">
        <v>1173</v>
      </c>
      <c r="H144" s="785" t="s">
        <v>1489</v>
      </c>
      <c r="I144" s="789" t="s">
        <v>1627</v>
      </c>
      <c r="J144" s="794" t="s">
        <v>1764</v>
      </c>
      <c r="K144" s="799" t="s">
        <v>1902</v>
      </c>
    </row>
    <row r="145" spans="3:11" ht="16" x14ac:dyDescent="0.2">
      <c r="C145" s="503">
        <v>142</v>
      </c>
      <c r="D145" s="655" t="s">
        <v>1186</v>
      </c>
      <c r="E145" s="658" t="s">
        <v>1187</v>
      </c>
      <c r="F145" s="513" t="s">
        <v>1188</v>
      </c>
      <c r="G145" s="659" t="s">
        <v>1189</v>
      </c>
      <c r="H145" s="785" t="s">
        <v>1568</v>
      </c>
      <c r="I145" s="789" t="s">
        <v>1705</v>
      </c>
      <c r="J145" s="794" t="s">
        <v>1843</v>
      </c>
      <c r="K145" s="799" t="s">
        <v>1981</v>
      </c>
    </row>
    <row r="146" spans="3:11" ht="16" x14ac:dyDescent="0.2">
      <c r="C146" s="503">
        <v>143</v>
      </c>
      <c r="D146" s="667" t="s">
        <v>1200</v>
      </c>
      <c r="E146" s="668" t="s">
        <v>1201</v>
      </c>
      <c r="F146" s="513" t="s">
        <v>1209</v>
      </c>
      <c r="G146" s="669" t="s">
        <v>1202</v>
      </c>
      <c r="H146" s="785" t="s">
        <v>1569</v>
      </c>
      <c r="I146" s="789" t="s">
        <v>1706</v>
      </c>
      <c r="J146" s="794" t="s">
        <v>1844</v>
      </c>
      <c r="K146" s="799" t="s">
        <v>1982</v>
      </c>
    </row>
    <row r="147" spans="3:11" ht="16" x14ac:dyDescent="0.2">
      <c r="C147" s="503">
        <v>144</v>
      </c>
      <c r="D147" s="749" t="s">
        <v>1307</v>
      </c>
      <c r="E147" s="750" t="s">
        <v>1304</v>
      </c>
      <c r="F147" s="513" t="s">
        <v>1305</v>
      </c>
      <c r="G147" s="751" t="s">
        <v>1306</v>
      </c>
      <c r="H147" s="785" t="s">
        <v>1570</v>
      </c>
      <c r="I147" s="789" t="s">
        <v>1707</v>
      </c>
      <c r="J147" s="794" t="s">
        <v>1845</v>
      </c>
      <c r="K147" s="799" t="s">
        <v>1983</v>
      </c>
    </row>
    <row r="148" spans="3:11" ht="16" x14ac:dyDescent="0.2">
      <c r="C148" s="503">
        <v>145</v>
      </c>
      <c r="D148" s="749" t="s">
        <v>1300</v>
      </c>
      <c r="E148" s="750" t="s">
        <v>1301</v>
      </c>
      <c r="F148" s="513" t="s">
        <v>1302</v>
      </c>
      <c r="G148" s="751" t="s">
        <v>1303</v>
      </c>
      <c r="H148" s="785" t="s">
        <v>1571</v>
      </c>
      <c r="I148" s="789" t="s">
        <v>1708</v>
      </c>
      <c r="J148" s="794" t="s">
        <v>1846</v>
      </c>
      <c r="K148" s="799" t="s">
        <v>1984</v>
      </c>
    </row>
    <row r="149" spans="3:11" ht="16" x14ac:dyDescent="0.2">
      <c r="C149" s="503">
        <v>146</v>
      </c>
      <c r="D149" s="749" t="s">
        <v>1279</v>
      </c>
      <c r="E149" s="750" t="s">
        <v>1309</v>
      </c>
      <c r="F149" s="513" t="s">
        <v>1310</v>
      </c>
      <c r="G149" s="751" t="s">
        <v>1311</v>
      </c>
      <c r="H149" s="785" t="s">
        <v>1572</v>
      </c>
      <c r="I149" s="789" t="s">
        <v>1709</v>
      </c>
      <c r="J149" s="794" t="s">
        <v>1847</v>
      </c>
      <c r="K149" s="799" t="s">
        <v>1985</v>
      </c>
    </row>
    <row r="150" spans="3:11" ht="16" x14ac:dyDescent="0.2">
      <c r="C150" s="503">
        <v>147</v>
      </c>
      <c r="D150" s="749" t="s">
        <v>1284</v>
      </c>
      <c r="E150" s="750" t="s">
        <v>1308</v>
      </c>
      <c r="F150" s="513" t="s">
        <v>1312</v>
      </c>
      <c r="G150" s="751" t="s">
        <v>1316</v>
      </c>
      <c r="H150" s="785" t="s">
        <v>1573</v>
      </c>
      <c r="I150" s="789" t="s">
        <v>1710</v>
      </c>
      <c r="J150" s="794" t="s">
        <v>1848</v>
      </c>
      <c r="K150" s="799" t="s">
        <v>1986</v>
      </c>
    </row>
    <row r="151" spans="3:11" ht="16" x14ac:dyDescent="0.2">
      <c r="C151" s="503">
        <v>148</v>
      </c>
      <c r="D151" s="749" t="s">
        <v>1280</v>
      </c>
      <c r="E151" s="750" t="s">
        <v>1313</v>
      </c>
      <c r="F151" s="513" t="s">
        <v>1314</v>
      </c>
      <c r="G151" s="751" t="s">
        <v>1315</v>
      </c>
      <c r="H151" s="785" t="s">
        <v>1574</v>
      </c>
      <c r="I151" s="789" t="s">
        <v>1711</v>
      </c>
      <c r="J151" s="794" t="s">
        <v>1849</v>
      </c>
      <c r="K151" s="799" t="s">
        <v>1987</v>
      </c>
    </row>
    <row r="152" spans="3:11" ht="16" x14ac:dyDescent="0.2">
      <c r="C152" s="503">
        <v>149</v>
      </c>
      <c r="D152" s="749" t="s">
        <v>1272</v>
      </c>
      <c r="E152" s="750" t="s">
        <v>1320</v>
      </c>
      <c r="F152" s="513" t="s">
        <v>1321</v>
      </c>
      <c r="G152" s="751" t="s">
        <v>1322</v>
      </c>
      <c r="H152" s="785" t="s">
        <v>1575</v>
      </c>
      <c r="I152" s="789" t="s">
        <v>1712</v>
      </c>
      <c r="J152" s="794" t="s">
        <v>1850</v>
      </c>
      <c r="K152" s="799" t="s">
        <v>1988</v>
      </c>
    </row>
    <row r="153" spans="3:11" ht="16" x14ac:dyDescent="0.2">
      <c r="C153" s="503">
        <v>150</v>
      </c>
      <c r="D153" s="749" t="s">
        <v>1288</v>
      </c>
      <c r="E153" s="750" t="s">
        <v>1323</v>
      </c>
      <c r="F153" s="513" t="s">
        <v>1324</v>
      </c>
      <c r="G153" s="751" t="s">
        <v>1325</v>
      </c>
      <c r="H153" s="785" t="s">
        <v>1576</v>
      </c>
      <c r="I153" s="789" t="s">
        <v>1713</v>
      </c>
      <c r="J153" s="794" t="s">
        <v>1851</v>
      </c>
      <c r="K153" s="799" t="s">
        <v>1989</v>
      </c>
    </row>
    <row r="154" spans="3:11" ht="16" x14ac:dyDescent="0.2">
      <c r="C154" s="503">
        <v>151</v>
      </c>
      <c r="D154" s="749" t="s">
        <v>1326</v>
      </c>
      <c r="E154" s="750" t="s">
        <v>1327</v>
      </c>
      <c r="F154" s="513" t="s">
        <v>1328</v>
      </c>
      <c r="G154" s="751" t="s">
        <v>1329</v>
      </c>
      <c r="H154" s="785" t="s">
        <v>1577</v>
      </c>
      <c r="I154" s="789" t="s">
        <v>1714</v>
      </c>
      <c r="J154" s="794" t="s">
        <v>1852</v>
      </c>
      <c r="K154" s="799" t="s">
        <v>1990</v>
      </c>
    </row>
    <row r="155" spans="3:11" ht="16" x14ac:dyDescent="0.2">
      <c r="C155" s="503">
        <v>152</v>
      </c>
      <c r="D155" s="749" t="s">
        <v>1274</v>
      </c>
      <c r="E155" s="750" t="s">
        <v>1330</v>
      </c>
      <c r="F155" s="513" t="s">
        <v>1331</v>
      </c>
      <c r="G155" s="751" t="s">
        <v>1332</v>
      </c>
      <c r="H155" s="785" t="s">
        <v>1578</v>
      </c>
      <c r="I155" s="789" t="s">
        <v>1715</v>
      </c>
      <c r="J155" s="794" t="s">
        <v>1853</v>
      </c>
      <c r="K155" s="799" t="s">
        <v>1991</v>
      </c>
    </row>
    <row r="156" spans="3:11" x14ac:dyDescent="0.2">
      <c r="C156" s="503">
        <v>153</v>
      </c>
      <c r="D156" s="757"/>
      <c r="E156" s="758"/>
      <c r="F156" s="510"/>
      <c r="G156" s="759"/>
      <c r="H156" s="765"/>
      <c r="I156" s="767"/>
      <c r="J156" s="769"/>
      <c r="K156" s="771"/>
    </row>
    <row r="157" spans="3:11" x14ac:dyDescent="0.2">
      <c r="C157" s="503">
        <v>154</v>
      </c>
    </row>
    <row r="158" spans="3:11" x14ac:dyDescent="0.2">
      <c r="C158" s="503">
        <v>155</v>
      </c>
    </row>
    <row r="159" spans="3:11" x14ac:dyDescent="0.2">
      <c r="C159" s="503">
        <v>156</v>
      </c>
    </row>
    <row r="160" spans="3:11" x14ac:dyDescent="0.2">
      <c r="C160" s="503">
        <v>157</v>
      </c>
    </row>
    <row r="161" spans="3:3" x14ac:dyDescent="0.2">
      <c r="C161" s="503">
        <v>158</v>
      </c>
    </row>
    <row r="162" spans="3:3" x14ac:dyDescent="0.2">
      <c r="C162" s="503">
        <v>159</v>
      </c>
    </row>
    <row r="163" spans="3:3" x14ac:dyDescent="0.2">
      <c r="C163" s="503">
        <v>160</v>
      </c>
    </row>
  </sheetData>
  <phoneticPr fontId="82" type="noConversion"/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53027-9FCA-4C88-802E-DC975D5DFA86}">
  <sheetPr codeName="Taul18"/>
  <dimension ref="C4:AC63"/>
  <sheetViews>
    <sheetView topLeftCell="H1" workbookViewId="0">
      <selection activeCell="E33" sqref="E33"/>
    </sheetView>
  </sheetViews>
  <sheetFormatPr baseColWidth="10" defaultColWidth="8.83203125" defaultRowHeight="13" x14ac:dyDescent="0.15"/>
  <cols>
    <col min="6" max="6" width="12.1640625" customWidth="1"/>
    <col min="7" max="7" width="7" customWidth="1"/>
    <col min="8" max="8" width="47" bestFit="1" customWidth="1"/>
    <col min="9" max="9" width="9.6640625" customWidth="1"/>
    <col min="11" max="11" width="5.83203125" customWidth="1"/>
    <col min="13" max="13" width="13.1640625" customWidth="1"/>
    <col min="14" max="14" width="9" bestFit="1" customWidth="1"/>
    <col min="15" max="15" width="23" bestFit="1" customWidth="1"/>
    <col min="16" max="16" width="12.5" bestFit="1" customWidth="1"/>
    <col min="17" max="17" width="13" bestFit="1" customWidth="1"/>
    <col min="18" max="18" width="9.5" bestFit="1" customWidth="1"/>
    <col min="19" max="19" width="9.33203125" bestFit="1" customWidth="1"/>
    <col min="20" max="20" width="9.83203125" bestFit="1" customWidth="1"/>
  </cols>
  <sheetData>
    <row r="4" spans="5:29" ht="14" thickBot="1" x14ac:dyDescent="0.2"/>
    <row r="5" spans="5:29" x14ac:dyDescent="0.15">
      <c r="H5" s="360" t="s">
        <v>483</v>
      </c>
      <c r="I5" s="361"/>
      <c r="J5" s="362"/>
      <c r="M5" s="303" t="s">
        <v>484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1"/>
    </row>
    <row r="6" spans="5:29" ht="15" x14ac:dyDescent="0.15">
      <c r="H6" s="232" t="s">
        <v>485</v>
      </c>
      <c r="I6" s="457">
        <f>Tulostus!E33</f>
        <v>40</v>
      </c>
      <c r="J6" s="364" t="s">
        <v>72</v>
      </c>
      <c r="M6" s="232"/>
      <c r="AC6" s="364"/>
    </row>
    <row r="7" spans="5:29" x14ac:dyDescent="0.15">
      <c r="H7" s="232" t="s">
        <v>486</v>
      </c>
      <c r="I7" s="233">
        <f>I6*1.2*(I9-I8)</f>
        <v>912</v>
      </c>
      <c r="J7" s="364" t="s">
        <v>49</v>
      </c>
      <c r="M7" s="232" t="s">
        <v>485</v>
      </c>
      <c r="N7" t="s">
        <v>487</v>
      </c>
      <c r="O7" t="s">
        <v>488</v>
      </c>
      <c r="AC7" s="364"/>
    </row>
    <row r="8" spans="5:29" x14ac:dyDescent="0.15">
      <c r="E8" s="3"/>
      <c r="H8" s="232" t="s">
        <v>489</v>
      </c>
      <c r="I8" s="365">
        <f>Tulostus!F86</f>
        <v>1</v>
      </c>
      <c r="J8" s="364" t="s">
        <v>230</v>
      </c>
      <c r="M8" s="234">
        <v>50</v>
      </c>
      <c r="N8" s="80">
        <v>4388.9688496702984</v>
      </c>
      <c r="O8" s="5">
        <v>0.29666666666665975</v>
      </c>
      <c r="AC8" s="364"/>
    </row>
    <row r="9" spans="5:29" x14ac:dyDescent="0.15">
      <c r="H9" s="232" t="s">
        <v>490</v>
      </c>
      <c r="I9" s="365">
        <f>Tulostus!F87</f>
        <v>20</v>
      </c>
      <c r="J9" s="364" t="s">
        <v>230</v>
      </c>
      <c r="M9" s="234">
        <v>50</v>
      </c>
      <c r="N9" s="80">
        <v>5309.2365116979418</v>
      </c>
      <c r="O9" s="5">
        <v>-0.4704301075268873</v>
      </c>
      <c r="AC9" s="364"/>
    </row>
    <row r="10" spans="5:29" ht="14" thickBot="1" x14ac:dyDescent="0.2">
      <c r="H10" s="234" t="s">
        <v>491</v>
      </c>
      <c r="I10" s="365">
        <f>Tulostus!F88</f>
        <v>50</v>
      </c>
      <c r="J10" s="364" t="s">
        <v>230</v>
      </c>
      <c r="M10" s="234">
        <v>50</v>
      </c>
      <c r="N10" s="80">
        <v>8494.7784187167072</v>
      </c>
      <c r="O10" s="5">
        <v>0.72365591397849016</v>
      </c>
      <c r="AC10" s="364"/>
    </row>
    <row r="11" spans="5:29" ht="14" thickBot="1" x14ac:dyDescent="0.2">
      <c r="H11" s="234" t="s">
        <v>492</v>
      </c>
      <c r="I11" s="365">
        <f>Tulostus!F89</f>
        <v>30</v>
      </c>
      <c r="J11" s="364" t="s">
        <v>230</v>
      </c>
      <c r="M11" s="234">
        <v>50</v>
      </c>
      <c r="N11" s="80">
        <v>4388.9688496702984</v>
      </c>
      <c r="O11" s="5">
        <v>0.29666666666665975</v>
      </c>
      <c r="P11" t="s">
        <v>493</v>
      </c>
      <c r="Q11" s="366">
        <v>0.3</v>
      </c>
      <c r="AC11" s="364"/>
    </row>
    <row r="12" spans="5:29" x14ac:dyDescent="0.15">
      <c r="H12" s="232" t="s">
        <v>494</v>
      </c>
      <c r="I12" s="367">
        <f>$I$7/4186/(20)/1000/((12.5/2000)^2*PI())*0.0125/0.0000005729</f>
        <v>1936.8094794674093</v>
      </c>
      <c r="J12" s="368" t="s">
        <v>393</v>
      </c>
      <c r="M12" s="234">
        <v>50</v>
      </c>
      <c r="N12" s="80">
        <v>3964.2299287344631</v>
      </c>
      <c r="O12" s="5">
        <v>0.41311827956988623</v>
      </c>
      <c r="AC12" s="364"/>
    </row>
    <row r="13" spans="5:29" ht="14" thickBot="1" x14ac:dyDescent="0.2">
      <c r="H13" s="369" t="s">
        <v>495</v>
      </c>
      <c r="I13" s="370">
        <f>I7/1000/($P$48)-$S$22</f>
        <v>9.2992250485607606</v>
      </c>
      <c r="J13" s="239" t="s">
        <v>496</v>
      </c>
      <c r="M13" s="234">
        <v>50</v>
      </c>
      <c r="N13" s="80">
        <v>3539.4910077986274</v>
      </c>
      <c r="O13" s="5">
        <v>-0.4704301075268873</v>
      </c>
      <c r="AC13" s="364"/>
    </row>
    <row r="14" spans="5:29" ht="14" thickBot="1" x14ac:dyDescent="0.2">
      <c r="M14" s="371">
        <v>50</v>
      </c>
      <c r="N14" s="257">
        <v>3114.7520868627926</v>
      </c>
      <c r="O14" s="209">
        <v>-0.85397849462366082</v>
      </c>
      <c r="P14" s="25"/>
      <c r="Q14" s="25"/>
      <c r="AC14" s="364"/>
    </row>
    <row r="15" spans="5:29" x14ac:dyDescent="0.15">
      <c r="H15" s="360" t="s">
        <v>497</v>
      </c>
      <c r="I15" s="372"/>
      <c r="J15" s="362"/>
      <c r="M15" s="234">
        <v>100</v>
      </c>
      <c r="N15" s="80">
        <v>7078.9820155972548</v>
      </c>
      <c r="O15" s="5">
        <v>0.89649814085133528</v>
      </c>
      <c r="AC15" s="364"/>
    </row>
    <row r="16" spans="5:29" x14ac:dyDescent="0.15">
      <c r="H16" s="234" t="s">
        <v>491</v>
      </c>
      <c r="I16" s="235">
        <f>I10</f>
        <v>50</v>
      </c>
      <c r="J16" s="364" t="s">
        <v>230</v>
      </c>
      <c r="M16" s="234">
        <v>100</v>
      </c>
      <c r="N16" s="80">
        <v>8707.1478791846239</v>
      </c>
      <c r="O16" s="5">
        <v>0.61512847549808924</v>
      </c>
      <c r="AC16" s="364"/>
    </row>
    <row r="17" spans="3:29" ht="14" thickBot="1" x14ac:dyDescent="0.2">
      <c r="C17" t="s">
        <v>532</v>
      </c>
      <c r="E17" t="b">
        <f>IF(I17&lt;I8,TRUE,FALSE)</f>
        <v>1</v>
      </c>
      <c r="F17" t="b">
        <f>IF(I17&gt;I16,TRUE,FALSE)</f>
        <v>0</v>
      </c>
      <c r="H17" s="234" t="s">
        <v>492</v>
      </c>
      <c r="I17" s="235">
        <f>(I13+AVERAGE(I8:I9))*2-I10</f>
        <v>-10.401549902878479</v>
      </c>
      <c r="J17" s="364" t="s">
        <v>230</v>
      </c>
      <c r="M17" s="234">
        <v>100</v>
      </c>
      <c r="N17" s="80">
        <v>13591.64546994673</v>
      </c>
      <c r="O17" s="5">
        <v>0.83375881014485387</v>
      </c>
      <c r="AC17" s="364"/>
    </row>
    <row r="18" spans="3:29" ht="16" thickBot="1" x14ac:dyDescent="0.2">
      <c r="E18" t="b">
        <f t="array" ref="E18">IF(ISERROR(I16:I22),TRUE,FALSE)</f>
        <v>0</v>
      </c>
      <c r="H18" s="234" t="s">
        <v>498</v>
      </c>
      <c r="I18" s="373">
        <f>I7/4186/(I16-I17)</f>
        <v>3.607011538356603E-3</v>
      </c>
      <c r="J18" s="364" t="s">
        <v>72</v>
      </c>
      <c r="M18" s="234">
        <v>100</v>
      </c>
      <c r="N18" s="80">
        <v>3822.6502884225179</v>
      </c>
      <c r="O18" s="5">
        <v>-4.9372606692935204</v>
      </c>
      <c r="P18" t="s">
        <v>493</v>
      </c>
      <c r="Q18" s="366">
        <f>IF($I$12&lt;6000,IF($I$12&lt;3500,-4.5,P20*$I$12+$Q$20),1)</f>
        <v>-4.5</v>
      </c>
      <c r="AC18" s="364"/>
    </row>
    <row r="19" spans="3:29" x14ac:dyDescent="0.15">
      <c r="E19" t="b">
        <f>IF(I18&lt;0,TRUE,IF(I19&gt;50,TRUE,FALSE))</f>
        <v>0</v>
      </c>
      <c r="H19" s="234" t="s">
        <v>499</v>
      </c>
      <c r="I19" s="235">
        <f>$O$62*I18^$M$62</f>
        <v>2.7935202638013926E-2</v>
      </c>
      <c r="J19" s="364" t="s">
        <v>500</v>
      </c>
      <c r="M19" s="234">
        <v>100</v>
      </c>
      <c r="N19" s="80">
        <v>7078.9820155972548</v>
      </c>
      <c r="O19" s="5">
        <v>0.89649814085133528</v>
      </c>
      <c r="AC19" s="364"/>
    </row>
    <row r="20" spans="3:29" x14ac:dyDescent="0.15">
      <c r="E20" t="b">
        <f>IF(I18&lt;0,TRUE,IF(I20&gt;50,TRUE,FALSE))</f>
        <v>0</v>
      </c>
      <c r="H20" s="234" t="s">
        <v>557</v>
      </c>
      <c r="I20" s="235">
        <f>((I18*3.6)/1)^2*100</f>
        <v>1.686164978023762E-2</v>
      </c>
      <c r="J20" s="364" t="s">
        <v>500</v>
      </c>
      <c r="M20" s="234">
        <v>100</v>
      </c>
      <c r="N20" s="80">
        <v>6512.6634543494738</v>
      </c>
      <c r="O20" s="5">
        <v>1.1047782895832228</v>
      </c>
      <c r="P20" cm="1">
        <f t="array" ref="P20:Q20">LINEST(O18:O22,N18:N22)</f>
        <v>1.787327714179628E-3</v>
      </c>
      <c r="Q20">
        <v>-10.938996315284054</v>
      </c>
      <c r="S20" t="s">
        <v>488</v>
      </c>
      <c r="AC20" s="364"/>
    </row>
    <row r="21" spans="3:29" x14ac:dyDescent="0.15">
      <c r="E21" t="b">
        <f>IF(I22&lt;3000,TRUE,FALSE)</f>
        <v>1</v>
      </c>
      <c r="H21" s="234" t="s">
        <v>501</v>
      </c>
      <c r="I21" s="373">
        <f>I18/1000/((12.5/2000)^2*PI())</f>
        <v>2.9392574265290496E-2</v>
      </c>
      <c r="J21" s="364" t="s">
        <v>502</v>
      </c>
      <c r="M21" s="234">
        <v>100</v>
      </c>
      <c r="N21" s="80">
        <v>5663.1856124778033</v>
      </c>
      <c r="O21" s="5">
        <v>-0.58280148731893533</v>
      </c>
      <c r="AC21" s="364"/>
    </row>
    <row r="22" spans="3:29" ht="14" thickBot="1" x14ac:dyDescent="0.2">
      <c r="D22" s="2" t="s">
        <v>536</v>
      </c>
      <c r="E22" s="2" t="b">
        <f>IF(OR(E17,E18,F17,E21,E19,E20),TRUE,FALSE)</f>
        <v>1</v>
      </c>
      <c r="H22" s="369" t="s">
        <v>487</v>
      </c>
      <c r="I22" s="374">
        <f>I21*0.0125/0.0000005729</f>
        <v>641.31118574992365</v>
      </c>
      <c r="J22" s="375" t="s">
        <v>393</v>
      </c>
      <c r="M22" s="371">
        <v>100</v>
      </c>
      <c r="N22" s="257">
        <v>4955.2874109180793</v>
      </c>
      <c r="O22" s="209">
        <v>-1.0724513014040689</v>
      </c>
      <c r="P22" s="25"/>
      <c r="Q22" s="25"/>
      <c r="S22" s="32">
        <f>IF($I$6&lt;50,T24,IF($I$6&gt;300,$T$27,S31*I6^2+T31*I6+U31))</f>
        <v>0.3</v>
      </c>
      <c r="AC22" s="364"/>
    </row>
    <row r="23" spans="3:29" ht="14" thickBot="1" x14ac:dyDescent="0.2">
      <c r="M23" s="234">
        <v>200</v>
      </c>
      <c r="N23" s="80">
        <v>11184.791584643664</v>
      </c>
      <c r="O23" s="5">
        <v>1.4390129038334791</v>
      </c>
      <c r="AC23" s="364"/>
    </row>
    <row r="24" spans="3:29" x14ac:dyDescent="0.15">
      <c r="H24" s="360" t="s">
        <v>503</v>
      </c>
      <c r="I24" s="361"/>
      <c r="J24" s="362"/>
      <c r="M24" s="234">
        <v>200</v>
      </c>
      <c r="N24" s="80">
        <v>13804.014930414649</v>
      </c>
      <c r="O24" s="5">
        <v>1.3612131487237491</v>
      </c>
      <c r="S24" s="233">
        <v>50</v>
      </c>
      <c r="T24" s="376">
        <f>Q11</f>
        <v>0.3</v>
      </c>
      <c r="AC24" s="364"/>
    </row>
    <row r="25" spans="3:29" ht="14" thickBot="1" x14ac:dyDescent="0.2">
      <c r="C25" t="s">
        <v>532</v>
      </c>
      <c r="E25" t="b">
        <f>IF(I26&lt;I8,TRUE,FALSE)</f>
        <v>0</v>
      </c>
      <c r="F25" t="b">
        <f>IF(I26&gt;I25,TRUE,FALSE)</f>
        <v>1</v>
      </c>
      <c r="H25" s="234" t="s">
        <v>491</v>
      </c>
      <c r="I25" s="235">
        <f>(I13+AVERAGE(I8:I9))*2-I11</f>
        <v>9.5984500971215212</v>
      </c>
      <c r="J25" s="364" t="s">
        <v>230</v>
      </c>
      <c r="M25" s="234">
        <v>200</v>
      </c>
      <c r="N25" s="80">
        <v>22511.162809599275</v>
      </c>
      <c r="O25" s="5">
        <v>2.7945276443439795</v>
      </c>
      <c r="S25" s="233">
        <v>100</v>
      </c>
      <c r="T25" s="376">
        <f>Q18</f>
        <v>-4.5</v>
      </c>
      <c r="AC25" s="364"/>
    </row>
    <row r="26" spans="3:29" ht="14" thickBot="1" x14ac:dyDescent="0.2">
      <c r="E26" t="b">
        <f t="array" ref="E26">IF(ISERROR(I25:I31),TRUE,FALSE)</f>
        <v>0</v>
      </c>
      <c r="H26" s="234" t="s">
        <v>492</v>
      </c>
      <c r="I26" s="235">
        <f>I11</f>
        <v>30</v>
      </c>
      <c r="J26" s="364" t="s">
        <v>230</v>
      </c>
      <c r="M26" s="234">
        <v>200</v>
      </c>
      <c r="N26" s="80">
        <v>6158.7143535696114</v>
      </c>
      <c r="O26" s="5">
        <v>-4.338843364415558</v>
      </c>
      <c r="P26" t="s">
        <v>493</v>
      </c>
      <c r="Q26" s="366">
        <f>IF($I$12&lt;11200,IF($I$12&lt;6000,-4.5,P28*$I$12+$Q$28),1.4)</f>
        <v>-4.5</v>
      </c>
      <c r="S26" s="233">
        <v>200</v>
      </c>
      <c r="T26" s="376">
        <f>Q26</f>
        <v>-4.5</v>
      </c>
      <c r="AC26" s="364"/>
    </row>
    <row r="27" spans="3:29" ht="15" x14ac:dyDescent="0.15">
      <c r="H27" s="234" t="s">
        <v>498</v>
      </c>
      <c r="I27" s="373">
        <f>I7/4186/(I25-I26)</f>
        <v>-1.0679045879919418E-2</v>
      </c>
      <c r="J27" s="364" t="s">
        <v>72</v>
      </c>
      <c r="M27" s="234">
        <v>200</v>
      </c>
      <c r="N27" s="80">
        <v>11184.791584643664</v>
      </c>
      <c r="O27" s="5">
        <v>1.4390129038334791</v>
      </c>
      <c r="S27" s="233">
        <v>300</v>
      </c>
      <c r="T27" s="376">
        <f>Q34</f>
        <v>-4.5</v>
      </c>
      <c r="AC27" s="364"/>
    </row>
    <row r="28" spans="3:29" x14ac:dyDescent="0.15">
      <c r="E28" t="b">
        <f>IF(I27&lt;0,TRUE,IF(I28&gt;50,TRUE,FALSE))</f>
        <v>1</v>
      </c>
      <c r="H28" s="234" t="s">
        <v>499</v>
      </c>
      <c r="I28" s="235" t="e">
        <f>$O$62*I27^$M$62</f>
        <v>#NUM!</v>
      </c>
      <c r="J28" s="364" t="s">
        <v>500</v>
      </c>
      <c r="M28" s="234">
        <v>200</v>
      </c>
      <c r="N28" s="80">
        <v>9910.5748218361587</v>
      </c>
      <c r="O28" s="5">
        <v>-0.11100122445134986</v>
      </c>
      <c r="P28" cm="1">
        <f t="array" ref="P28:Q28">LINEST(O26:O30,N26:N30)</f>
        <v>1.1045324592867574E-3</v>
      </c>
      <c r="Q28">
        <v>-11.031351040807914</v>
      </c>
      <c r="AC28" s="364"/>
    </row>
    <row r="29" spans="3:29" x14ac:dyDescent="0.15">
      <c r="E29" t="b">
        <f>IF(I27&lt;0,TRUE,IF(I29&gt;50,TRUE,FALSE))</f>
        <v>1</v>
      </c>
      <c r="H29" s="234" t="s">
        <v>557</v>
      </c>
      <c r="I29" s="235">
        <f>((I27*3.6)/1)^2*100</f>
        <v>0.1477984590934294</v>
      </c>
      <c r="J29" s="364" t="s">
        <v>500</v>
      </c>
      <c r="M29" s="234">
        <v>200</v>
      </c>
      <c r="N29" s="80">
        <v>8494.7784187167072</v>
      </c>
      <c r="O29" s="5">
        <v>-2.1665724781011555</v>
      </c>
      <c r="S29" cm="1">
        <f t="array" ref="S29:T29">LINEST(T24:T27,S24:S27)</f>
        <v>-1.4644067796610174E-2</v>
      </c>
      <c r="T29">
        <v>-0.9203389830508466</v>
      </c>
      <c r="AC29" s="364"/>
    </row>
    <row r="30" spans="3:29" x14ac:dyDescent="0.15">
      <c r="E30" t="b">
        <f>IF(I31&lt;3000,TRUE,FALSE)</f>
        <v>1</v>
      </c>
      <c r="H30" s="234" t="s">
        <v>501</v>
      </c>
      <c r="I30" s="373">
        <f>I27/1000/((12.5/2000)^2*PI())</f>
        <v>-8.7020694491868888E-2</v>
      </c>
      <c r="J30" s="364" t="s">
        <v>502</v>
      </c>
      <c r="M30" s="371">
        <v>200</v>
      </c>
      <c r="N30" s="257">
        <v>7503.72093653309</v>
      </c>
      <c r="O30" s="209">
        <v>-2.2054723556560205</v>
      </c>
      <c r="P30" s="25"/>
      <c r="Q30" s="25"/>
      <c r="AC30" s="364"/>
    </row>
    <row r="31" spans="3:29" ht="14" thickBot="1" x14ac:dyDescent="0.2">
      <c r="D31" s="2" t="s">
        <v>536</v>
      </c>
      <c r="E31" s="2" t="b">
        <f>IF(OR(E25,E26,F25,E30,E28,E29),TRUE,FALSE)</f>
        <v>1</v>
      </c>
      <c r="H31" s="369" t="s">
        <v>487</v>
      </c>
      <c r="I31" s="374">
        <f>I30*0.0125/0.0000005729</f>
        <v>-1898.6885689445999</v>
      </c>
      <c r="J31" s="375" t="s">
        <v>393</v>
      </c>
      <c r="M31" s="234">
        <v>300</v>
      </c>
      <c r="N31" s="80">
        <v>14299.543671506455</v>
      </c>
      <c r="O31" s="5">
        <v>2.5297009951182972</v>
      </c>
      <c r="S31">
        <f t="array" ref="S31:U31">LINEST(T24:T27,S24:S27^{1,2})</f>
        <v>1.833165829145728E-4</v>
      </c>
      <c r="T31">
        <v>-7.9115577889447217E-2</v>
      </c>
      <c r="U31">
        <v>3.0256281407035157</v>
      </c>
      <c r="AC31" s="364"/>
    </row>
    <row r="32" spans="3:29" x14ac:dyDescent="0.15">
      <c r="M32" s="234">
        <v>300</v>
      </c>
      <c r="N32" s="80">
        <v>17626.665218837166</v>
      </c>
      <c r="O32" s="5">
        <v>2.2719325009388029</v>
      </c>
      <c r="AC32" s="364"/>
    </row>
    <row r="33" spans="9:29" ht="14" thickBot="1" x14ac:dyDescent="0.2">
      <c r="I33" s="213"/>
      <c r="M33" s="234">
        <v>300</v>
      </c>
      <c r="N33" s="80">
        <v>25909.074177085957</v>
      </c>
      <c r="O33" s="5">
        <v>-0.20978454750281017</v>
      </c>
      <c r="AC33" s="364"/>
    </row>
    <row r="34" spans="9:29" ht="14" thickBot="1" x14ac:dyDescent="0.2">
      <c r="M34" s="234">
        <v>300</v>
      </c>
      <c r="N34" s="80">
        <v>7645.3005768450357</v>
      </c>
      <c r="O34" s="5">
        <v>-4.4844630116410027</v>
      </c>
      <c r="P34" t="s">
        <v>493</v>
      </c>
      <c r="Q34" s="366">
        <f>IF($I$12&lt;14000,IF($I$12&lt;7800,-4.5,P36*$I$12+$Q$36),1.7)</f>
        <v>-4.5</v>
      </c>
      <c r="AC34" s="364"/>
    </row>
    <row r="35" spans="9:29" x14ac:dyDescent="0.15">
      <c r="M35" s="234">
        <v>300</v>
      </c>
      <c r="N35" s="80">
        <v>14299.543671506455</v>
      </c>
      <c r="O35" s="5">
        <v>2.5297009951182972</v>
      </c>
      <c r="AC35" s="364"/>
    </row>
    <row r="36" spans="9:29" x14ac:dyDescent="0.15">
      <c r="M36" s="234">
        <v>300</v>
      </c>
      <c r="N36" s="80">
        <v>12175.849066827279</v>
      </c>
      <c r="O36" s="5">
        <v>-0.93510608336461587</v>
      </c>
      <c r="P36" cm="1">
        <f t="array" ref="P36:Q36">LINEST(O34:O38,N34:N38)</f>
        <v>1.0013521659768705E-3</v>
      </c>
      <c r="Q36">
        <v>-12.355446785052449</v>
      </c>
      <c r="AC36" s="364"/>
    </row>
    <row r="37" spans="9:29" x14ac:dyDescent="0.15">
      <c r="M37" s="234">
        <v>300</v>
      </c>
      <c r="N37" s="80">
        <v>10760.052663707826</v>
      </c>
      <c r="O37" s="5">
        <v>-1.7449774690198936</v>
      </c>
      <c r="AC37" s="364"/>
    </row>
    <row r="38" spans="9:29" ht="14" thickBot="1" x14ac:dyDescent="0.2">
      <c r="M38" s="369">
        <v>300</v>
      </c>
      <c r="N38" s="377">
        <v>9202.676620276432</v>
      </c>
      <c r="O38" s="378">
        <v>-2.9858359932406984</v>
      </c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  <c r="AA38" s="238"/>
      <c r="AB38" s="238"/>
      <c r="AC38" s="239"/>
    </row>
    <row r="39" spans="9:29" ht="14" thickBot="1" x14ac:dyDescent="0.2">
      <c r="M39" s="233"/>
    </row>
    <row r="40" spans="9:29" x14ac:dyDescent="0.15">
      <c r="M40" s="303" t="s">
        <v>504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1"/>
    </row>
    <row r="41" spans="9:29" x14ac:dyDescent="0.15">
      <c r="M41" s="232"/>
      <c r="AC41" s="364"/>
    </row>
    <row r="42" spans="9:29" x14ac:dyDescent="0.15">
      <c r="M42" s="232" t="s">
        <v>485</v>
      </c>
      <c r="N42" t="s">
        <v>505</v>
      </c>
      <c r="P42" t="s">
        <v>506</v>
      </c>
      <c r="AC42" s="364"/>
    </row>
    <row r="43" spans="9:29" ht="14" thickBot="1" x14ac:dyDescent="0.2">
      <c r="M43" s="234">
        <v>50</v>
      </c>
      <c r="N43" s="99">
        <v>0.10403848305179553</v>
      </c>
      <c r="P43">
        <f t="array" ref="P43:Q43">LINEST(LN(N43:N46),LN(M43:M46))</f>
        <v>0.45113381931898666</v>
      </c>
      <c r="Q43">
        <v>-4.0232887808944744</v>
      </c>
      <c r="R43">
        <f>EXP(Q43)</f>
        <v>1.7894018555412273E-2</v>
      </c>
      <c r="AC43" s="364"/>
    </row>
    <row r="44" spans="9:29" ht="14" thickBot="1" x14ac:dyDescent="0.2">
      <c r="M44" s="234">
        <v>100</v>
      </c>
      <c r="N44" s="99">
        <v>0.14328085241730276</v>
      </c>
      <c r="P44" s="379">
        <f>R43*I6^(P43)</f>
        <v>9.4504246994389737E-2</v>
      </c>
      <c r="AC44" s="364"/>
    </row>
    <row r="45" spans="9:29" x14ac:dyDescent="0.15">
      <c r="M45" s="234">
        <v>200</v>
      </c>
      <c r="N45" s="99">
        <v>0.19780158360503025</v>
      </c>
      <c r="AC45" s="364"/>
    </row>
    <row r="46" spans="9:29" x14ac:dyDescent="0.15">
      <c r="M46" s="234">
        <v>300</v>
      </c>
      <c r="N46" s="99">
        <v>0.23202548533776235</v>
      </c>
      <c r="P46" t="s">
        <v>507</v>
      </c>
      <c r="AC46" s="364"/>
    </row>
    <row r="47" spans="9:29" ht="14" thickBot="1" x14ac:dyDescent="0.2">
      <c r="M47" s="232"/>
      <c r="P47">
        <f t="array" ref="P47:S47">LINEST(N43:N46,M43:M46^{1,2,3})</f>
        <v>2.3310361205440623E-9</v>
      </c>
      <c r="Q47">
        <v>-2.4134631450762083E-6</v>
      </c>
      <c r="R47">
        <v>1.1060737269620539E-3</v>
      </c>
      <c r="S47">
        <v>5.4477075051315327E-2</v>
      </c>
      <c r="AC47" s="364"/>
    </row>
    <row r="48" spans="9:29" ht="14" thickBot="1" x14ac:dyDescent="0.2">
      <c r="M48" s="232"/>
      <c r="P48" s="379">
        <f>P47*I6^3+Q47*I6^2+R47*I6+S47</f>
        <v>9.5007669409390372E-2</v>
      </c>
      <c r="AC48" s="364"/>
    </row>
    <row r="49" spans="13:29" x14ac:dyDescent="0.15">
      <c r="M49" s="232"/>
      <c r="AC49" s="364"/>
    </row>
    <row r="50" spans="13:29" x14ac:dyDescent="0.15">
      <c r="M50" s="232"/>
      <c r="O50" s="380"/>
      <c r="AC50" s="364"/>
    </row>
    <row r="51" spans="13:29" x14ac:dyDescent="0.15">
      <c r="M51" s="232"/>
      <c r="AC51" s="364"/>
    </row>
    <row r="52" spans="13:29" x14ac:dyDescent="0.15">
      <c r="M52" s="232"/>
      <c r="AC52" s="364"/>
    </row>
    <row r="53" spans="13:29" x14ac:dyDescent="0.15">
      <c r="M53" s="232"/>
      <c r="AC53" s="364"/>
    </row>
    <row r="54" spans="13:29" x14ac:dyDescent="0.15">
      <c r="M54" s="232"/>
      <c r="AC54" s="364"/>
    </row>
    <row r="55" spans="13:29" x14ac:dyDescent="0.15">
      <c r="M55" s="232"/>
      <c r="AC55" s="364"/>
    </row>
    <row r="56" spans="13:29" x14ac:dyDescent="0.15">
      <c r="M56" s="232"/>
      <c r="AC56" s="364"/>
    </row>
    <row r="57" spans="13:29" ht="14" thickBot="1" x14ac:dyDescent="0.2">
      <c r="M57" s="236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  <c r="AA57" s="238"/>
      <c r="AB57" s="238"/>
      <c r="AC57" s="239"/>
    </row>
    <row r="59" spans="13:29" ht="14" thickBot="1" x14ac:dyDescent="0.2"/>
    <row r="60" spans="13:29" x14ac:dyDescent="0.15">
      <c r="M60" s="303" t="s">
        <v>508</v>
      </c>
      <c r="N60" s="230"/>
      <c r="O60" s="230"/>
      <c r="P60" s="231"/>
    </row>
    <row r="61" spans="13:29" x14ac:dyDescent="0.15">
      <c r="M61" s="232"/>
      <c r="P61" s="364"/>
    </row>
    <row r="62" spans="13:29" x14ac:dyDescent="0.15">
      <c r="M62" s="381">
        <v>1.7870277953295908</v>
      </c>
      <c r="N62">
        <v>6.4739415400072904</v>
      </c>
      <c r="O62">
        <f>EXP(N62)</f>
        <v>648.03294752602937</v>
      </c>
      <c r="P62" s="364"/>
    </row>
    <row r="63" spans="13:29" ht="14" thickBot="1" x14ac:dyDescent="0.2">
      <c r="M63" s="236"/>
      <c r="N63" s="238"/>
      <c r="O63" s="238"/>
      <c r="P63" s="239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45EF2-C802-4CA3-9487-9354945BF945}">
  <sheetPr codeName="Taul19"/>
  <dimension ref="C2:AP99"/>
  <sheetViews>
    <sheetView topLeftCell="D7" zoomScale="70" zoomScaleNormal="70" workbookViewId="0">
      <selection activeCell="AK25" sqref="AK23:AK25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Tulostus!$E$33</f>
        <v>40</v>
      </c>
      <c r="K3" t="s">
        <v>13</v>
      </c>
      <c r="L3" s="122">
        <f>Tulostus!$E$39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16.327998484045267</v>
      </c>
      <c r="Q5" s="52">
        <v>-9.9702579819891568</v>
      </c>
      <c r="R5" t="s">
        <v>28</v>
      </c>
      <c r="T5" s="4"/>
      <c r="U5" s="39" t="s">
        <v>43</v>
      </c>
      <c r="V5" t="s">
        <v>28</v>
      </c>
      <c r="W5" s="9">
        <f>$P$5*LN($J$3)+$Q$5</f>
        <v>50.261760152608929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16.371079072360477</v>
      </c>
      <c r="Q6" s="52">
        <v>0.9661424269308867</v>
      </c>
      <c r="R6" t="s">
        <v>7</v>
      </c>
      <c r="T6" s="4"/>
      <c r="U6" s="39" t="s">
        <v>43</v>
      </c>
      <c r="V6" t="s">
        <v>7</v>
      </c>
      <c r="W6" s="9">
        <f>$P$6*LN($J$3)+$Q$6</f>
        <v>61.357079658636088</v>
      </c>
      <c r="X6" t="s">
        <v>31</v>
      </c>
      <c r="AA6" s="55">
        <v>25</v>
      </c>
      <c r="AB6" s="56">
        <f t="shared" ref="AB6:AB12" si="0">(-$D$9-SQRT($D$9^2-(4*$C$9*($E$9-AA6))))/(2*$C$9)</f>
        <v>105.55992375280067</v>
      </c>
      <c r="AC6" s="55">
        <v>20</v>
      </c>
      <c r="AD6" s="57">
        <f t="shared" ref="AD6:AD12" si="1">(-$D$14-SQRT($D$14^2-(4*$C$14*($E$14-AC6))))/(2*$C$14)</f>
        <v>80.704641716435873</v>
      </c>
      <c r="AE6" s="55">
        <v>10</v>
      </c>
      <c r="AF6" s="57">
        <f t="shared" ref="AF6:AF11" si="2">(-$D$19-SQRT($D$19^2-(4*$C$19*($E$19-AE6))))/(2*$C$19)</f>
        <v>54.339001915022031</v>
      </c>
      <c r="AG6" s="56">
        <v>10</v>
      </c>
      <c r="AH6" s="57">
        <f>(-$D$24-SQRT($D$24^2-(4*$C$24*($E$24-AG6))))/(2*$C$24)</f>
        <v>20.411043893478237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91.334084830633799</v>
      </c>
      <c r="AC7" s="55">
        <v>50</v>
      </c>
      <c r="AD7" s="57">
        <f t="shared" si="1"/>
        <v>73.838694391688321</v>
      </c>
      <c r="AE7" s="55">
        <v>40</v>
      </c>
      <c r="AF7" s="57">
        <f t="shared" si="2"/>
        <v>44.807769064929076</v>
      </c>
      <c r="AG7" s="56">
        <v>20</v>
      </c>
      <c r="AH7" s="57">
        <f>(-$D$24-SQRT($D$24^2-(4*$C$24*($E$24-AG7))))/(2*$C$24)</f>
        <v>15.414623288200497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79.861474107511413</v>
      </c>
      <c r="AC8" s="55">
        <v>100</v>
      </c>
      <c r="AD8" s="57">
        <f t="shared" si="1"/>
        <v>61.665564184927057</v>
      </c>
      <c r="AE8" s="55">
        <v>60</v>
      </c>
      <c r="AF8" s="57">
        <f t="shared" si="2"/>
        <v>38.065608935044438</v>
      </c>
      <c r="AG8" s="56">
        <v>25</v>
      </c>
      <c r="AH8" s="57">
        <f>(-$D$24-SQRT($D$24^2-(4*$C$24*($E$24-AG8))))/(2*$C$24)</f>
        <v>12.814599421780468</v>
      </c>
    </row>
    <row r="9" spans="3:34" x14ac:dyDescent="0.15">
      <c r="C9" s="8">
        <v>-2.2433298857689056E-2</v>
      </c>
      <c r="D9" s="8">
        <v>-2.2610071547254913</v>
      </c>
      <c r="E9" s="8">
        <v>513.64369267596055</v>
      </c>
      <c r="H9" s="2"/>
      <c r="P9" t="s">
        <v>23</v>
      </c>
      <c r="Q9" s="52">
        <f t="array" ref="Q9:R9">LINEST(AC35:AC37,U35:U37)</f>
        <v>11.311222032680117</v>
      </c>
      <c r="R9" s="52">
        <v>-14.835432050984743</v>
      </c>
      <c r="U9" s="39" t="s">
        <v>42</v>
      </c>
      <c r="V9" t="s">
        <v>44</v>
      </c>
      <c r="W9" s="9">
        <f>IF($J$3&gt;$AJ$35,($J$3-$R$10)/$Q$10,($J$3-$R$9)/$Q$9)</f>
        <v>4.8478786723976857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69.154705393973089</v>
      </c>
      <c r="AC9" s="55">
        <v>150</v>
      </c>
      <c r="AD9" s="57">
        <f t="shared" si="1"/>
        <v>48.356228284154241</v>
      </c>
      <c r="AE9" s="55">
        <v>80</v>
      </c>
      <c r="AF9" s="57">
        <f t="shared" si="2"/>
        <v>30.953738781884212</v>
      </c>
      <c r="AG9" s="56">
        <v>30</v>
      </c>
      <c r="AH9" s="57">
        <f>(-$D$24-SQRT($D$24^2-(4*$C$24*($E$24-AG9))))/(2*$C$24)</f>
        <v>10.138839913756215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3.6000099955454004</v>
      </c>
      <c r="R10" s="52">
        <v>42.998658227525645</v>
      </c>
      <c r="W10" t="b">
        <f>IF(AND(W9&lt;=10.01,Tulostus!E33&gt;=W11),TRUE,FALSE)</f>
        <v>1</v>
      </c>
      <c r="AA10" s="55">
        <v>320</v>
      </c>
      <c r="AB10" s="56">
        <f t="shared" si="0"/>
        <v>55.301465600422567</v>
      </c>
      <c r="AC10" s="55">
        <v>170</v>
      </c>
      <c r="AD10" s="57">
        <f t="shared" si="1"/>
        <v>42.633564679818207</v>
      </c>
      <c r="AE10" s="55">
        <v>100</v>
      </c>
      <c r="AF10" s="57">
        <f t="shared" si="2"/>
        <v>23.403717201633526</v>
      </c>
      <c r="AG10" s="56">
        <v>34</v>
      </c>
      <c r="AH10" s="57">
        <f>(-$D$24-SQRT($D$24^2-(4*$C$24*($E$24-AG10))))/(2*$C$24)</f>
        <v>7.9390146933981729</v>
      </c>
    </row>
    <row r="11" spans="3:34" x14ac:dyDescent="0.15">
      <c r="C11" s="2" t="s">
        <v>114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39.334311694441077</v>
      </c>
      <c r="AC11" s="55">
        <v>190</v>
      </c>
      <c r="AD11" s="57">
        <f t="shared" si="1"/>
        <v>36.633999759441082</v>
      </c>
      <c r="AE11" s="55">
        <v>110</v>
      </c>
      <c r="AF11" s="57">
        <f t="shared" si="2"/>
        <v>19.436728566723829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400</v>
      </c>
      <c r="AB12" s="59">
        <f t="shared" si="0"/>
        <v>36.814967342900474</v>
      </c>
      <c r="AC12" s="58">
        <v>220</v>
      </c>
      <c r="AD12" s="60">
        <f t="shared" si="1"/>
        <v>27.014459006801598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2.3213680039617463E-2</v>
      </c>
      <c r="Q13" s="51">
        <v>-0.81670349284368748</v>
      </c>
      <c r="R13" s="51">
        <v>14.050728114142757</v>
      </c>
      <c r="U13" s="39" t="s">
        <v>43</v>
      </c>
      <c r="V13" t="s">
        <v>44</v>
      </c>
      <c r="W13" s="9">
        <f>$P$13*J3^2+$Q$13*J3+$R$13</f>
        <v>18.524476463783195</v>
      </c>
      <c r="X13" t="s">
        <v>49</v>
      </c>
    </row>
    <row r="14" spans="3:34" x14ac:dyDescent="0.15">
      <c r="C14" s="8">
        <v>-1.3760266882226247E-2</v>
      </c>
      <c r="D14" s="8">
        <v>-2.2428322199751851</v>
      </c>
      <c r="E14" s="8">
        <v>290.63088032834924</v>
      </c>
      <c r="H14" s="2"/>
      <c r="V14" t="s">
        <v>52</v>
      </c>
      <c r="W14" s="3">
        <f>IF(W13&gt;118,118,W13)</f>
        <v>18.524476463783195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100'!W13</f>
        <v>15.076573926310481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-1.1130949340999082E-2</v>
      </c>
      <c r="D19" s="8">
        <v>-2.0439489619943845</v>
      </c>
      <c r="E19" s="8">
        <v>153.93280265205709</v>
      </c>
      <c r="V19" s="74" t="s">
        <v>74</v>
      </c>
      <c r="W19" s="77">
        <f>W13+W16+W17</f>
        <v>36.601050390093675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40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0.91502625975234186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-1.0317131036642325E-2</v>
      </c>
      <c r="D24" s="8">
        <v>-1.6318146807999949</v>
      </c>
      <c r="E24" s="8">
        <v>47.605268391279175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3.125E-2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-2.2433298857689056E-2</v>
      </c>
      <c r="W34" s="99">
        <f>D9</f>
        <v>-2.2610071547254913</v>
      </c>
      <c r="X34" s="100">
        <f>E9</f>
        <v>513.64369267596055</v>
      </c>
      <c r="Y34" s="36">
        <f>C9-U29</f>
        <v>-5.3683298857689056E-2</v>
      </c>
      <c r="Z34" s="28">
        <f>(-W34+SQRT(W34^2-(4*Y34*X34)))/(2*Y34)</f>
        <v>-121.11627336622641</v>
      </c>
      <c r="AA34" s="29">
        <f>(-W34-SQRT(W34^2-(4*Y34*X34)))/(2*Y34)</f>
        <v>78.998758182979643</v>
      </c>
      <c r="AB34" s="36">
        <f>AB6</f>
        <v>105.55992375280067</v>
      </c>
      <c r="AC34" s="53">
        <f>IF(Z34&lt;0,AA34,IF(Z34&gt;AB34,AA34,Z34))</f>
        <v>78.998758182979643</v>
      </c>
      <c r="AD34" s="53">
        <f>V34*AC34^2+W34*AC34+X34</f>
        <v>195.02511857665303</v>
      </c>
      <c r="AE34" s="53">
        <f>X51*AC34^2+Y51*AC34+Z51</f>
        <v>94.902134985732559</v>
      </c>
      <c r="AF34" s="53">
        <f>$H$60*AC34^2+$I$60*AC34+$J$60</f>
        <v>61.512772573981714</v>
      </c>
      <c r="AG34" s="53">
        <f>$R$60*AC34^2+$S$60*AC34+$T$60</f>
        <v>73.023385814684843</v>
      </c>
      <c r="AI34">
        <v>10</v>
      </c>
      <c r="AJ34" s="3">
        <f>AC34</f>
        <v>78.998758182979643</v>
      </c>
      <c r="AL34" s="618">
        <f>AC34/$J$3-1</f>
        <v>0.97496895457449106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-1.3760266882226247E-2</v>
      </c>
      <c r="W35" s="99">
        <f>D14</f>
        <v>-2.2428322199751851</v>
      </c>
      <c r="X35" s="100">
        <f>E14</f>
        <v>290.63088032834924</v>
      </c>
      <c r="Y35" s="36">
        <f>C14-U29</f>
        <v>-4.5010266882226244E-2</v>
      </c>
      <c r="Z35" s="28">
        <f t="shared" ref="Z35:Z37" si="3">(-W35+SQRT(W35^2-(4*Y35*X35)))/(2*Y35)</f>
        <v>-109.04393008070952</v>
      </c>
      <c r="AA35" s="29">
        <f t="shared" ref="AA35:AA37" si="4">(-W35-SQRT(W35^2-(4*Y35*X35)))/(2*Y35)</f>
        <v>59.214582793261208</v>
      </c>
      <c r="AB35" s="36">
        <f>AD6</f>
        <v>80.704641716435873</v>
      </c>
      <c r="AC35" s="53">
        <f t="shared" ref="AC35:AC37" si="5">IF(Z35&lt;0,AA35,IF(Z35&gt;AB35,AA35,Z35))</f>
        <v>59.214582793261208</v>
      </c>
      <c r="AD35" s="53">
        <f>V35*AC35^2+W35*AC35+X35</f>
        <v>109.57396298062446</v>
      </c>
      <c r="AE35" s="53">
        <f t="shared" ref="AE35:AE37" si="6">X52*AC35^2+Y52*AC35+Z52</f>
        <v>45.538317258861738</v>
      </c>
      <c r="AF35" s="53">
        <f>$H$65*AC35^2+$I$65*AC35+$J$65</f>
        <v>56.691096828338281</v>
      </c>
      <c r="AG35" s="53">
        <f>$R$65*AC35^2+$S$65*AC35+$T$65</f>
        <v>67.511750782572008</v>
      </c>
      <c r="AI35">
        <v>7.5</v>
      </c>
      <c r="AJ35" s="3">
        <f>Q9*AI35+R9</f>
        <v>69.998733194116141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-1.1130949340999082E-2</v>
      </c>
      <c r="W36" s="99">
        <f>D19</f>
        <v>-2.0439489619943845</v>
      </c>
      <c r="X36" s="100">
        <f>E19</f>
        <v>153.93280265205709</v>
      </c>
      <c r="Y36" s="36">
        <f>C19-U29</f>
        <v>-4.2380949340999084E-2</v>
      </c>
      <c r="Z36" s="28">
        <f t="shared" si="3"/>
        <v>-89.026315431678057</v>
      </c>
      <c r="AA36" s="29">
        <f t="shared" si="4"/>
        <v>40.79830275672176</v>
      </c>
      <c r="AB36" s="36">
        <f>AF6</f>
        <v>54.339001915022031</v>
      </c>
      <c r="AC36" s="53">
        <f t="shared" si="5"/>
        <v>40.79830275672176</v>
      </c>
      <c r="AD36" s="53">
        <f>V36*AC36^2+W36*AC36+X36</f>
        <v>52.015672119660366</v>
      </c>
      <c r="AE36" s="53">
        <f t="shared" si="6"/>
        <v>20.863907078459182</v>
      </c>
      <c r="AF36" s="53">
        <f>$H$70*AC36^2+$I$70*AC36+$J$70</f>
        <v>50.28496561893057</v>
      </c>
      <c r="AG36" s="53">
        <f>$R$70*AC36^2+$S$70*AC36+$T$70</f>
        <v>61.088457965958341</v>
      </c>
      <c r="AI36">
        <v>6.5</v>
      </c>
      <c r="AJ36" s="3">
        <f>AC35</f>
        <v>59.214582793261208</v>
      </c>
      <c r="AL36" s="611">
        <f>Tulokset!$CR$16</f>
        <v>48</v>
      </c>
      <c r="AM36" t="s">
        <v>13</v>
      </c>
      <c r="AO36" s="619">
        <f>IF($AL$36&gt;$AJ$35,($AL$36-$R$10)/$Q$10,($AL$36-$R$9)/$Q$9)</f>
        <v>5.555140891889673</v>
      </c>
      <c r="AP36" t="s">
        <v>25</v>
      </c>
    </row>
    <row r="37" spans="21:42" x14ac:dyDescent="0.15">
      <c r="U37" s="38">
        <v>3</v>
      </c>
      <c r="V37" s="101">
        <f>C24</f>
        <v>-1.0317131036642325E-2</v>
      </c>
      <c r="W37" s="102">
        <f>D24</f>
        <v>-1.6318146807999949</v>
      </c>
      <c r="X37" s="103">
        <f>E24</f>
        <v>47.605268391279175</v>
      </c>
      <c r="Y37" s="37">
        <f>C24-U29</f>
        <v>-4.1567131036642321E-2</v>
      </c>
      <c r="Z37" s="30">
        <f t="shared" si="3"/>
        <v>-58.750870189693423</v>
      </c>
      <c r="AA37" s="31">
        <f t="shared" si="4"/>
        <v>19.493537770924483</v>
      </c>
      <c r="AB37" s="37">
        <f>AH6</f>
        <v>20.411043893478237</v>
      </c>
      <c r="AC37" s="53">
        <f t="shared" si="5"/>
        <v>19.493537770924483</v>
      </c>
      <c r="AD37" s="53">
        <f>V37*AC37^2+W37*AC37+X37</f>
        <v>11.874937963326857</v>
      </c>
      <c r="AE37" s="53">
        <f t="shared" si="6"/>
        <v>6.5067356400237708</v>
      </c>
      <c r="AF37" s="53">
        <f>$H$75*AC37^2+$I$75*AC37+$J$75</f>
        <v>38.661703756299488</v>
      </c>
      <c r="AG37" s="53">
        <f>$R$75*AC37^2+$S$75*AC37+$T$75</f>
        <v>49.924326005973697</v>
      </c>
      <c r="AI37">
        <v>5</v>
      </c>
      <c r="AJ37" s="3">
        <f t="shared" ref="AJ37:AJ38" si="7">AC36</f>
        <v>40.79830275672176</v>
      </c>
      <c r="AL37" s="611">
        <f>Tulokset!$CR$17</f>
        <v>72</v>
      </c>
      <c r="AM37" t="s">
        <v>14</v>
      </c>
    </row>
    <row r="38" spans="21:42" x14ac:dyDescent="0.15">
      <c r="AI38">
        <v>3</v>
      </c>
      <c r="AJ38" s="3">
        <f t="shared" si="7"/>
        <v>19.493537770924483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21</v>
      </c>
      <c r="X43" s="49">
        <v>10</v>
      </c>
      <c r="Y43" s="49">
        <v>3</v>
      </c>
      <c r="Z43" s="49">
        <v>-8</v>
      </c>
      <c r="AA43" s="49">
        <v>-20</v>
      </c>
      <c r="AB43" s="49">
        <v>-26</v>
      </c>
      <c r="AC43" s="49">
        <v>-34</v>
      </c>
      <c r="AD43" s="49">
        <v>-39</v>
      </c>
      <c r="AE43" s="39" t="s">
        <v>42</v>
      </c>
      <c r="AF43" s="53">
        <f>$W$5+W43</f>
        <v>71.261760152608929</v>
      </c>
      <c r="AG43" s="53">
        <f t="shared" ref="AG43:AM43" si="8">$W$5+X43</f>
        <v>60.261760152608929</v>
      </c>
      <c r="AH43" s="53">
        <f t="shared" si="8"/>
        <v>53.261760152608929</v>
      </c>
      <c r="AI43" s="53">
        <f t="shared" si="8"/>
        <v>42.261760152608929</v>
      </c>
      <c r="AJ43" s="53">
        <f t="shared" si="8"/>
        <v>30.261760152608929</v>
      </c>
      <c r="AK43" s="53">
        <f t="shared" si="8"/>
        <v>24.261760152608929</v>
      </c>
      <c r="AL43" s="53">
        <f t="shared" si="8"/>
        <v>16.261760152608929</v>
      </c>
      <c r="AM43" s="53">
        <f t="shared" si="8"/>
        <v>11.261760152608929</v>
      </c>
      <c r="AN43" s="5">
        <f t="array" ref="AN43">10*LOG10(SUM(10^(AF43:AM43/10)))</f>
        <v>71.662417726031109</v>
      </c>
      <c r="AO43" s="5">
        <f t="array" ref="AO43">10*LOG10(SUM(10^((AF43:AM43+AF46:AM46)/10)))</f>
        <v>49.864835633033465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22</v>
      </c>
      <c r="X44" s="49">
        <v>7</v>
      </c>
      <c r="Y44" s="49">
        <v>-1</v>
      </c>
      <c r="Z44" s="49">
        <v>-4</v>
      </c>
      <c r="AA44" s="49">
        <v>-10</v>
      </c>
      <c r="AB44" s="49">
        <v>-12</v>
      </c>
      <c r="AC44" s="49">
        <v>-18</v>
      </c>
      <c r="AD44" s="49">
        <v>-28</v>
      </c>
      <c r="AE44" s="39" t="s">
        <v>43</v>
      </c>
      <c r="AF44" s="53">
        <f>$W$6+W44</f>
        <v>83.357079658636081</v>
      </c>
      <c r="AG44" s="53">
        <f t="shared" ref="AG44:AM44" si="9">$W$6+X44</f>
        <v>68.357079658636081</v>
      </c>
      <c r="AH44" s="53">
        <f t="shared" si="9"/>
        <v>60.357079658636088</v>
      </c>
      <c r="AI44" s="53">
        <f t="shared" si="9"/>
        <v>57.357079658636088</v>
      </c>
      <c r="AJ44" s="53">
        <f t="shared" si="9"/>
        <v>51.357079658636088</v>
      </c>
      <c r="AK44" s="53">
        <f t="shared" si="9"/>
        <v>49.357079658636088</v>
      </c>
      <c r="AL44" s="53">
        <f t="shared" si="9"/>
        <v>43.357079658636088</v>
      </c>
      <c r="AM44" s="53">
        <f t="shared" si="9"/>
        <v>33.357079658636088</v>
      </c>
      <c r="AN44" s="5">
        <f t="array" ref="AN44">10*LOG10(SUM(10^(AF44:AM44/10)))</f>
        <v>83.528605526874955</v>
      </c>
      <c r="AO44" s="5">
        <f t="array" ref="AO44">10*LOG10(SUM(10^((AF44:AM44+AF46:AM46)/10)))</f>
        <v>61.390691477117585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1.1019708129873754E-3</v>
      </c>
      <c r="Y51" s="54">
        <v>0.49949986878694219</v>
      </c>
      <c r="Z51" s="54">
        <v>48.565082007934905</v>
      </c>
    </row>
    <row r="52" spans="3:26" x14ac:dyDescent="0.15">
      <c r="W52" t="s">
        <v>114</v>
      </c>
      <c r="X52" s="54">
        <f t="array" ref="X52:Z52">LINEST(Y68:Y74,X68:X74^{1,2})</f>
        <v>3.3056674883169667E-3</v>
      </c>
      <c r="Y52" s="54">
        <v>0.10846434327603942</v>
      </c>
      <c r="Z52" s="54">
        <v>27.524763640110876</v>
      </c>
    </row>
    <row r="53" spans="3:26" x14ac:dyDescent="0.15">
      <c r="W53" t="s">
        <v>10</v>
      </c>
      <c r="X53" s="54">
        <f t="array" ref="X53:Z53">LINEST(Y76:Y82,X76:X82^{1,2})</f>
        <v>2.3976835076928613E-4</v>
      </c>
      <c r="Y53" s="54">
        <v>0.20093966601378838</v>
      </c>
      <c r="Z53" s="54">
        <v>12.266814967208909</v>
      </c>
    </row>
    <row r="54" spans="3:26" x14ac:dyDescent="0.15">
      <c r="W54" t="s">
        <v>12</v>
      </c>
      <c r="X54" s="54">
        <f t="array" ref="X54:Z54">LINEST(Y84:Y90,X84:X90^{1,2})</f>
        <v>-1.0064670513641066E-3</v>
      </c>
      <c r="Y54" s="54">
        <v>0.10696333911409533</v>
      </c>
      <c r="Z54" s="54">
        <v>4.8040972304055503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95.520909090909086</v>
      </c>
      <c r="E59" s="68">
        <v>60.180326897119542</v>
      </c>
      <c r="F59" s="69">
        <v>106.65063291523533</v>
      </c>
      <c r="H59" t="s">
        <v>4</v>
      </c>
      <c r="I59" t="s">
        <v>5</v>
      </c>
      <c r="K59" s="24"/>
      <c r="M59" s="10" t="s">
        <v>3</v>
      </c>
      <c r="N59" s="67">
        <v>95.407272727272726</v>
      </c>
      <c r="O59" s="68">
        <v>72.434028068386084</v>
      </c>
      <c r="P59" s="69">
        <v>106.19633938032837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95.520909090909086</v>
      </c>
      <c r="Y59" s="20">
        <f>F59</f>
        <v>106.65063291523533</v>
      </c>
    </row>
    <row r="60" spans="3:26" x14ac:dyDescent="0.15">
      <c r="C60" s="12"/>
      <c r="D60" s="67">
        <v>78.172727272727286</v>
      </c>
      <c r="E60" s="68">
        <v>61.456607403903462</v>
      </c>
      <c r="F60" s="69">
        <v>95.448490538974724</v>
      </c>
      <c r="H60" s="2">
        <f t="array" ref="H60:J60">LINEST(E59:E62,D59:D62^{1,2})</f>
        <v>-1.0982553884466228E-3</v>
      </c>
      <c r="I60" s="2">
        <v>0.10839165020177523</v>
      </c>
      <c r="J60" s="2">
        <v>59.803963206133574</v>
      </c>
      <c r="K60" s="24"/>
      <c r="M60" s="12"/>
      <c r="N60" s="67">
        <v>77.219090909090923</v>
      </c>
      <c r="O60" s="68">
        <v>73.081985525444978</v>
      </c>
      <c r="P60" s="69">
        <v>91.725088498374021</v>
      </c>
      <c r="R60" s="2">
        <f t="array" ref="R60:T60">LINEST(O59:O62,N59:N62^{1,2})</f>
        <v>-1.4051787516405751E-4</v>
      </c>
      <c r="S60" s="2">
        <v>-1.1427217610349823E-2</v>
      </c>
      <c r="T60" s="27">
        <v>74.80306630390146</v>
      </c>
      <c r="W60" s="12"/>
      <c r="X60" s="17">
        <f t="shared" ref="X60" si="10">D60</f>
        <v>78.172727272727286</v>
      </c>
      <c r="Y60" s="13">
        <f>F60</f>
        <v>95.448490538974724</v>
      </c>
    </row>
    <row r="61" spans="3:26" x14ac:dyDescent="0.15">
      <c r="C61" s="12"/>
      <c r="D61" s="67">
        <v>56.99727272727273</v>
      </c>
      <c r="E61" s="68">
        <v>62.50621121454131</v>
      </c>
      <c r="F61" s="69">
        <v>80.537498818479889</v>
      </c>
      <c r="K61" s="24"/>
      <c r="M61" s="12"/>
      <c r="N61" s="67">
        <v>59.029999999999994</v>
      </c>
      <c r="O61" s="68">
        <v>73.639643529409511</v>
      </c>
      <c r="P61" s="69">
        <v>82.855372720521331</v>
      </c>
      <c r="T61" s="24"/>
      <c r="W61" s="12"/>
      <c r="X61" s="17">
        <f t="shared" ref="X61" si="11">D61</f>
        <v>56.99727272727273</v>
      </c>
      <c r="Y61" s="13">
        <f>F61</f>
        <v>80.537498818479889</v>
      </c>
    </row>
    <row r="62" spans="3:26" x14ac:dyDescent="0.15">
      <c r="C62" s="14"/>
      <c r="D62" s="67">
        <v>32.736363636363635</v>
      </c>
      <c r="E62" s="68">
        <v>62.149005233465246</v>
      </c>
      <c r="F62" s="69">
        <v>66.133043858226713</v>
      </c>
      <c r="K62" s="24"/>
      <c r="M62" s="14"/>
      <c r="N62" s="67">
        <v>38.99818181818182</v>
      </c>
      <c r="O62" s="68">
        <v>74.143482700632447</v>
      </c>
      <c r="P62" s="69">
        <v>69.415027502984827</v>
      </c>
      <c r="T62" s="24"/>
      <c r="W62" s="12"/>
      <c r="X62" s="17">
        <f>D62</f>
        <v>32.736363636363635</v>
      </c>
      <c r="Y62" s="13">
        <f>F62</f>
        <v>66.133043858226713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95.407272727272726</v>
      </c>
      <c r="Y63" s="13">
        <f>P59</f>
        <v>106.19633938032837</v>
      </c>
    </row>
    <row r="64" spans="3:26" x14ac:dyDescent="0.15">
      <c r="C64" s="10" t="s">
        <v>114</v>
      </c>
      <c r="D64" s="67">
        <v>71.593636363636364</v>
      </c>
      <c r="E64" s="68">
        <v>55.838973854241011</v>
      </c>
      <c r="F64" s="69">
        <v>52.194949899355123</v>
      </c>
      <c r="H64" t="s">
        <v>4</v>
      </c>
      <c r="I64" t="s">
        <v>5</v>
      </c>
      <c r="K64" s="24"/>
      <c r="M64" s="10" t="s">
        <v>114</v>
      </c>
      <c r="N64" s="67">
        <v>71.99636363636364</v>
      </c>
      <c r="O64" s="68">
        <v>67.703973728550324</v>
      </c>
      <c r="P64" s="69">
        <v>52.536219188228884</v>
      </c>
      <c r="R64" t="s">
        <v>4</v>
      </c>
      <c r="S64" t="s">
        <v>5</v>
      </c>
      <c r="T64" s="24" t="s">
        <v>6</v>
      </c>
      <c r="W64" s="12"/>
      <c r="X64" s="17">
        <f>N60</f>
        <v>77.219090909090923</v>
      </c>
      <c r="Y64" s="13">
        <f>P60</f>
        <v>91.725088498374021</v>
      </c>
    </row>
    <row r="65" spans="3:25" x14ac:dyDescent="0.15">
      <c r="C65" s="12"/>
      <c r="D65" s="67">
        <v>58.130909090909093</v>
      </c>
      <c r="E65" s="68">
        <v>56.980393615773181</v>
      </c>
      <c r="F65" s="69">
        <v>45.464837323019012</v>
      </c>
      <c r="H65" s="2">
        <f t="array" ref="H65:J65">LINEST(E64:E67,D64:D67^{1,2})</f>
        <v>-1.4316881664672219E-3</v>
      </c>
      <c r="I65" s="2">
        <v>0.12588817640384847</v>
      </c>
      <c r="J65" s="2">
        <v>54.256704860852807</v>
      </c>
      <c r="K65" s="24"/>
      <c r="M65" s="12"/>
      <c r="N65" s="67">
        <v>56.690000000000012</v>
      </c>
      <c r="O65" s="68">
        <v>67.260898795552592</v>
      </c>
      <c r="P65" s="69">
        <v>43.668066011702436</v>
      </c>
      <c r="R65" s="2">
        <f t="array" ref="R65:T65">LINEST(O64:O67,N64:N67^{1,2})</f>
        <v>3.7721279960482786E-4</v>
      </c>
      <c r="S65" s="2">
        <v>-3.9883279660960939E-2</v>
      </c>
      <c r="T65" s="27">
        <v>68.550776105251828</v>
      </c>
      <c r="W65" s="12"/>
      <c r="X65" s="17">
        <f>N61</f>
        <v>59.029999999999994</v>
      </c>
      <c r="Y65" s="13">
        <f>P61</f>
        <v>82.855372720521331</v>
      </c>
    </row>
    <row r="66" spans="3:25" x14ac:dyDescent="0.15">
      <c r="C66" s="12"/>
      <c r="D66" s="67">
        <v>42.961818181818181</v>
      </c>
      <c r="E66" s="68">
        <v>56.813930556628023</v>
      </c>
      <c r="F66" s="69">
        <v>38.699649580468403</v>
      </c>
      <c r="K66" s="24"/>
      <c r="M66" s="12"/>
      <c r="N66" s="67">
        <v>44.324545454545458</v>
      </c>
      <c r="O66" s="68">
        <v>67.765318576720148</v>
      </c>
      <c r="P66" s="69">
        <v>38.977527480776331</v>
      </c>
      <c r="T66" s="24"/>
      <c r="W66" s="14"/>
      <c r="X66" s="18">
        <f>N62</f>
        <v>38.99818181818182</v>
      </c>
      <c r="Y66" s="15">
        <f>P62</f>
        <v>69.415027502984827</v>
      </c>
    </row>
    <row r="67" spans="3:25" x14ac:dyDescent="0.15">
      <c r="C67" s="14"/>
      <c r="D67" s="67">
        <v>24.492727272727276</v>
      </c>
      <c r="E67" s="68">
        <v>56.538389487610488</v>
      </c>
      <c r="F67" s="69">
        <v>32.090640557202242</v>
      </c>
      <c r="K67" s="24"/>
      <c r="M67" s="14"/>
      <c r="N67" s="67">
        <v>29.030909090909088</v>
      </c>
      <c r="O67" s="68">
        <v>67.64137602780049</v>
      </c>
      <c r="P67" s="69">
        <v>33.518757421823459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71.593636363636364</v>
      </c>
      <c r="Y68" s="20">
        <f>F64</f>
        <v>52.194949899355123</v>
      </c>
    </row>
    <row r="69" spans="3:25" x14ac:dyDescent="0.15">
      <c r="C69" s="10" t="s">
        <v>10</v>
      </c>
      <c r="D69" s="67">
        <v>48.453636363636363</v>
      </c>
      <c r="E69" s="68">
        <v>49.799365980303392</v>
      </c>
      <c r="F69" s="69">
        <v>22.084999954212599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49.231818181818191</v>
      </c>
      <c r="O69" s="68">
        <v>60.990690037945541</v>
      </c>
      <c r="P69" s="69">
        <v>23.249163831892666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58.130909090909093</v>
      </c>
      <c r="Y69" s="13">
        <f t="shared" ref="Y69" si="13">F65</f>
        <v>45.464837323019012</v>
      </c>
    </row>
    <row r="70" spans="3:25" x14ac:dyDescent="0.15">
      <c r="C70" s="12"/>
      <c r="D70" s="67">
        <v>39.006666666666668</v>
      </c>
      <c r="E70" s="68">
        <v>50.541339372801886</v>
      </c>
      <c r="F70" s="69">
        <v>20.340828016323975</v>
      </c>
      <c r="H70" s="2">
        <f t="array" ref="H70:J70">LINEST(E69:E72,D69:D72^{1,2})</f>
        <v>-2.4813072563783746E-3</v>
      </c>
      <c r="I70" s="2">
        <v>0.16747253449120214</v>
      </c>
      <c r="J70" s="2">
        <v>47.582510122952144</v>
      </c>
      <c r="K70" s="24"/>
      <c r="M70" s="12"/>
      <c r="N70" s="67">
        <v>40.072727272727271</v>
      </c>
      <c r="O70" s="68">
        <v>60.942920884584417</v>
      </c>
      <c r="P70" s="69">
        <v>20.640400917798857</v>
      </c>
      <c r="R70" s="2">
        <f t="array" ref="R70:T70">LINEST(O69:O72,N69:N72^{1,2})</f>
        <v>-2.0466834695403832E-3</v>
      </c>
      <c r="S70" s="2">
        <v>0.16670571124716313</v>
      </c>
      <c r="T70" s="27">
        <v>57.693855608320867</v>
      </c>
      <c r="W70" s="12"/>
      <c r="X70" s="17">
        <f>D67</f>
        <v>24.492727272727276</v>
      </c>
      <c r="Y70" s="13">
        <f>F67</f>
        <v>32.090640557202242</v>
      </c>
    </row>
    <row r="71" spans="3:25" x14ac:dyDescent="0.15">
      <c r="C71" s="12"/>
      <c r="D71" s="67">
        <v>29.039090909090906</v>
      </c>
      <c r="E71" s="68">
        <v>50.173067772041257</v>
      </c>
      <c r="F71" s="69">
        <v>17.742840503077311</v>
      </c>
      <c r="K71" s="24"/>
      <c r="M71" s="12"/>
      <c r="N71" s="67">
        <v>30.720000000000002</v>
      </c>
      <c r="O71" s="68">
        <v>61.016773499151313</v>
      </c>
      <c r="P71" s="69">
        <v>18.90122564173631</v>
      </c>
      <c r="T71" s="24"/>
      <c r="W71" s="12"/>
      <c r="X71" s="17">
        <f>N64</f>
        <v>71.99636363636364</v>
      </c>
      <c r="Y71" s="13">
        <f>P64</f>
        <v>52.536219188228884</v>
      </c>
    </row>
    <row r="72" spans="3:25" x14ac:dyDescent="0.15">
      <c r="C72" s="14"/>
      <c r="D72" s="67">
        <v>17.136363636363637</v>
      </c>
      <c r="E72" s="68">
        <v>49.774669272965056</v>
      </c>
      <c r="F72" s="69">
        <v>15.776092335456077</v>
      </c>
      <c r="K72" s="24"/>
      <c r="M72" s="14"/>
      <c r="N72" s="67">
        <v>19.857272727272729</v>
      </c>
      <c r="O72" s="68">
        <v>60.158306495107098</v>
      </c>
      <c r="P72" s="69">
        <v>16.28554460898053</v>
      </c>
      <c r="T72" s="24"/>
      <c r="W72" s="12"/>
      <c r="X72" s="17">
        <f>N65</f>
        <v>56.690000000000012</v>
      </c>
      <c r="Y72" s="13">
        <f>P65</f>
        <v>43.668066011702436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44.324545454545458</v>
      </c>
      <c r="Y73" s="13">
        <f>P66</f>
        <v>38.977527480776331</v>
      </c>
    </row>
    <row r="74" spans="3:25" x14ac:dyDescent="0.15">
      <c r="C74" s="10" t="s">
        <v>12</v>
      </c>
      <c r="D74" s="67">
        <v>21.903636363636362</v>
      </c>
      <c r="E74" s="68">
        <v>38.632326393106936</v>
      </c>
      <c r="F74" s="69">
        <v>6.6132263513281977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21.793636363636359</v>
      </c>
      <c r="O74" s="68">
        <v>49.813501297965026</v>
      </c>
      <c r="P74" s="69">
        <v>6.6531657966354825</v>
      </c>
      <c r="R74" t="s">
        <v>4</v>
      </c>
      <c r="S74" t="s">
        <v>5</v>
      </c>
      <c r="T74" s="24" t="s">
        <v>6</v>
      </c>
      <c r="W74" s="14"/>
      <c r="X74" s="18">
        <f>N67</f>
        <v>29.030909090909088</v>
      </c>
      <c r="Y74" s="15">
        <f>P67</f>
        <v>33.518757421823459</v>
      </c>
    </row>
    <row r="75" spans="3:25" x14ac:dyDescent="0.15">
      <c r="C75" s="12"/>
      <c r="D75" s="67">
        <v>19.979090909090907</v>
      </c>
      <c r="E75" s="68">
        <v>39.344215844681003</v>
      </c>
      <c r="F75" s="69">
        <v>6.6144485250853018</v>
      </c>
      <c r="H75" s="2">
        <f t="array" ref="H75:J75">LINEST(E74:E77,D74:D77^{1,2})</f>
        <v>4.6809357438497299E-3</v>
      </c>
      <c r="I75" s="2">
        <v>-4.4231079421311992E-2</v>
      </c>
      <c r="J75" s="2">
        <v>37.745177683454479</v>
      </c>
      <c r="K75" s="24"/>
      <c r="M75" s="12"/>
      <c r="N75" s="67">
        <v>19.188181818181821</v>
      </c>
      <c r="O75" s="68">
        <v>50.04941091899903</v>
      </c>
      <c r="P75" s="69">
        <v>6.4972963143468565</v>
      </c>
      <c r="R75" s="2">
        <f t="array" ref="R75:T75">LINEST(O74:O77,N74:N77^{1,2})</f>
        <v>-1.5284862940544696E-2</v>
      </c>
      <c r="S75" s="2">
        <v>0.61031421618680159</v>
      </c>
      <c r="T75" s="27">
        <v>43.835360354905617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14.368181818181819</v>
      </c>
      <c r="E76" s="68">
        <v>37.758734004584319</v>
      </c>
      <c r="F76" s="69">
        <v>6.0285714153053958</v>
      </c>
      <c r="K76" s="24"/>
      <c r="M76" s="12"/>
      <c r="N76" s="67">
        <v>15.046363636363639</v>
      </c>
      <c r="O76" s="68">
        <v>49.468484079007489</v>
      </c>
      <c r="P76" s="69">
        <v>6.237904494197366</v>
      </c>
      <c r="T76" s="24"/>
      <c r="W76" s="10" t="s">
        <v>10</v>
      </c>
      <c r="X76" s="19">
        <f>D69</f>
        <v>48.453636363636363</v>
      </c>
      <c r="Y76" s="20">
        <f>F69</f>
        <v>22.084999954212599</v>
      </c>
    </row>
    <row r="77" spans="3:25" x14ac:dyDescent="0.15">
      <c r="C77" s="14"/>
      <c r="D77" s="67">
        <v>8.8800000000000008</v>
      </c>
      <c r="E77" s="68">
        <v>37.81432117265679</v>
      </c>
      <c r="F77" s="69">
        <v>5.783268035632072</v>
      </c>
      <c r="G77" s="25"/>
      <c r="H77" s="25"/>
      <c r="I77" s="25"/>
      <c r="J77" s="25"/>
      <c r="K77" s="26"/>
      <c r="M77" s="14"/>
      <c r="N77" s="67">
        <v>9.67090909090909</v>
      </c>
      <c r="O77" s="68">
        <v>48.329792466244619</v>
      </c>
      <c r="P77" s="69">
        <v>5.7652596451523648</v>
      </c>
      <c r="Q77" s="25"/>
      <c r="R77" s="25"/>
      <c r="S77" s="25"/>
      <c r="T77" s="26"/>
      <c r="W77" s="12"/>
      <c r="X77" s="17">
        <f t="shared" ref="X77" si="14">D70</f>
        <v>39.006666666666668</v>
      </c>
      <c r="Y77" s="13">
        <f>F70</f>
        <v>20.340828016323975</v>
      </c>
    </row>
    <row r="78" spans="3:25" x14ac:dyDescent="0.15">
      <c r="W78" s="12"/>
      <c r="X78" s="17">
        <f>D72</f>
        <v>17.136363636363637</v>
      </c>
      <c r="Y78" s="13">
        <f>F72</f>
        <v>15.776092335456077</v>
      </c>
    </row>
    <row r="79" spans="3:25" x14ac:dyDescent="0.15">
      <c r="F79" s="5"/>
      <c r="W79" s="12"/>
      <c r="X79" s="17">
        <f>N69</f>
        <v>49.231818181818191</v>
      </c>
      <c r="Y79" s="13">
        <f>P69</f>
        <v>23.249163831892666</v>
      </c>
    </row>
    <row r="80" spans="3:25" x14ac:dyDescent="0.15">
      <c r="F80" s="5"/>
      <c r="W80" s="12"/>
      <c r="X80" s="17">
        <f>N70</f>
        <v>40.072727272727271</v>
      </c>
      <c r="Y80" s="13">
        <f>P70</f>
        <v>20.640400917798857</v>
      </c>
    </row>
    <row r="81" spans="6:25" x14ac:dyDescent="0.15">
      <c r="F81" s="5"/>
      <c r="W81" s="12"/>
      <c r="X81" s="17">
        <f>N71</f>
        <v>30.720000000000002</v>
      </c>
      <c r="Y81" s="13">
        <f>P71</f>
        <v>18.90122564173631</v>
      </c>
    </row>
    <row r="82" spans="6:25" x14ac:dyDescent="0.15">
      <c r="F82" s="5"/>
      <c r="W82" s="14"/>
      <c r="X82" s="18">
        <f>N72</f>
        <v>19.857272727272729</v>
      </c>
      <c r="Y82" s="15">
        <f>P72</f>
        <v>16.28554460898053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21.903636363636362</v>
      </c>
      <c r="Y84" s="20">
        <f>F74</f>
        <v>6.6132263513281977</v>
      </c>
    </row>
    <row r="85" spans="6:25" x14ac:dyDescent="0.15">
      <c r="W85" s="12"/>
      <c r="X85" s="17">
        <f t="shared" ref="X85:X86" si="15">D75</f>
        <v>19.979090909090907</v>
      </c>
      <c r="Y85" s="13">
        <f>F75</f>
        <v>6.6144485250853018</v>
      </c>
    </row>
    <row r="86" spans="6:25" x14ac:dyDescent="0.15">
      <c r="W86" s="12"/>
      <c r="X86" s="17">
        <f t="shared" si="15"/>
        <v>14.368181818181819</v>
      </c>
      <c r="Y86" s="13">
        <f>F76</f>
        <v>6.0285714153053958</v>
      </c>
    </row>
    <row r="87" spans="6:25" x14ac:dyDescent="0.15">
      <c r="F87" s="5"/>
      <c r="W87" s="12"/>
      <c r="X87" s="17">
        <f>N74</f>
        <v>21.793636363636359</v>
      </c>
      <c r="Y87" s="13">
        <f>P74</f>
        <v>6.6531657966354825</v>
      </c>
    </row>
    <row r="88" spans="6:25" x14ac:dyDescent="0.15">
      <c r="F88" s="5"/>
      <c r="W88" s="12"/>
      <c r="X88" s="17">
        <f t="shared" ref="X88:X90" si="16">N75</f>
        <v>19.188181818181821</v>
      </c>
      <c r="Y88" s="13">
        <f>P75</f>
        <v>6.4972963143468565</v>
      </c>
    </row>
    <row r="89" spans="6:25" x14ac:dyDescent="0.15">
      <c r="F89" s="5"/>
      <c r="W89" s="12"/>
      <c r="X89" s="17">
        <f t="shared" si="16"/>
        <v>15.046363636363639</v>
      </c>
      <c r="Y89" s="13">
        <f>P76</f>
        <v>6.237904494197366</v>
      </c>
    </row>
    <row r="90" spans="6:25" x14ac:dyDescent="0.15">
      <c r="F90" s="5"/>
      <c r="W90" s="14"/>
      <c r="X90" s="18">
        <f t="shared" si="16"/>
        <v>9.67090909090909</v>
      </c>
      <c r="Y90" s="15">
        <f>P77</f>
        <v>5.7652596451523648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7B569-0D90-4362-B6CB-92444CB7BE70}">
  <sheetPr codeName="Taul20"/>
  <dimension ref="C2:AP99"/>
  <sheetViews>
    <sheetView topLeftCell="I1" zoomScale="85" zoomScaleNormal="85" workbookViewId="0">
      <selection activeCell="AJ25" sqref="AJ25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Tulostus!$G$33</f>
        <v>40</v>
      </c>
      <c r="K3" t="s">
        <v>13</v>
      </c>
      <c r="L3" s="7">
        <f>Tulostus!$G$39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18.114791645812087</v>
      </c>
      <c r="Q5" s="52">
        <v>-19.191481007620894</v>
      </c>
      <c r="R5" t="s">
        <v>28</v>
      </c>
      <c r="T5" s="4"/>
      <c r="U5" s="39" t="s">
        <v>43</v>
      </c>
      <c r="V5" t="s">
        <v>8</v>
      </c>
      <c r="W5" s="9">
        <f>$P$5*LN($J$3)+$Q$5</f>
        <v>47.631801710170095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17.925205478733741</v>
      </c>
      <c r="Q6" s="52">
        <v>-6.2701504058367163</v>
      </c>
      <c r="R6" t="s">
        <v>7</v>
      </c>
      <c r="T6" s="4"/>
      <c r="U6" s="39" t="s">
        <v>43</v>
      </c>
      <c r="V6" t="s">
        <v>57</v>
      </c>
      <c r="W6" s="9">
        <f>$P$6*LN($J$3)+$Q$6</f>
        <v>59.853771795434739</v>
      </c>
      <c r="X6" t="s">
        <v>31</v>
      </c>
      <c r="AA6" s="55">
        <v>25</v>
      </c>
      <c r="AB6" s="56">
        <f t="shared" ref="AB6:AB12" si="0">(-$D$9-SQRT($D$9^2-(4*$C$9*($E$9-AA6))))/(2*$C$9)</f>
        <v>115.67880715777122</v>
      </c>
      <c r="AC6" s="55">
        <v>20</v>
      </c>
      <c r="AD6" s="57">
        <f t="shared" ref="AD6:AD12" si="1">(-$D$14-SQRT($D$14^2-(4*$C$14*($E$14-AC6))))/(2*$C$14)</f>
        <v>91.988373586551461</v>
      </c>
      <c r="AE6" s="55">
        <v>15</v>
      </c>
      <c r="AF6" s="57">
        <f t="shared" ref="AF6:AF11" si="2">(-$D$19-SQRT($D$19^2-(4*$C$19*($E$19-AE6))))/(2*$C$19)</f>
        <v>63.494874015749062</v>
      </c>
      <c r="AG6" s="56">
        <v>10</v>
      </c>
      <c r="AH6" s="57">
        <f>(-$D$24-SQRT($D$24^2-(4*$C$24*($E$24-AG6))))/(2*$C$24)</f>
        <v>29.670491870313402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103.49402125954791</v>
      </c>
      <c r="AC7" s="55">
        <v>50</v>
      </c>
      <c r="AD7" s="57">
        <f t="shared" si="1"/>
        <v>86.286536155517794</v>
      </c>
      <c r="AE7" s="55">
        <v>40</v>
      </c>
      <c r="AF7" s="57">
        <f t="shared" si="2"/>
        <v>56.973770904089747</v>
      </c>
      <c r="AG7" s="56">
        <v>20</v>
      </c>
      <c r="AH7" s="57">
        <f>(-$D$24-SQRT($D$24^2-(4*$C$24*($E$24-AG7))))/(2*$C$24)</f>
        <v>22.578901953211147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93.392194792281046</v>
      </c>
      <c r="AC8" s="55">
        <v>100</v>
      </c>
      <c r="AD8" s="57">
        <f t="shared" si="1"/>
        <v>75.900637350102883</v>
      </c>
      <c r="AE8" s="55">
        <v>60</v>
      </c>
      <c r="AF8" s="57">
        <f t="shared" si="2"/>
        <v>51.145153604780376</v>
      </c>
      <c r="AG8" s="56">
        <v>30</v>
      </c>
      <c r="AH8" s="57">
        <f>(-$D$24-SQRT($D$24^2-(4*$C$24*($E$24-AG8))))/(2*$C$24)</f>
        <v>16.488965411522997</v>
      </c>
    </row>
    <row r="9" spans="3:34" x14ac:dyDescent="0.15">
      <c r="C9" s="8">
        <v>-3.8909821266423048E-2</v>
      </c>
      <c r="D9" s="8">
        <v>0.73136751553427193</v>
      </c>
      <c r="E9" s="8">
        <v>461.07141428430361</v>
      </c>
      <c r="H9" s="2"/>
      <c r="P9" t="s">
        <v>23</v>
      </c>
      <c r="Q9" s="52">
        <f t="array" ref="Q9:R9">LINEST(AC35:AC37,U35:U37)</f>
        <v>12.202605986680407</v>
      </c>
      <c r="R9" s="52">
        <v>-12.869685822670938</v>
      </c>
      <c r="U9" s="39" t="s">
        <v>42</v>
      </c>
      <c r="V9" t="s">
        <v>44</v>
      </c>
      <c r="W9" s="9">
        <f>IF($J$3&gt;$AJ$35,($J$3-$R$10)/$Q$10,($J$3-$R$9)/$Q$9)</f>
        <v>4.3326553262786769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83.647531933078071</v>
      </c>
      <c r="AC9" s="55">
        <v>150</v>
      </c>
      <c r="AD9" s="57">
        <f t="shared" si="1"/>
        <v>63.979035472792781</v>
      </c>
      <c r="AE9" s="55">
        <v>80</v>
      </c>
      <c r="AF9" s="57">
        <f t="shared" si="2"/>
        <v>44.536021272153903</v>
      </c>
      <c r="AG9" s="56">
        <v>35</v>
      </c>
      <c r="AH9" s="57">
        <f>(-$D$24-SQRT($D$24^2-(4*$C$24*($E$24-AG9))))/(2*$C$24)</f>
        <v>13.708304384736721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LINEST(AJ34:AJ35,AI34:AI35)</f>
        <v>3.118355175814445</v>
      </c>
      <c r="R10" s="52">
        <v>55.26219525882378</v>
      </c>
      <c r="W10" t="b">
        <f>IF(AND(W9&lt;=10.01,Tulostus!G33&gt;=W11),TRUE,FALSE)</f>
        <v>1</v>
      </c>
      <c r="AA10" s="55">
        <v>320</v>
      </c>
      <c r="AB10" s="56">
        <f t="shared" si="0"/>
        <v>70.340226812771604</v>
      </c>
      <c r="AC10" s="55">
        <v>170</v>
      </c>
      <c r="AD10" s="57">
        <f t="shared" si="1"/>
        <v>58.592403493552204</v>
      </c>
      <c r="AE10" s="55">
        <v>100</v>
      </c>
      <c r="AF10" s="57">
        <f t="shared" si="2"/>
        <v>36.710790610696051</v>
      </c>
      <c r="AG10" s="56">
        <v>40</v>
      </c>
      <c r="AH10" s="57">
        <f>(-$D$24-SQRT($D$24^2-(4*$C$24*($E$24-AG10))))/(2*$C$24)</f>
        <v>11.06772203702376</v>
      </c>
    </row>
    <row r="11" spans="3:34" x14ac:dyDescent="0.15">
      <c r="C11" s="2" t="s">
        <v>113</v>
      </c>
      <c r="D11" s="1"/>
      <c r="E11" s="1"/>
      <c r="H11" s="1"/>
      <c r="V11" t="s">
        <v>348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53.15774384679068</v>
      </c>
      <c r="AC11" s="55">
        <v>190</v>
      </c>
      <c r="AD11" s="57">
        <f t="shared" si="1"/>
        <v>52.709351379206979</v>
      </c>
      <c r="AE11" s="55">
        <v>125</v>
      </c>
      <c r="AF11" s="57">
        <f t="shared" si="2"/>
        <v>23.297949159489587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425</v>
      </c>
      <c r="AB12" s="59">
        <f t="shared" si="0"/>
        <v>41.2632427578814</v>
      </c>
      <c r="AC12" s="58">
        <v>245</v>
      </c>
      <c r="AD12" s="60">
        <f t="shared" si="1"/>
        <v>32.044849239800861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2.1668020834281061E-2</v>
      </c>
      <c r="Q13" s="51">
        <v>-0.88521639857856171</v>
      </c>
      <c r="R13" s="51">
        <v>15.816396534603257</v>
      </c>
      <c r="U13" s="39" t="s">
        <v>43</v>
      </c>
      <c r="V13" t="s">
        <v>44</v>
      </c>
      <c r="W13" s="9">
        <f>$P$13*J3^2+$Q$13*J3+$R$13</f>
        <v>15.076573926310481</v>
      </c>
      <c r="X13" t="s">
        <v>49</v>
      </c>
    </row>
    <row r="14" spans="3:34" x14ac:dyDescent="0.15">
      <c r="C14" s="8">
        <v>-2.7800182131953462E-2</v>
      </c>
      <c r="D14" s="8">
        <v>-0.30538686886773114</v>
      </c>
      <c r="E14" s="8">
        <v>283.33331488483418</v>
      </c>
      <c r="H14" s="2"/>
      <c r="V14" t="s">
        <v>52</v>
      </c>
      <c r="W14" s="3">
        <f>IF(W13&gt;118,118,W13)</f>
        <v>15.076573926310481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14.606785358742272</v>
      </c>
    </row>
    <row r="17" spans="3:38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8" x14ac:dyDescent="0.15">
      <c r="C18" t="s">
        <v>4</v>
      </c>
      <c r="D18" t="s">
        <v>5</v>
      </c>
      <c r="E18" t="s">
        <v>6</v>
      </c>
      <c r="H18" s="1"/>
    </row>
    <row r="19" spans="3:38" x14ac:dyDescent="0.15">
      <c r="C19" s="8">
        <v>-3.2580629334682858E-2</v>
      </c>
      <c r="D19" s="8">
        <v>9.1237059087708919E-2</v>
      </c>
      <c r="E19" s="8">
        <v>140.55894792882015</v>
      </c>
      <c r="V19" s="74" t="s">
        <v>74</v>
      </c>
      <c r="W19" s="77">
        <f>W13+W16+W17</f>
        <v>32.683359285052752</v>
      </c>
      <c r="X19" s="75" t="s">
        <v>49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40</v>
      </c>
      <c r="X21" t="s">
        <v>13</v>
      </c>
      <c r="AB21" s="6"/>
      <c r="AC21" s="6"/>
    </row>
    <row r="22" spans="3:38" ht="15" x14ac:dyDescent="0.15">
      <c r="C22" t="s">
        <v>11</v>
      </c>
      <c r="D22" s="1"/>
      <c r="E22" s="1"/>
      <c r="H22" s="1"/>
      <c r="V22" t="s">
        <v>75</v>
      </c>
      <c r="W22">
        <f>W19/W21</f>
        <v>0.81708398212631883</v>
      </c>
      <c r="X22" t="s">
        <v>77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1.7595247173049694E-2</v>
      </c>
      <c r="D24" s="8">
        <v>-2.3294620179338841</v>
      </c>
      <c r="E24" s="8">
        <v>63.626517614156882</v>
      </c>
      <c r="H24" s="1"/>
    </row>
    <row r="25" spans="3:38" x14ac:dyDescent="0.15">
      <c r="E25" s="2"/>
      <c r="F25" s="2"/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3.125E-2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</row>
    <row r="34" spans="21:42" x14ac:dyDescent="0.15">
      <c r="U34" s="35">
        <v>10</v>
      </c>
      <c r="V34" s="98">
        <f>C9</f>
        <v>-3.8909821266423048E-2</v>
      </c>
      <c r="W34" s="99">
        <f>D9</f>
        <v>0.73136751553427193</v>
      </c>
      <c r="X34" s="100">
        <f>E9</f>
        <v>461.07141428430361</v>
      </c>
      <c r="Y34" s="36">
        <f>C9-U29</f>
        <v>-7.0159821266423048E-2</v>
      </c>
      <c r="Z34" s="28">
        <f>(-W34+SQRT(W34^2-(4*Y34*X34)))/(2*Y34)</f>
        <v>-76.021440022841276</v>
      </c>
      <c r="AA34" s="29">
        <f>(-W34-SQRT(W34^2-(4*Y34*X34)))/(2*Y34)</f>
        <v>86.445747016968241</v>
      </c>
      <c r="AB34" s="36">
        <f>AB6</f>
        <v>115.67880715777122</v>
      </c>
      <c r="AC34" s="53">
        <f>IF(Z34&lt;0,AA34,IF(Z34&gt;AB34,AA34,Z34))</f>
        <v>86.445747016968241</v>
      </c>
      <c r="AD34" s="53">
        <f>V34*AC34^2+W34*AC34+X34</f>
        <v>233.52709929130225</v>
      </c>
      <c r="AE34" s="53">
        <f>X51*AC34^2+Y51*AC34+Z51</f>
        <v>101.47987664741848</v>
      </c>
      <c r="AF34" s="53">
        <f>$H$60*AC34^2+$I$60*AC34+$J$60</f>
        <v>62.073441138446078</v>
      </c>
      <c r="AG34" s="53">
        <f>$R$60*AC34^2+$S$60*AC34+$T$60</f>
        <v>73.907323295975957</v>
      </c>
      <c r="AI34">
        <v>10</v>
      </c>
      <c r="AJ34" s="3">
        <f>AC34</f>
        <v>86.445747016968241</v>
      </c>
      <c r="AL34" s="618">
        <f>AC34/$J$3-1</f>
        <v>1.1611436754242059</v>
      </c>
      <c r="AO34" s="278" t="b">
        <f>IF(AL36&gt;AC34,FALSE,TRUE)</f>
        <v>1</v>
      </c>
      <c r="AP34" t="s">
        <v>1117</v>
      </c>
    </row>
    <row r="35" spans="21:42" x14ac:dyDescent="0.15">
      <c r="U35" s="35">
        <v>6.5</v>
      </c>
      <c r="V35" s="98">
        <f>C14</f>
        <v>-2.7800182131953462E-2</v>
      </c>
      <c r="W35" s="99">
        <f>D14</f>
        <v>-0.30538686886773114</v>
      </c>
      <c r="X35" s="100">
        <f>E14</f>
        <v>283.33331488483418</v>
      </c>
      <c r="Y35" s="36">
        <f>C14-U29</f>
        <v>-5.9050182131953462E-2</v>
      </c>
      <c r="Z35" s="28">
        <f t="shared" ref="Z35:Z37" si="3">(-W35+SQRT(W35^2-(4*Y35*X35)))/(2*Y35)</f>
        <v>-71.902958478092643</v>
      </c>
      <c r="AA35" s="29">
        <f t="shared" ref="AA35:AA37" si="4">(-W35-SQRT(W35^2-(4*Y35*X35)))/(2*Y35)</f>
        <v>66.731308572164934</v>
      </c>
      <c r="AB35" s="36">
        <f>AD6</f>
        <v>91.988373586551461</v>
      </c>
      <c r="AC35" s="53">
        <f t="shared" ref="AC35:AC37" si="5">IF(Z35&lt;0,AA35,IF(Z35&gt;AB35,AA35,Z35))</f>
        <v>66.731308572164934</v>
      </c>
      <c r="AD35" s="53">
        <f>V35*AC35^2+W35*AC35+X35</f>
        <v>139.15836074229659</v>
      </c>
      <c r="AE35" s="53">
        <f t="shared" ref="AE35:AE37" si="6">X52*AC35^2+Y52*AC35+Z52</f>
        <v>52.448590238206712</v>
      </c>
      <c r="AF35" s="53">
        <f>$H$65*AC35^2+$I$65*AC35+$J$65</f>
        <v>56.668534577796571</v>
      </c>
      <c r="AG35" s="53">
        <f>$R$65*AC35^2+$S$65*AC35+$T$65</f>
        <v>68.899459441935534</v>
      </c>
      <c r="AI35">
        <v>7.5</v>
      </c>
      <c r="AJ35" s="3">
        <f>Q9*AI35+R9</f>
        <v>78.649859077432126</v>
      </c>
      <c r="AL35" t="s">
        <v>1114</v>
      </c>
      <c r="AO35" t="s">
        <v>1116</v>
      </c>
    </row>
    <row r="36" spans="21:42" x14ac:dyDescent="0.15">
      <c r="U36" s="35">
        <v>5</v>
      </c>
      <c r="V36" s="98">
        <f>C19</f>
        <v>-3.2580629334682858E-2</v>
      </c>
      <c r="W36" s="99">
        <f>D19</f>
        <v>9.1237059087708919E-2</v>
      </c>
      <c r="X36" s="100">
        <f>E19</f>
        <v>140.55894792882015</v>
      </c>
      <c r="Y36" s="36">
        <f>C19-U29</f>
        <v>-6.3830629334682865E-2</v>
      </c>
      <c r="Z36" s="28">
        <f t="shared" si="3"/>
        <v>-46.216885283324622</v>
      </c>
      <c r="AA36" s="29">
        <f t="shared" si="4"/>
        <v>47.646247018257952</v>
      </c>
      <c r="AB36" s="36">
        <f>AF6</f>
        <v>63.494874015749062</v>
      </c>
      <c r="AC36" s="53">
        <f t="shared" si="5"/>
        <v>47.646247018257952</v>
      </c>
      <c r="AD36" s="53">
        <f>V36*AC36^2+W36*AC36+X36</f>
        <v>70.942651716401741</v>
      </c>
      <c r="AE36" s="53">
        <f t="shared" si="6"/>
        <v>23.549560276980234</v>
      </c>
      <c r="AF36" s="53">
        <f>$H$70*AC36^2+$I$70*AC36+$J$70</f>
        <v>50.2506964951342</v>
      </c>
      <c r="AG36" s="53">
        <f>$R$70*AC36^2+$S$70*AC36+$T$70</f>
        <v>62.733186531654965</v>
      </c>
      <c r="AI36">
        <v>6.5</v>
      </c>
      <c r="AJ36" s="3">
        <f>AC35</f>
        <v>66.731308572164934</v>
      </c>
      <c r="AL36" s="611">
        <f>Tulokset!$CS$16</f>
        <v>48</v>
      </c>
      <c r="AM36" t="s">
        <v>13</v>
      </c>
      <c r="AO36" s="619">
        <f>IF($AL$36&gt;$AJ$35,($AL$36-$R$10)/$Q$10,($AL$36-$R$9)/$Q$9)</f>
        <v>4.9882529919520833</v>
      </c>
      <c r="AP36" t="s">
        <v>25</v>
      </c>
    </row>
    <row r="37" spans="21:42" x14ac:dyDescent="0.15">
      <c r="U37" s="38">
        <v>3</v>
      </c>
      <c r="V37" s="101">
        <f>C24</f>
        <v>1.7595247173049694E-2</v>
      </c>
      <c r="W37" s="102">
        <f>D24</f>
        <v>-2.3294620179338841</v>
      </c>
      <c r="X37" s="103">
        <f>E24</f>
        <v>63.626517614156882</v>
      </c>
      <c r="Y37" s="37">
        <f>C24-U29</f>
        <v>-1.3654752826950306E-2</v>
      </c>
      <c r="Z37" s="30">
        <f t="shared" si="3"/>
        <v>-194.54833119651218</v>
      </c>
      <c r="AA37" s="31">
        <f t="shared" si="4"/>
        <v>23.951173748430193</v>
      </c>
      <c r="AB37" s="37">
        <f>AH6</f>
        <v>29.670491870313402</v>
      </c>
      <c r="AC37" s="53">
        <f t="shared" si="5"/>
        <v>23.951173748430193</v>
      </c>
      <c r="AD37" s="53">
        <f>V37*AC37^2+W37*AC37+X37</f>
        <v>17.926835122734104</v>
      </c>
      <c r="AE37" s="53">
        <f t="shared" si="6"/>
        <v>6.8449370838503816</v>
      </c>
      <c r="AF37" s="53">
        <f>$H$75*AC37^2+$I$75*AC37+$J$75</f>
        <v>38.643858094709387</v>
      </c>
      <c r="AG37" s="53">
        <f>$R$75*AC37^2+$S$75*AC37+$T$75</f>
        <v>50.805378260511887</v>
      </c>
      <c r="AI37">
        <v>5</v>
      </c>
      <c r="AJ37" s="3">
        <f t="shared" ref="AJ37:AJ38" si="7">AC36</f>
        <v>47.646247018257952</v>
      </c>
      <c r="AL37" s="611">
        <f>Tulokset!$CS$17</f>
        <v>72</v>
      </c>
      <c r="AM37" t="s">
        <v>14</v>
      </c>
    </row>
    <row r="38" spans="21:42" x14ac:dyDescent="0.15">
      <c r="AI38">
        <v>3</v>
      </c>
      <c r="AJ38" s="3">
        <f t="shared" si="7"/>
        <v>23.951173748430193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55</v>
      </c>
      <c r="V43" s="21"/>
      <c r="W43" s="49">
        <v>19</v>
      </c>
      <c r="X43" s="49">
        <v>10</v>
      </c>
      <c r="Y43" s="49">
        <v>3</v>
      </c>
      <c r="Z43" s="49">
        <v>-5</v>
      </c>
      <c r="AA43" s="49">
        <v>-13</v>
      </c>
      <c r="AB43" s="49">
        <v>-19</v>
      </c>
      <c r="AC43" s="49">
        <v>-29</v>
      </c>
      <c r="AD43" s="49">
        <v>-34</v>
      </c>
      <c r="AE43" s="39" t="s">
        <v>42</v>
      </c>
      <c r="AF43" s="53">
        <f>$W$5+W43</f>
        <v>66.631801710170095</v>
      </c>
      <c r="AG43" s="53">
        <f t="shared" ref="AG43:AM43" si="8">$W$5+X43</f>
        <v>57.631801710170095</v>
      </c>
      <c r="AH43" s="53">
        <f t="shared" si="8"/>
        <v>50.631801710170095</v>
      </c>
      <c r="AI43" s="53">
        <f t="shared" si="8"/>
        <v>42.631801710170095</v>
      </c>
      <c r="AJ43" s="53">
        <f t="shared" si="8"/>
        <v>34.631801710170095</v>
      </c>
      <c r="AK43" s="53">
        <f t="shared" si="8"/>
        <v>28.631801710170095</v>
      </c>
      <c r="AL43" s="53">
        <f t="shared" si="8"/>
        <v>18.631801710170095</v>
      </c>
      <c r="AM43" s="53">
        <f t="shared" si="8"/>
        <v>13.631801710170095</v>
      </c>
      <c r="AN43" s="5">
        <f t="array" ref="AN43">10*LOG10(SUM(10^(AF43:AM43/10)))</f>
        <v>67.260639074914678</v>
      </c>
      <c r="AO43" s="5">
        <f t="array" ref="AO43">10*LOG10(SUM(10^((AF43:AM43+AF46:AM46)/10)))</f>
        <v>47.323184906187763</v>
      </c>
      <c r="AP43" t="str">
        <f>IF(ABS(W5-AO43)&lt;0.5,"OK","Tarkista laskenta!")</f>
        <v>OK</v>
      </c>
    </row>
    <row r="44" spans="21:42" x14ac:dyDescent="0.15">
      <c r="U44" s="14" t="s">
        <v>56</v>
      </c>
      <c r="V44" s="26"/>
      <c r="W44" s="49">
        <v>22</v>
      </c>
      <c r="X44" s="49">
        <v>6</v>
      </c>
      <c r="Y44" s="49">
        <v>3</v>
      </c>
      <c r="Z44" s="49">
        <v>-4</v>
      </c>
      <c r="AA44" s="49">
        <v>-9</v>
      </c>
      <c r="AB44" s="49">
        <v>-11</v>
      </c>
      <c r="AC44" s="49">
        <v>-18</v>
      </c>
      <c r="AD44" s="49">
        <v>-22</v>
      </c>
      <c r="AE44" s="39" t="s">
        <v>43</v>
      </c>
      <c r="AF44" s="53">
        <f>$W$6+W44</f>
        <v>81.853771795434739</v>
      </c>
      <c r="AG44" s="53">
        <f t="shared" ref="AG44:AM44" si="9">$W$6+X44</f>
        <v>65.853771795434739</v>
      </c>
      <c r="AH44" s="53">
        <f t="shared" si="9"/>
        <v>62.853771795434739</v>
      </c>
      <c r="AI44" s="53">
        <f t="shared" si="9"/>
        <v>55.853771795434739</v>
      </c>
      <c r="AJ44" s="53">
        <f t="shared" si="9"/>
        <v>50.853771795434739</v>
      </c>
      <c r="AK44" s="53">
        <f t="shared" si="9"/>
        <v>48.853771795434739</v>
      </c>
      <c r="AL44" s="53">
        <f t="shared" si="9"/>
        <v>41.853771795434739</v>
      </c>
      <c r="AM44" s="53">
        <f t="shared" si="9"/>
        <v>37.853771795434739</v>
      </c>
      <c r="AN44" s="5">
        <f t="array" ref="AN44">10*LOG10(SUM(10^(AF44:AM44/10)))</f>
        <v>82.031012204022375</v>
      </c>
      <c r="AO44" s="5">
        <f t="array" ref="AO44">10*LOG10(SUM(10^((AF44:AM44+AF46:AM46)/10)))</f>
        <v>60.643187258475223</v>
      </c>
      <c r="AP44" t="str">
        <f>IF(ABS(W6-AO44)&lt;0.5,"OK","Tarkista laskenta!")</f>
        <v>Tarkista laskenta!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LINEST(Y59:Y66,X59:X66^{1,2})</f>
        <v>3.404876143412186E-3</v>
      </c>
      <c r="Y51" s="54">
        <v>0.14582077649031241</v>
      </c>
      <c r="Z51" s="54">
        <v>63.430103518168544</v>
      </c>
    </row>
    <row r="52" spans="3:26" x14ac:dyDescent="0.15">
      <c r="W52" t="s">
        <v>114</v>
      </c>
      <c r="X52" s="54">
        <f t="array" ref="X52:Z52">LINEST(Y68:Y74,X68:X74^{1,2})</f>
        <v>1.3761811536388557E-3</v>
      </c>
      <c r="Y52" s="54">
        <v>0.30357538159247754</v>
      </c>
      <c r="Z52" s="54">
        <v>26.062380144651947</v>
      </c>
    </row>
    <row r="53" spans="3:26" x14ac:dyDescent="0.15">
      <c r="W53" t="s">
        <v>10</v>
      </c>
      <c r="X53" s="54">
        <f t="array" ref="X53:Z53">LINEST(Y76:Y82,X76:X82^{1,2})</f>
        <v>-3.5886654480964011E-4</v>
      </c>
      <c r="Y53" s="54">
        <v>0.27499770222331427</v>
      </c>
      <c r="Z53" s="54">
        <v>11.261638045030018</v>
      </c>
    </row>
    <row r="54" spans="3:26" x14ac:dyDescent="0.15">
      <c r="W54" t="s">
        <v>12</v>
      </c>
      <c r="X54" s="54">
        <f t="array" ref="X54:Z54">LINEST(Y84:Y90,X84:X90^{1,2})</f>
        <v>2.757743471335926E-3</v>
      </c>
      <c r="Y54" s="54">
        <v>-4.1244508145930545E-2</v>
      </c>
      <c r="Z54" s="54">
        <v>6.2507878639361696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107.47020000000001</v>
      </c>
      <c r="E59" s="68">
        <v>61.13403135247551</v>
      </c>
      <c r="F59" s="69">
        <v>116.62868994636517</v>
      </c>
      <c r="H59" t="s">
        <v>4</v>
      </c>
      <c r="I59" t="s">
        <v>5</v>
      </c>
      <c r="K59" s="24"/>
      <c r="M59" s="10" t="s">
        <v>3</v>
      </c>
      <c r="N59" s="67">
        <v>104.62084545454545</v>
      </c>
      <c r="O59" s="68">
        <v>73.349403929077283</v>
      </c>
      <c r="P59" s="69">
        <v>117.15166181231858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107.47020000000001</v>
      </c>
      <c r="Y59" s="20">
        <f>F59</f>
        <v>116.62868994636517</v>
      </c>
    </row>
    <row r="60" spans="3:26" x14ac:dyDescent="0.15">
      <c r="C60" s="12"/>
      <c r="D60" s="67">
        <v>97.16458181818183</v>
      </c>
      <c r="E60" s="68">
        <v>61.463135764555233</v>
      </c>
      <c r="F60" s="69">
        <v>107.89046746765455</v>
      </c>
      <c r="H60" s="2">
        <f t="array" ref="H60:J60">LINEST(E59:E62,D59:D62^{1,2})</f>
        <v>-4.677120877135426E-4</v>
      </c>
      <c r="I60" s="2">
        <v>4.2405171151349258E-2</v>
      </c>
      <c r="J60" s="2">
        <v>61.902844749596426</v>
      </c>
      <c r="K60" s="24"/>
      <c r="M60" s="12"/>
      <c r="N60" s="67">
        <v>87.716672727272737</v>
      </c>
      <c r="O60" s="68">
        <v>73.586568674570273</v>
      </c>
      <c r="P60" s="69">
        <v>108.25149905730171</v>
      </c>
      <c r="R60" s="2">
        <f t="array" ref="R60:T60">LINEST(O59:O62,N59:N62^{1,2})</f>
        <v>-2.0328170830458944E-4</v>
      </c>
      <c r="S60" s="2">
        <v>1.0981707002607516E-3</v>
      </c>
      <c r="T60" s="27">
        <v>75.331488315179016</v>
      </c>
      <c r="W60" s="12"/>
      <c r="X60" s="17">
        <f>D60</f>
        <v>97.16458181818183</v>
      </c>
      <c r="Y60" s="13">
        <f>F60</f>
        <v>107.89046746765455</v>
      </c>
    </row>
    <row r="61" spans="3:26" x14ac:dyDescent="0.15">
      <c r="C61" s="12"/>
      <c r="D61" s="67">
        <v>77.45038181818181</v>
      </c>
      <c r="E61" s="68">
        <v>62.476142119666449</v>
      </c>
      <c r="F61" s="69">
        <v>92.233101144109327</v>
      </c>
      <c r="K61" s="24"/>
      <c r="M61" s="12"/>
      <c r="N61" s="67">
        <v>60.068663636363638</v>
      </c>
      <c r="O61" s="68">
        <v>74.903691388935115</v>
      </c>
      <c r="P61" s="69">
        <v>88.100138396815751</v>
      </c>
      <c r="T61" s="24"/>
      <c r="W61" s="12"/>
      <c r="X61" s="17">
        <f t="shared" ref="X61:X62" si="10">D61</f>
        <v>77.45038181818181</v>
      </c>
      <c r="Y61" s="13">
        <f t="shared" ref="Y61:Y62" si="11">F61</f>
        <v>92.233101144109327</v>
      </c>
    </row>
    <row r="62" spans="3:26" x14ac:dyDescent="0.15">
      <c r="C62" s="14"/>
      <c r="D62" s="67">
        <v>55.766072727272736</v>
      </c>
      <c r="E62" s="68">
        <v>62.786941941504857</v>
      </c>
      <c r="F62" s="69">
        <v>76.472486133861551</v>
      </c>
      <c r="K62" s="24"/>
      <c r="M62" s="14"/>
      <c r="N62" s="67">
        <v>38.46300909090909</v>
      </c>
      <c r="O62" s="68">
        <v>74.98237026058645</v>
      </c>
      <c r="P62" s="69">
        <v>75.666190479058542</v>
      </c>
      <c r="T62" s="24"/>
      <c r="W62" s="12"/>
      <c r="X62" s="17">
        <f t="shared" si="10"/>
        <v>55.766072727272736</v>
      </c>
      <c r="Y62" s="13">
        <f t="shared" si="11"/>
        <v>76.472486133861551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N59</f>
        <v>104.62084545454545</v>
      </c>
      <c r="Y63" s="13">
        <f>P59</f>
        <v>117.15166181231858</v>
      </c>
    </row>
    <row r="64" spans="3:26" x14ac:dyDescent="0.15">
      <c r="C64" s="10" t="s">
        <v>114</v>
      </c>
      <c r="D64" s="67">
        <v>85.219390909090919</v>
      </c>
      <c r="E64" s="68">
        <v>56.226832789947956</v>
      </c>
      <c r="F64" s="69">
        <v>60.577810396612868</v>
      </c>
      <c r="H64" t="s">
        <v>4</v>
      </c>
      <c r="I64" t="s">
        <v>5</v>
      </c>
      <c r="K64" s="24"/>
      <c r="M64" s="10" t="s">
        <v>114</v>
      </c>
      <c r="N64" s="67">
        <v>81.794172727272723</v>
      </c>
      <c r="O64" s="68">
        <v>68.625830013402279</v>
      </c>
      <c r="P64" s="69">
        <v>61.609359236476912</v>
      </c>
      <c r="R64" t="s">
        <v>4</v>
      </c>
      <c r="S64" t="s">
        <v>5</v>
      </c>
      <c r="T64" s="24" t="s">
        <v>6</v>
      </c>
      <c r="W64" s="12"/>
      <c r="X64" s="17">
        <f>N60</f>
        <v>87.716672727272737</v>
      </c>
      <c r="Y64" s="13">
        <f>P60</f>
        <v>108.25149905730171</v>
      </c>
    </row>
    <row r="65" spans="3:25" x14ac:dyDescent="0.15">
      <c r="C65" s="12"/>
      <c r="D65" s="67">
        <v>75.308918181818171</v>
      </c>
      <c r="E65" s="68">
        <v>56.986921976424952</v>
      </c>
      <c r="F65" s="69">
        <v>55.527582956445499</v>
      </c>
      <c r="H65" s="2">
        <f t="array" ref="H65:J65">LINEST(E64:E67,D64:D67^{1,2})</f>
        <v>-4.5476181235321262E-4</v>
      </c>
      <c r="I65" s="2">
        <v>5.5462481626888674E-2</v>
      </c>
      <c r="J65" s="2">
        <v>54.992535668903244</v>
      </c>
      <c r="K65" s="24"/>
      <c r="M65" s="12"/>
      <c r="N65" s="67">
        <v>68.961309090909083</v>
      </c>
      <c r="O65" s="68">
        <v>68.692809828117717</v>
      </c>
      <c r="P65" s="69">
        <v>55.253225557202001</v>
      </c>
      <c r="R65" s="2">
        <f t="array" ref="R65:T65">LINEST(O64:O67,N64:N67^{1,2})</f>
        <v>-1.9893804719841405E-4</v>
      </c>
      <c r="S65" s="2">
        <v>6.2784188853242271E-3</v>
      </c>
      <c r="T65" s="27">
        <v>69.366376895150609</v>
      </c>
      <c r="W65" s="12"/>
      <c r="X65" s="17">
        <f>N61</f>
        <v>60.068663636363638</v>
      </c>
      <c r="Y65" s="13">
        <f>P61</f>
        <v>88.100138396815751</v>
      </c>
    </row>
    <row r="66" spans="3:25" x14ac:dyDescent="0.15">
      <c r="C66" s="12"/>
      <c r="D66" s="67">
        <v>59.091099999999997</v>
      </c>
      <c r="E66" s="68">
        <v>56.387195431614472</v>
      </c>
      <c r="F66" s="69">
        <v>45.26100217347367</v>
      </c>
      <c r="K66" s="24"/>
      <c r="M66" s="12"/>
      <c r="N66" s="67">
        <v>46.599072727272727</v>
      </c>
      <c r="O66" s="68">
        <v>69.362565246831508</v>
      </c>
      <c r="P66" s="69">
        <v>44.871075383176873</v>
      </c>
      <c r="T66" s="24"/>
      <c r="W66" s="14"/>
      <c r="X66" s="18">
        <f>N62</f>
        <v>38.46300909090909</v>
      </c>
      <c r="Y66" s="15">
        <f>P62</f>
        <v>75.666190479058542</v>
      </c>
    </row>
    <row r="67" spans="3:25" x14ac:dyDescent="0.15">
      <c r="C67" s="14"/>
      <c r="D67" s="67">
        <v>42.177563636363637</v>
      </c>
      <c r="E67" s="68">
        <v>56.610398713632122</v>
      </c>
      <c r="F67" s="69">
        <v>37.764911609904139</v>
      </c>
      <c r="K67" s="24"/>
      <c r="M67" s="14"/>
      <c r="N67" s="67">
        <v>29.631227272727273</v>
      </c>
      <c r="O67" s="68">
        <v>69.325721365716447</v>
      </c>
      <c r="P67" s="69">
        <v>37.472218612103255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0" t="s">
        <v>114</v>
      </c>
      <c r="X68" s="19">
        <f>D64</f>
        <v>85.219390909090919</v>
      </c>
      <c r="Y68" s="20">
        <f>F64</f>
        <v>60.577810396612868</v>
      </c>
    </row>
    <row r="69" spans="3:25" x14ac:dyDescent="0.15">
      <c r="C69" s="10" t="s">
        <v>10</v>
      </c>
      <c r="D69" s="67">
        <v>59.232490909090913</v>
      </c>
      <c r="E69" s="68">
        <v>49.375419806217764</v>
      </c>
      <c r="F69" s="69">
        <v>25.417263103473928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57.921581818181828</v>
      </c>
      <c r="O69" s="68">
        <v>62.212651636773103</v>
      </c>
      <c r="P69" s="69">
        <v>26.864447987055424</v>
      </c>
      <c r="R69" t="s">
        <v>4</v>
      </c>
      <c r="S69" t="s">
        <v>5</v>
      </c>
      <c r="T69" s="24" t="s">
        <v>6</v>
      </c>
      <c r="W69" s="12"/>
      <c r="X69" s="17">
        <f t="shared" ref="X69" si="12">D65</f>
        <v>75.308918181818171</v>
      </c>
      <c r="Y69" s="13">
        <f t="shared" ref="Y69" si="13">F65</f>
        <v>55.527582956445499</v>
      </c>
    </row>
    <row r="70" spans="3:25" x14ac:dyDescent="0.15">
      <c r="C70" s="12"/>
      <c r="D70" s="67">
        <v>52.589927272727273</v>
      </c>
      <c r="E70" s="68">
        <v>50.547867733453664</v>
      </c>
      <c r="F70" s="69">
        <v>24.344285214676759</v>
      </c>
      <c r="H70" s="2">
        <f t="array" ref="H70:J70">LINEST(E69:E72,D69:D72^{1,2})</f>
        <v>-4.6443571247542616E-3</v>
      </c>
      <c r="I70" s="2">
        <v>0.43795144783417811</v>
      </c>
      <c r="J70" s="2">
        <v>39.927409947960214</v>
      </c>
      <c r="K70" s="24"/>
      <c r="M70" s="12"/>
      <c r="N70" s="67">
        <v>49.687200000000004</v>
      </c>
      <c r="O70" s="68">
        <v>62.579738505250276</v>
      </c>
      <c r="P70" s="69">
        <v>24.610628081174507</v>
      </c>
      <c r="R70" s="2">
        <f t="array" ref="R70:T70">LINEST(O69:O72,N69:N72^{1,2})</f>
        <v>-1.6762396791323024E-3</v>
      </c>
      <c r="S70" s="2">
        <v>0.12276790013227128</v>
      </c>
      <c r="T70" s="27">
        <v>60.689097244036617</v>
      </c>
      <c r="W70" s="12"/>
      <c r="X70" s="17">
        <f>D67</f>
        <v>42.177563636363637</v>
      </c>
      <c r="Y70" s="13">
        <f>F67</f>
        <v>37.764911609904139</v>
      </c>
    </row>
    <row r="71" spans="3:25" x14ac:dyDescent="0.15">
      <c r="C71" s="12"/>
      <c r="D71" s="67">
        <v>42.68132727272728</v>
      </c>
      <c r="E71" s="68">
        <v>49.836422150407898</v>
      </c>
      <c r="F71" s="69">
        <v>21.073070749514169</v>
      </c>
      <c r="K71" s="24"/>
      <c r="M71" s="12"/>
      <c r="N71" s="67">
        <v>33.798045454545452</v>
      </c>
      <c r="O71" s="68">
        <v>62.978561224871314</v>
      </c>
      <c r="P71" s="69">
        <v>20.989449770999862</v>
      </c>
      <c r="T71" s="24"/>
      <c r="W71" s="12"/>
      <c r="X71" s="17">
        <f>N64</f>
        <v>81.794172727272723</v>
      </c>
      <c r="Y71" s="13">
        <f>P64</f>
        <v>61.609359236476912</v>
      </c>
    </row>
    <row r="72" spans="3:25" x14ac:dyDescent="0.15">
      <c r="C72" s="14"/>
      <c r="D72" s="67">
        <v>31.091018181818189</v>
      </c>
      <c r="E72" s="68">
        <v>49.141774046972884</v>
      </c>
      <c r="F72" s="69">
        <v>18.071598855872615</v>
      </c>
      <c r="K72" s="24"/>
      <c r="M72" s="14"/>
      <c r="N72" s="67">
        <v>21.24609090909091</v>
      </c>
      <c r="O72" s="68">
        <v>62.520601425604632</v>
      </c>
      <c r="P72" s="69">
        <v>17.303475403537568</v>
      </c>
      <c r="T72" s="24"/>
      <c r="W72" s="12"/>
      <c r="X72" s="17">
        <f>N65</f>
        <v>68.961309090909083</v>
      </c>
      <c r="Y72" s="13">
        <f>P65</f>
        <v>55.253225557202001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17">
        <f>N66</f>
        <v>46.599072727272727</v>
      </c>
      <c r="Y73" s="13">
        <f>P66</f>
        <v>44.871075383176873</v>
      </c>
    </row>
    <row r="74" spans="3:25" x14ac:dyDescent="0.15">
      <c r="C74" s="10" t="s">
        <v>12</v>
      </c>
      <c r="D74" s="67">
        <v>31.706209090909095</v>
      </c>
      <c r="E74" s="68">
        <v>38.574210349979992</v>
      </c>
      <c r="F74" s="69">
        <v>7.6542509640036691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28.261327272727272</v>
      </c>
      <c r="O74" s="68">
        <v>50.304556178333428</v>
      </c>
      <c r="P74" s="69">
        <v>7.4176728977971926</v>
      </c>
      <c r="R74" t="s">
        <v>4</v>
      </c>
      <c r="S74" t="s">
        <v>5</v>
      </c>
      <c r="T74" s="24" t="s">
        <v>6</v>
      </c>
      <c r="W74" s="14"/>
      <c r="X74" s="18">
        <f>N67</f>
        <v>29.631227272727273</v>
      </c>
      <c r="Y74" s="15">
        <f>P67</f>
        <v>37.472218612103255</v>
      </c>
    </row>
    <row r="75" spans="3:25" x14ac:dyDescent="0.15">
      <c r="C75" s="12"/>
      <c r="D75" s="67">
        <v>26.826818181818176</v>
      </c>
      <c r="E75" s="68">
        <v>39.350744205332788</v>
      </c>
      <c r="F75" s="69">
        <v>7.0952373016298811</v>
      </c>
      <c r="H75" s="2">
        <f t="array" ref="H75:J75">LINEST(E74:E77,D74:D77^{1,2})</f>
        <v>-1.1004077891536422E-2</v>
      </c>
      <c r="I75" s="2">
        <v>0.62759605543996311</v>
      </c>
      <c r="J75" s="2">
        <v>29.92478120829491</v>
      </c>
      <c r="K75" s="24"/>
      <c r="M75" s="12"/>
      <c r="N75" s="67">
        <v>23.704045454545458</v>
      </c>
      <c r="O75" s="68">
        <v>50.910345390046182</v>
      </c>
      <c r="P75" s="69">
        <v>6.9120341052630758</v>
      </c>
      <c r="R75" s="2">
        <f t="array" ref="R75:T75">LINEST(O74:O77,N74:N77^{1,2})</f>
        <v>-1.095556192538661E-2</v>
      </c>
      <c r="S75" s="2">
        <v>0.4649688341537197</v>
      </c>
      <c r="T75" s="27">
        <v>45.953582600117024</v>
      </c>
      <c r="W75" s="12"/>
      <c r="X75" s="16" t="s">
        <v>13</v>
      </c>
      <c r="Y75" s="11" t="s">
        <v>49</v>
      </c>
    </row>
    <row r="76" spans="3:25" x14ac:dyDescent="0.15">
      <c r="C76" s="12"/>
      <c r="D76" s="67">
        <v>21.224554545454549</v>
      </c>
      <c r="E76" s="68">
        <v>37.7927756489185</v>
      </c>
      <c r="F76" s="69">
        <v>6.4091373237387206</v>
      </c>
      <c r="K76" s="24"/>
      <c r="M76" s="12"/>
      <c r="N76" s="67">
        <v>16.993127272727271</v>
      </c>
      <c r="O76" s="68">
        <v>50.609911956999383</v>
      </c>
      <c r="P76" s="69">
        <v>6.4396716809091377</v>
      </c>
      <c r="T76" s="24"/>
      <c r="W76" s="10" t="s">
        <v>10</v>
      </c>
      <c r="X76" s="19">
        <f>D69</f>
        <v>59.232490909090913</v>
      </c>
      <c r="Y76" s="20">
        <f>F69</f>
        <v>25.417263103473928</v>
      </c>
    </row>
    <row r="77" spans="3:25" x14ac:dyDescent="0.15">
      <c r="C77" s="14"/>
      <c r="D77" s="67">
        <v>16.087663636363636</v>
      </c>
      <c r="E77" s="71">
        <v>37.346744413222602</v>
      </c>
      <c r="F77" s="69">
        <v>6.0005082661815887</v>
      </c>
      <c r="G77" s="25"/>
      <c r="H77" s="25"/>
      <c r="I77" s="25"/>
      <c r="J77" s="25"/>
      <c r="K77" s="26"/>
      <c r="M77" s="14"/>
      <c r="N77" s="67">
        <v>11.464836363636362</v>
      </c>
      <c r="O77" s="71">
        <v>49.874271233326027</v>
      </c>
      <c r="P77" s="69">
        <v>6.1312138558419154</v>
      </c>
      <c r="Q77" s="25"/>
      <c r="R77" s="25"/>
      <c r="S77" s="25"/>
      <c r="T77" s="26"/>
      <c r="W77" s="12"/>
      <c r="X77" s="17">
        <f t="shared" ref="X77" si="14">D70</f>
        <v>52.589927272727273</v>
      </c>
      <c r="Y77" s="13">
        <f>F70</f>
        <v>24.344285214676759</v>
      </c>
    </row>
    <row r="78" spans="3:25" x14ac:dyDescent="0.15">
      <c r="W78" s="12"/>
      <c r="X78" s="17">
        <f>D72</f>
        <v>31.091018181818189</v>
      </c>
      <c r="Y78" s="13">
        <f>F72</f>
        <v>18.071598855872615</v>
      </c>
    </row>
    <row r="79" spans="3:25" x14ac:dyDescent="0.15">
      <c r="F79" s="5"/>
      <c r="W79" s="12"/>
      <c r="X79" s="17">
        <f>N69</f>
        <v>57.921581818181828</v>
      </c>
      <c r="Y79" s="13">
        <f>P69</f>
        <v>26.864447987055424</v>
      </c>
    </row>
    <row r="80" spans="3:25" x14ac:dyDescent="0.15">
      <c r="F80" s="5"/>
      <c r="W80" s="12"/>
      <c r="X80" s="17">
        <f>N70</f>
        <v>49.687200000000004</v>
      </c>
      <c r="Y80" s="13">
        <f>P70</f>
        <v>24.610628081174507</v>
      </c>
    </row>
    <row r="81" spans="6:25" x14ac:dyDescent="0.15">
      <c r="F81" s="5"/>
      <c r="W81" s="12"/>
      <c r="X81" s="17">
        <f>N71</f>
        <v>33.798045454545452</v>
      </c>
      <c r="Y81" s="13">
        <f>P71</f>
        <v>20.989449770999862</v>
      </c>
    </row>
    <row r="82" spans="6:25" x14ac:dyDescent="0.15">
      <c r="F82" s="5"/>
      <c r="W82" s="14"/>
      <c r="X82" s="18">
        <f>N72</f>
        <v>21.24609090909091</v>
      </c>
      <c r="Y82" s="15">
        <f>P72</f>
        <v>17.303475403537568</v>
      </c>
    </row>
    <row r="83" spans="6:25" x14ac:dyDescent="0.15">
      <c r="W83" s="12"/>
      <c r="X83" s="16" t="s">
        <v>13</v>
      </c>
      <c r="Y83" s="11" t="s">
        <v>49</v>
      </c>
    </row>
    <row r="84" spans="6:25" x14ac:dyDescent="0.15">
      <c r="W84" s="10" t="s">
        <v>12</v>
      </c>
      <c r="X84" s="19">
        <f>D74</f>
        <v>31.706209090909095</v>
      </c>
      <c r="Y84" s="20">
        <f>F74</f>
        <v>7.6542509640036691</v>
      </c>
    </row>
    <row r="85" spans="6:25" x14ac:dyDescent="0.15">
      <c r="W85" s="12"/>
      <c r="X85" s="17">
        <f t="shared" ref="X85:X86" si="15">D75</f>
        <v>26.826818181818176</v>
      </c>
      <c r="Y85" s="13">
        <f>F75</f>
        <v>7.0952373016298811</v>
      </c>
    </row>
    <row r="86" spans="6:25" x14ac:dyDescent="0.15">
      <c r="W86" s="12"/>
      <c r="X86" s="17">
        <f t="shared" si="15"/>
        <v>21.224554545454549</v>
      </c>
      <c r="Y86" s="13">
        <f>F76</f>
        <v>6.4091373237387206</v>
      </c>
    </row>
    <row r="87" spans="6:25" x14ac:dyDescent="0.15">
      <c r="F87" s="5"/>
      <c r="W87" s="12"/>
      <c r="X87" s="17">
        <f>N74</f>
        <v>28.261327272727272</v>
      </c>
      <c r="Y87" s="13">
        <f>P74</f>
        <v>7.4176728977971926</v>
      </c>
    </row>
    <row r="88" spans="6:25" x14ac:dyDescent="0.15">
      <c r="F88" s="5"/>
      <c r="W88" s="12"/>
      <c r="X88" s="17">
        <f t="shared" ref="X88:X90" si="16">N75</f>
        <v>23.704045454545458</v>
      </c>
      <c r="Y88" s="13">
        <f>P75</f>
        <v>6.9120341052630758</v>
      </c>
    </row>
    <row r="89" spans="6:25" x14ac:dyDescent="0.15">
      <c r="F89" s="5"/>
      <c r="W89" s="12"/>
      <c r="X89" s="17">
        <f t="shared" si="16"/>
        <v>16.993127272727271</v>
      </c>
      <c r="Y89" s="13">
        <f>P76</f>
        <v>6.4396716809091377</v>
      </c>
    </row>
    <row r="90" spans="6:25" x14ac:dyDescent="0.15">
      <c r="F90" s="5"/>
      <c r="W90" s="14"/>
      <c r="X90" s="18">
        <f t="shared" si="16"/>
        <v>11.464836363636362</v>
      </c>
      <c r="Y90" s="15">
        <f>P77</f>
        <v>6.1312138558419154</v>
      </c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31EE4-9C89-4AD7-B415-73AF2FA740D4}">
  <sheetPr codeName="Taul21"/>
  <dimension ref="B3:W49"/>
  <sheetViews>
    <sheetView workbookViewId="0">
      <selection activeCell="D28" sqref="D28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Tulokset!E24</f>
        <v>4.8478786723976857</v>
      </c>
      <c r="D4" t="s">
        <v>25</v>
      </c>
    </row>
    <row r="5" spans="2:7" x14ac:dyDescent="0.15">
      <c r="B5" t="s">
        <v>8</v>
      </c>
      <c r="C5" s="3">
        <f>Tulokset!H24</f>
        <v>4.3326553262786769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80</v>
      </c>
      <c r="C12" s="107">
        <v>7.6565049371440148</v>
      </c>
      <c r="D12" s="107">
        <v>31.928822753619976</v>
      </c>
    </row>
    <row r="13" spans="2:7" x14ac:dyDescent="0.15">
      <c r="B13" t="s">
        <v>81</v>
      </c>
      <c r="C13" s="107">
        <v>26.329228187200453</v>
      </c>
      <c r="D13" s="107">
        <v>-5.5042062290429712</v>
      </c>
    </row>
    <row r="15" spans="2:7" x14ac:dyDescent="0.15">
      <c r="B15" t="s">
        <v>91</v>
      </c>
      <c r="C15" s="3">
        <f>MAX(C4,C5)</f>
        <v>4.8478786723976857</v>
      </c>
      <c r="D15" t="s">
        <v>25</v>
      </c>
      <c r="E15" s="82" t="s">
        <v>42</v>
      </c>
      <c r="F15" s="5">
        <f>IF(C15&gt;7.5,C12*LN(C15)+D12,C13*LN(C15)+D13)</f>
        <v>36.057565811405397</v>
      </c>
      <c r="G15" t="s">
        <v>31</v>
      </c>
    </row>
    <row r="16" spans="2:7" x14ac:dyDescent="0.15">
      <c r="B16" t="s">
        <v>92</v>
      </c>
      <c r="C16" s="79">
        <f>(2*MAX(C4,C5)+MIN(C4,C5))/3</f>
        <v>4.6761375570246821</v>
      </c>
      <c r="D16" t="s">
        <v>25</v>
      </c>
      <c r="E16" s="82" t="s">
        <v>42</v>
      </c>
      <c r="F16" s="5">
        <f>IF(C16&gt;7.5,C12*LN(C16)+D12,C13*LN(C16)+D13)</f>
        <v>35.107903165072415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Tulostus!N54</f>
        <v>49.966638054503562</v>
      </c>
      <c r="E21" t="s">
        <v>31</v>
      </c>
    </row>
    <row r="22" spans="2:5" x14ac:dyDescent="0.15">
      <c r="B22" s="25"/>
      <c r="C22" s="25" t="s">
        <v>8</v>
      </c>
      <c r="D22" s="81">
        <f>Tulostus!N55</f>
        <v>48.666327398220631</v>
      </c>
      <c r="E22" t="s">
        <v>31</v>
      </c>
    </row>
    <row r="23" spans="2:5" x14ac:dyDescent="0.15">
      <c r="C23" t="s">
        <v>87</v>
      </c>
      <c r="D23" s="3">
        <f>ABS(D21-D22)</f>
        <v>1.3003106562829316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Tulostus!N53</f>
        <v>60.554075562111798</v>
      </c>
      <c r="E25" t="s">
        <v>31</v>
      </c>
    </row>
    <row r="26" spans="2:5" x14ac:dyDescent="0.15">
      <c r="B26" s="25"/>
      <c r="C26" s="25" t="s">
        <v>57</v>
      </c>
      <c r="D26" s="81">
        <f>Tulostus!N56</f>
        <v>58.69453842504565</v>
      </c>
      <c r="E26" t="s">
        <v>31</v>
      </c>
    </row>
    <row r="27" spans="2:5" x14ac:dyDescent="0.15">
      <c r="C27" t="s">
        <v>87</v>
      </c>
      <c r="D27" s="3">
        <f>ABS(D25-D26)</f>
        <v>1.8595371370661482</v>
      </c>
      <c r="E27" t="s">
        <v>31</v>
      </c>
    </row>
    <row r="29" spans="2:5" x14ac:dyDescent="0.15">
      <c r="B29" t="s">
        <v>94</v>
      </c>
      <c r="C29" s="3">
        <f>AVERAGE(D27,D23)</f>
        <v>1.5799238966745399</v>
      </c>
      <c r="D29" t="s">
        <v>31</v>
      </c>
    </row>
    <row r="30" spans="2:5" x14ac:dyDescent="0.15">
      <c r="B30" t="s">
        <v>93</v>
      </c>
      <c r="C30" s="3">
        <f>-10*LOG10((1-10^(-C29/10)))-3</f>
        <v>2.1575213231084573</v>
      </c>
      <c r="D30" t="s">
        <v>31</v>
      </c>
    </row>
    <row r="32" spans="2:5" x14ac:dyDescent="0.15">
      <c r="B32" t="s">
        <v>83</v>
      </c>
      <c r="C32" s="3">
        <f>F15+C30</f>
        <v>38.215087134513851</v>
      </c>
      <c r="D32" t="s">
        <v>31</v>
      </c>
    </row>
    <row r="33" spans="2:23" x14ac:dyDescent="0.15">
      <c r="B33" t="s">
        <v>95</v>
      </c>
      <c r="C33" s="3">
        <f>F15-2.6</f>
        <v>33.457565811405395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35.107903165072415</v>
      </c>
      <c r="D35" s="2" t="s">
        <v>31</v>
      </c>
      <c r="F35" s="5">
        <f>C35+10*LOG10(4/10)</f>
        <v>31.12850307835204</v>
      </c>
      <c r="G35" s="5">
        <f>C35+10*LOG10(4/2.5)</f>
        <v>37.149102991631665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15</v>
      </c>
      <c r="D39" s="85">
        <v>10</v>
      </c>
      <c r="E39" s="85">
        <v>5</v>
      </c>
      <c r="F39" s="85">
        <v>-5</v>
      </c>
      <c r="G39" s="85">
        <v>-14</v>
      </c>
      <c r="H39" s="85">
        <v>-20</v>
      </c>
      <c r="I39" s="85">
        <v>-26</v>
      </c>
      <c r="J39" s="85">
        <v>-30</v>
      </c>
      <c r="K39" s="87" t="s">
        <v>42</v>
      </c>
      <c r="L39" s="86">
        <f>$C$35+C39</f>
        <v>50.107903165072415</v>
      </c>
      <c r="M39" s="86">
        <f t="shared" ref="M39:S39" si="0">$C$35+D39</f>
        <v>45.107903165072415</v>
      </c>
      <c r="N39" s="86">
        <f t="shared" si="0"/>
        <v>40.107903165072415</v>
      </c>
      <c r="O39" s="86">
        <f t="shared" si="0"/>
        <v>30.107903165072415</v>
      </c>
      <c r="P39" s="86">
        <f t="shared" si="0"/>
        <v>21.107903165072415</v>
      </c>
      <c r="Q39" s="86">
        <f t="shared" si="0"/>
        <v>15.107903165072415</v>
      </c>
      <c r="R39" s="86">
        <f t="shared" si="0"/>
        <v>9.1079031650724147</v>
      </c>
      <c r="S39" s="86">
        <f t="shared" si="0"/>
        <v>5.1079031650724147</v>
      </c>
      <c r="T39" s="5">
        <f t="array" ref="T39">10*LOG10(SUM(10^(L39:S39/10)))</f>
        <v>51.654923605038931</v>
      </c>
      <c r="U39" s="5">
        <f t="array" ref="U39">10*LOG10(SUM(10^((L39:S39+L41:S41)/10)))</f>
        <v>34.958269701739837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7B14A-EB3E-4DD3-B6EE-8A6ACB78422D}">
  <sheetPr codeName="Taul22"/>
  <dimension ref="C2:AU99"/>
  <sheetViews>
    <sheetView topLeftCell="J1" zoomScale="70" zoomScaleNormal="70" workbookViewId="0">
      <selection activeCell="AM20" sqref="AM20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Tulostus!$E$33</f>
        <v>40</v>
      </c>
      <c r="K3" t="s">
        <v>13</v>
      </c>
      <c r="L3" s="7">
        <f>Tulostus!$E$39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13.301709380178954</v>
      </c>
      <c r="Q5" s="52">
        <v>-4.9404060432359387</v>
      </c>
      <c r="R5" t="s">
        <v>28</v>
      </c>
      <c r="S5" s="9">
        <f>$P$5*LN($J$3)+$Q$5</f>
        <v>44.127996393900823</v>
      </c>
      <c r="T5" t="s">
        <v>31</v>
      </c>
      <c r="U5" s="39" t="s">
        <v>42</v>
      </c>
      <c r="V5" s="32" t="s">
        <v>28</v>
      </c>
      <c r="W5" s="9">
        <f>IF($J$3&gt;$AC$35,S5,IF($J$3&lt;$AC$36,S6,AVERAGE(S5:S6)))</f>
        <v>40.858202443542446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19.428578137272158</v>
      </c>
      <c r="Q6" s="52">
        <v>-30.811480269688026</v>
      </c>
      <c r="R6" t="s">
        <v>28</v>
      </c>
      <c r="S6" s="9">
        <f>$P$6*LN($J$3)+$Q$6</f>
        <v>40.858202443542446</v>
      </c>
      <c r="T6" t="s">
        <v>31</v>
      </c>
      <c r="U6" s="39"/>
      <c r="AA6" s="55">
        <v>60</v>
      </c>
      <c r="AB6" s="56">
        <f t="shared" ref="AB6:AB12" si="0">(-$D$9-SQRT($D$9^2-(4*$C$9*($E$9-AA6))))/(2*$C$9)</f>
        <v>163.27621827727629</v>
      </c>
      <c r="AC6" s="55">
        <v>40</v>
      </c>
      <c r="AD6" s="57">
        <f t="shared" ref="AD6:AD12" si="1">(-$D$14-SQRT($D$14^2-(4*$C$14*($E$14-AC6))))/(2*$C$14)</f>
        <v>119.61125525000722</v>
      </c>
      <c r="AE6" s="55">
        <v>25</v>
      </c>
      <c r="AF6" s="57">
        <f t="shared" ref="AF6:AF11" si="2">(-$D$19-SQRT($D$19^2-(4*$C$19*($E$19-AE6))))/(2*$C$19)</f>
        <v>85.871546877565663</v>
      </c>
      <c r="AG6" s="56">
        <v>10</v>
      </c>
      <c r="AH6" s="57">
        <f>(-$D$24-SQRT($D$24^2-(4*$C$24*($E$24-AG6))))/(2*$C$24)</f>
        <v>45.102913284775056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155.01781265788924</v>
      </c>
      <c r="AC7" s="55">
        <v>50</v>
      </c>
      <c r="AD7" s="57">
        <f t="shared" si="1"/>
        <v>117.54420481108893</v>
      </c>
      <c r="AE7" s="55">
        <v>40</v>
      </c>
      <c r="AF7" s="57">
        <f t="shared" si="2"/>
        <v>82.320877538980454</v>
      </c>
      <c r="AG7" s="56">
        <v>20</v>
      </c>
      <c r="AH7" s="57">
        <f>(-$D$24-SQRT($D$24^2-(4*$C$24*($E$24-AG7))))/(2*$C$24)</f>
        <v>41.773612621820391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18.202317699629962</v>
      </c>
      <c r="Q8" s="52">
        <v>-14.481538981738538</v>
      </c>
      <c r="R8" t="s">
        <v>7</v>
      </c>
      <c r="S8" s="9">
        <f>$P$8*LN($J$3)+$Q$8</f>
        <v>52.664616797680878</v>
      </c>
      <c r="T8" t="s">
        <v>31</v>
      </c>
      <c r="U8" s="39" t="s">
        <v>43</v>
      </c>
      <c r="V8" t="s">
        <v>7</v>
      </c>
      <c r="W8" s="9">
        <f>IF($J$3&gt;$AC$35,S8,IF($J$3&lt;$AC$36,S9,AVERAGE(S8:S9)))</f>
        <v>52.294183204364593</v>
      </c>
      <c r="X8" t="s">
        <v>31</v>
      </c>
      <c r="AA8" s="55">
        <v>190</v>
      </c>
      <c r="AB8" s="56">
        <f t="shared" si="0"/>
        <v>145.37230967576792</v>
      </c>
      <c r="AC8" s="55">
        <v>100</v>
      </c>
      <c r="AD8" s="57">
        <f t="shared" si="1"/>
        <v>107.51569663316263</v>
      </c>
      <c r="AE8" s="55">
        <v>60</v>
      </c>
      <c r="AF8" s="57">
        <f t="shared" si="2"/>
        <v>77.614114597794</v>
      </c>
      <c r="AG8" s="56">
        <v>25</v>
      </c>
      <c r="AH8" s="57">
        <f>(-$D$24-SQRT($D$24^2-(4*$C$24*($E$24-AG8))))/(2*$C$24)</f>
        <v>40.043863570173315</v>
      </c>
    </row>
    <row r="9" spans="3:34" x14ac:dyDescent="0.15">
      <c r="C9" s="8">
        <v>-4.5000880006631935E-4</v>
      </c>
      <c r="D9" s="8">
        <v>-7.1220897873912508</v>
      </c>
      <c r="E9" s="8">
        <v>1234.8647268732273</v>
      </c>
      <c r="H9" s="2"/>
      <c r="O9" t="s">
        <v>135</v>
      </c>
      <c r="P9" s="52">
        <f t="array" ref="P9:Q9">LINEST(AG35:AG37,LN(AC35:AC37))</f>
        <v>18.857947132661948</v>
      </c>
      <c r="Q9" s="52">
        <v>-17.270510520078879</v>
      </c>
      <c r="R9" t="s">
        <v>7</v>
      </c>
      <c r="S9" s="9">
        <f>$P$9*LN($J$3)+$Q$9</f>
        <v>52.294183204364593</v>
      </c>
      <c r="T9" t="s">
        <v>31</v>
      </c>
      <c r="AA9" s="55">
        <v>250</v>
      </c>
      <c r="AB9" s="56">
        <f t="shared" si="0"/>
        <v>137.09553750932855</v>
      </c>
      <c r="AC9" s="55">
        <v>150</v>
      </c>
      <c r="AD9" s="57">
        <f t="shared" si="1"/>
        <v>97.947292697105993</v>
      </c>
      <c r="AE9" s="55">
        <v>80</v>
      </c>
      <c r="AF9" s="57">
        <f t="shared" si="2"/>
        <v>72.938172794171322</v>
      </c>
      <c r="AG9" s="56">
        <v>30</v>
      </c>
      <c r="AH9" s="57">
        <f>(-$D$24-SQRT($D$24^2-(4*$C$24*($E$24-AG9))))/(2*$C$24)</f>
        <v>38.265905843604642</v>
      </c>
    </row>
    <row r="10" spans="3:34" x14ac:dyDescent="0.15">
      <c r="C10" s="2"/>
      <c r="D10" s="2"/>
      <c r="E10" s="2"/>
      <c r="H10" s="2"/>
      <c r="V10" t="s">
        <v>144</v>
      </c>
      <c r="W10">
        <v>180</v>
      </c>
      <c r="AA10" s="55">
        <v>320</v>
      </c>
      <c r="AB10" s="56">
        <f t="shared" si="0"/>
        <v>127.42853528220249</v>
      </c>
      <c r="AC10" s="55">
        <v>170</v>
      </c>
      <c r="AD10" s="57">
        <f t="shared" si="1"/>
        <v>94.235341332553887</v>
      </c>
      <c r="AE10" s="55">
        <v>100</v>
      </c>
      <c r="AF10" s="57">
        <f t="shared" si="2"/>
        <v>68.292454467686269</v>
      </c>
      <c r="AG10" s="56">
        <v>50</v>
      </c>
      <c r="AH10" s="57">
        <f>(-$D$24-SQRT($D$24^2-(4*$C$24*($E$24-AG10))))/(2*$C$24)</f>
        <v>30.575525636930571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142</v>
      </c>
      <c r="W11">
        <v>600</v>
      </c>
      <c r="X11" t="s">
        <v>14</v>
      </c>
      <c r="AA11" s="55">
        <v>350</v>
      </c>
      <c r="AB11" s="56">
        <f t="shared" si="0"/>
        <v>123.28197466777817</v>
      </c>
      <c r="AC11" s="55">
        <v>190</v>
      </c>
      <c r="AD11" s="57">
        <f t="shared" si="1"/>
        <v>90.584425650551594</v>
      </c>
      <c r="AE11" s="55">
        <v>130</v>
      </c>
      <c r="AF11" s="57">
        <f t="shared" si="2"/>
        <v>61.379285336312044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7.0804769901046907E-2</v>
      </c>
      <c r="S12" s="51">
        <v>0.5245401737421771</v>
      </c>
      <c r="U12" s="39" t="s">
        <v>42</v>
      </c>
      <c r="V12" t="s">
        <v>44</v>
      </c>
      <c r="W12" s="9">
        <f>Q14*J3^2+R14*J3+S14</f>
        <v>3.3567309697840533</v>
      </c>
      <c r="X12" t="s">
        <v>25</v>
      </c>
      <c r="Y12" t="str">
        <f>IF(W12&gt;10,"Ei käyttöalueella","OK")</f>
        <v>OK</v>
      </c>
      <c r="AA12" s="58">
        <v>420</v>
      </c>
      <c r="AB12" s="59">
        <f t="shared" si="0"/>
        <v>113.59833638037064</v>
      </c>
      <c r="AC12" s="58">
        <v>240</v>
      </c>
      <c r="AD12" s="60">
        <f t="shared" si="1"/>
        <v>81.705583352655495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0.11597402964097189</v>
      </c>
      <c r="S13" s="51">
        <v>-3.3095751447063186</v>
      </c>
      <c r="W13" t="b">
        <f>IF(AND(W12&lt;=10.01,Tulostus!E33&gt;=W14,AD34&lt;W11,J3&lt;W10),TRUE,FALSE)</f>
        <v>1</v>
      </c>
    </row>
    <row r="14" spans="3:34" x14ac:dyDescent="0.15">
      <c r="C14" s="8">
        <v>1.2233839049719407E-2</v>
      </c>
      <c r="D14" s="8">
        <v>-7.7391330421459861</v>
      </c>
      <c r="E14" s="8">
        <v>790.65968836250443</v>
      </c>
      <c r="H14" s="2"/>
      <c r="P14" t="s">
        <v>21</v>
      </c>
      <c r="Q14" s="54">
        <f>IF($J$3&gt;$AC$35,Q13,Q12)</f>
        <v>0</v>
      </c>
      <c r="R14" s="54">
        <f>IF($J$3&gt;$AC$35,R13,R12)</f>
        <v>7.0804769901046907E-2</v>
      </c>
      <c r="S14" s="54">
        <f>IF($J$3&gt;$AC$35,S13,S12)</f>
        <v>0.5245401737421771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44</v>
      </c>
      <c r="W16" s="9">
        <f>$P$18*J3^2+$Q$18*J3+$R$18</f>
        <v>14.57939135094486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14.57939135094486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1.9579787459635286E-2</v>
      </c>
      <c r="Q18" s="51">
        <v>-0.99095372227807399</v>
      </c>
      <c r="R18" s="51">
        <v>22.889880306651364</v>
      </c>
    </row>
    <row r="19" spans="3:38" x14ac:dyDescent="0.15">
      <c r="C19" s="8">
        <v>2.9851020773320486E-3</v>
      </c>
      <c r="D19" s="8">
        <v>-4.7266271447957822</v>
      </c>
      <c r="E19" s="8">
        <v>408.87087287577282</v>
      </c>
      <c r="V19" t="s">
        <v>58</v>
      </c>
      <c r="W19">
        <f>'Laskenta poistopuoli 60'!W14</f>
        <v>14.606785358742272</v>
      </c>
      <c r="AB19" s="6"/>
      <c r="AC19" s="6"/>
    </row>
    <row r="20" spans="3:38" x14ac:dyDescent="0.15">
      <c r="C20" s="2"/>
      <c r="D20" s="2"/>
      <c r="E20" s="2"/>
      <c r="H20" s="1"/>
      <c r="V20" t="s">
        <v>73</v>
      </c>
      <c r="W20">
        <v>3</v>
      </c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 t="s">
        <v>74</v>
      </c>
      <c r="W22" s="77">
        <f>W16+W19+W20</f>
        <v>32.186176709687132</v>
      </c>
      <c r="X22" s="75" t="s">
        <v>49</v>
      </c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  <c r="V23" t="s">
        <v>78</v>
      </c>
      <c r="W23">
        <f>MAX(J3,'Laskenta poistopuoli 60'!J3)</f>
        <v>40</v>
      </c>
      <c r="X23" t="s">
        <v>13</v>
      </c>
    </row>
    <row r="24" spans="3:38" ht="15" x14ac:dyDescent="0.15">
      <c r="C24" s="8">
        <v>-2.2344332475586929E-2</v>
      </c>
      <c r="D24" s="8">
        <v>-1.0624358203345938</v>
      </c>
      <c r="E24" s="8">
        <v>103.37341816890566</v>
      </c>
      <c r="H24" s="1"/>
      <c r="V24" t="s">
        <v>75</v>
      </c>
      <c r="W24">
        <f>W22/W23</f>
        <v>0.80465441774217827</v>
      </c>
      <c r="X24" t="s">
        <v>77</v>
      </c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3.125E-2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-4.5000880006631935E-4</v>
      </c>
      <c r="W34" s="99">
        <f>D9</f>
        <v>-7.1220897873912508</v>
      </c>
      <c r="X34" s="100">
        <f>E9</f>
        <v>1234.8647268732273</v>
      </c>
      <c r="Y34" s="36">
        <f>C9-U29</f>
        <v>-3.170000880006632E-2</v>
      </c>
      <c r="Z34" s="28">
        <f>(-W34+SQRT(W34^2-(4*Y34*X34)))/(2*Y34)</f>
        <v>-339.43495002910572</v>
      </c>
      <c r="AA34" s="29">
        <f>(-W34-SQRT(W34^2-(4*Y34*X34)))/(2*Y34)</f>
        <v>114.76341027305519</v>
      </c>
      <c r="AB34" s="36">
        <f>AB6</f>
        <v>163.27621827727629</v>
      </c>
      <c r="AC34" s="53">
        <f>IF(Z34&lt;0,AA34,IF(Z34&gt;AB34,AA34,Z34))</f>
        <v>114.76341027305519</v>
      </c>
      <c r="AD34" s="53">
        <f>V34*AC34^2+W34*AC34+X34</f>
        <v>411.5825105469246</v>
      </c>
      <c r="AE34" s="53">
        <f>AB83*AC34^2+AC83*AC34+AD83</f>
        <v>167.17425415769452</v>
      </c>
      <c r="AF34" s="53">
        <f>$H$60*AC34^2+$I$60*AC34+$J$60</f>
        <v>57.414798783819847</v>
      </c>
      <c r="AG34" s="53">
        <f>$R$60*AC34^2+$S$60*AC34+$T$60</f>
        <v>71.796634316383717</v>
      </c>
      <c r="AI34">
        <v>10</v>
      </c>
      <c r="AJ34" s="3">
        <f>AC34</f>
        <v>114.76341027305519</v>
      </c>
      <c r="AL34" s="618">
        <f>AC34/$J$3-1</f>
        <v>1.8690852568263798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7.0804769901046907E-2</v>
      </c>
      <c r="AU34" s="213">
        <f t="shared" si="3"/>
        <v>0.5245401737421771</v>
      </c>
    </row>
    <row r="35" spans="21:47" x14ac:dyDescent="0.15">
      <c r="U35" s="35">
        <v>6.5</v>
      </c>
      <c r="V35" s="98">
        <f>C14</f>
        <v>1.2233839049719407E-2</v>
      </c>
      <c r="W35" s="99">
        <f>D14</f>
        <v>-7.7391330421459861</v>
      </c>
      <c r="X35" s="100">
        <f>E14</f>
        <v>790.65968836250443</v>
      </c>
      <c r="Y35" s="36">
        <f>C14-U29</f>
        <v>-1.9016160950280594E-2</v>
      </c>
      <c r="Z35" s="28">
        <f t="shared" ref="Z35:Z37" si="4">(-W35+SQRT(W35^2-(4*Y35*X35)))/(2*Y35)</f>
        <v>-491.56086690056668</v>
      </c>
      <c r="AA35" s="29">
        <f t="shared" ref="AA35:AA37" si="5">(-W35-SQRT(W35^2-(4*Y35*X35)))/(2*Y35)</f>
        <v>84.584239894694008</v>
      </c>
      <c r="AB35" s="36">
        <f>AD6</f>
        <v>119.61125525000722</v>
      </c>
      <c r="AC35" s="53">
        <f t="shared" ref="AC35:AC37" si="6">IF(Z35&lt;0,AA35,IF(Z35&gt;AB35,AA35,Z35))</f>
        <v>84.584239894694008</v>
      </c>
      <c r="AD35" s="53">
        <f>V35*AC35^2+W35*AC35+X35</f>
        <v>223.57792620509827</v>
      </c>
      <c r="AE35" s="53">
        <f>AB84*AC35^2+AC84*AC35+AD84</f>
        <v>78.649240678363086</v>
      </c>
      <c r="AF35" s="53">
        <f>$H$65*AC35^2+$I$65*AC35+$J$65</f>
        <v>55.576253253235848</v>
      </c>
      <c r="AG35" s="53">
        <f>$R$65*AC35^2+$S$65*AC35+$T$65</f>
        <v>66.403471419243758</v>
      </c>
      <c r="AI35">
        <v>6.5</v>
      </c>
      <c r="AJ35" s="3">
        <f>AC35</f>
        <v>84.584239894694008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2.9851020773320486E-3</v>
      </c>
      <c r="W36" s="99">
        <f>D19</f>
        <v>-4.7266271447957822</v>
      </c>
      <c r="X36" s="100">
        <f>E19</f>
        <v>408.87087287577282</v>
      </c>
      <c r="Y36" s="36">
        <f>C19-U29</f>
        <v>-2.8264897922667953E-2</v>
      </c>
      <c r="Z36" s="28">
        <f t="shared" si="4"/>
        <v>-230.09447038965473</v>
      </c>
      <c r="AA36" s="29">
        <f t="shared" si="5"/>
        <v>62.868423519515112</v>
      </c>
      <c r="AB36" s="36">
        <f>AF6</f>
        <v>85.871546877565663</v>
      </c>
      <c r="AC36" s="53">
        <f t="shared" si="6"/>
        <v>62.868423519515112</v>
      </c>
      <c r="AD36" s="53">
        <f>V36*AC36^2+W36*AC36+X36</f>
        <v>123.51370861966018</v>
      </c>
      <c r="AE36" s="53">
        <f>AB85*AC36^2+AC85*AC36+AD85</f>
        <v>38.501566877280268</v>
      </c>
      <c r="AF36" s="53">
        <f>$H$70*AC36^2+$I$70*AC36+$J$70</f>
        <v>49.388642048660827</v>
      </c>
      <c r="AG36" s="53">
        <f>$R$70*AC36^2+$S$70*AC36+$T$70</f>
        <v>60.840450361330213</v>
      </c>
      <c r="AI36">
        <f>AVERAGE(AI35,AI37)</f>
        <v>5.75</v>
      </c>
      <c r="AJ36">
        <f>AVERAGE(AJ35,AJ37)</f>
        <v>73.726331707104563</v>
      </c>
      <c r="AL36" s="611">
        <f>Tulokset!$CR$16</f>
        <v>48</v>
      </c>
      <c r="AM36" t="s">
        <v>13</v>
      </c>
      <c r="AO36" s="619">
        <f>AS34*AL36^2+AT34*AL36+AU34</f>
        <v>3.9231691289924289</v>
      </c>
      <c r="AP36" t="s">
        <v>25</v>
      </c>
    </row>
    <row r="37" spans="21:47" x14ac:dyDescent="0.15">
      <c r="U37" s="38">
        <v>3</v>
      </c>
      <c r="V37" s="101">
        <f>C24</f>
        <v>-2.2344332475586929E-2</v>
      </c>
      <c r="W37" s="102">
        <f>D24</f>
        <v>-1.0624358203345938</v>
      </c>
      <c r="X37" s="103">
        <f>E24</f>
        <v>103.37341816890566</v>
      </c>
      <c r="Y37" s="37">
        <f>C24-U29</f>
        <v>-5.3594332475586925E-2</v>
      </c>
      <c r="Z37" s="30">
        <f t="shared" si="4"/>
        <v>-54.934678252673805</v>
      </c>
      <c r="AA37" s="31">
        <f t="shared" si="5"/>
        <v>35.11101833828733</v>
      </c>
      <c r="AB37" s="37">
        <f>AH6</f>
        <v>45.102913284775056</v>
      </c>
      <c r="AC37" s="53">
        <f t="shared" si="6"/>
        <v>35.11101833828733</v>
      </c>
      <c r="AD37" s="53">
        <f>V37*AC37^2+W37*AC37+X37</f>
        <v>38.524487773485902</v>
      </c>
      <c r="AE37" s="53">
        <f>AB86*AC37^2+AC86*AC37+AD86</f>
        <v>12.084424539445212</v>
      </c>
      <c r="AF37" s="53">
        <f>$H$75*AC37^2+$I$75*AC37+$J$75</f>
        <v>38.411280934164061</v>
      </c>
      <c r="AG37" s="53">
        <f>$R$75*AC37^2+$S$75*AC37+$T$75</f>
        <v>49.829240028815313</v>
      </c>
      <c r="AI37">
        <v>5</v>
      </c>
      <c r="AJ37" s="3">
        <f>AC36</f>
        <v>62.868423519515112</v>
      </c>
      <c r="AL37" s="611">
        <f>Tulokset!$CR$17</f>
        <v>72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48.989720928901221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35.11101833828733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26</v>
      </c>
      <c r="V42" s="21"/>
      <c r="W42" s="86">
        <f>W49</f>
        <v>17.350315113104458</v>
      </c>
      <c r="X42" s="86">
        <f t="shared" ref="X42:AD42" si="7">X49</f>
        <v>10.630788748907307</v>
      </c>
      <c r="Y42" s="86">
        <f t="shared" si="7"/>
        <v>5.098929410533886</v>
      </c>
      <c r="Z42" s="86">
        <f t="shared" si="7"/>
        <v>-4.4664152942253494</v>
      </c>
      <c r="AA42" s="86">
        <f t="shared" si="7"/>
        <v>-18.988088587428464</v>
      </c>
      <c r="AB42" s="86">
        <f t="shared" si="7"/>
        <v>-23.738381230041611</v>
      </c>
      <c r="AC42" s="86">
        <f t="shared" si="7"/>
        <v>-30</v>
      </c>
      <c r="AD42" s="86">
        <f t="shared" si="7"/>
        <v>-35</v>
      </c>
      <c r="AG42" s="39" t="s">
        <v>42</v>
      </c>
      <c r="AH42" s="53">
        <f t="shared" ref="AH42:AO42" si="8">$S$5+W42</f>
        <v>61.47831150700528</v>
      </c>
      <c r="AI42" s="53">
        <f t="shared" si="8"/>
        <v>54.758785142808129</v>
      </c>
      <c r="AJ42" s="53">
        <f t="shared" si="8"/>
        <v>49.226925804434707</v>
      </c>
      <c r="AK42" s="53">
        <f t="shared" si="8"/>
        <v>39.661581099675473</v>
      </c>
      <c r="AL42" s="53">
        <f t="shared" si="8"/>
        <v>25.139907806472358</v>
      </c>
      <c r="AM42" s="53">
        <f t="shared" si="8"/>
        <v>20.389615163859212</v>
      </c>
      <c r="AN42" s="53">
        <f t="shared" si="8"/>
        <v>14.127996393900823</v>
      </c>
      <c r="AO42" s="53">
        <f t="shared" si="8"/>
        <v>9.1279963939008226</v>
      </c>
      <c r="AP42" s="5">
        <f t="array" ref="AP42">10*LOG10(SUM(10^(AH42:AO42/10)))</f>
        <v>62.548036426445641</v>
      </c>
      <c r="AQ42" s="5">
        <f t="array" ref="AQ42">10*LOG10(SUM(10^((AH42:AO42+AH45:AO45)/10)))</f>
        <v>44.346452494857154</v>
      </c>
      <c r="AR42" t="str">
        <f>IF(ABS(W5-AQ42)&lt;0.5,"OK","Tarkista laskenta!")</f>
        <v>Tarkista laskenta!</v>
      </c>
    </row>
    <row r="43" spans="21:47" x14ac:dyDescent="0.15">
      <c r="U43" s="14" t="s">
        <v>29</v>
      </c>
      <c r="V43" s="26"/>
      <c r="W43" s="86">
        <f>W55</f>
        <v>11.084563387587638</v>
      </c>
      <c r="X43" s="86">
        <f t="shared" ref="X43:AD43" si="9">X55</f>
        <v>10.126110834418219</v>
      </c>
      <c r="Y43" s="86">
        <f t="shared" si="9"/>
        <v>5.509035760924311</v>
      </c>
      <c r="Z43" s="86">
        <f t="shared" si="9"/>
        <v>-4.322820012855491</v>
      </c>
      <c r="AA43" s="86">
        <f t="shared" si="9"/>
        <v>-13.385658225075337</v>
      </c>
      <c r="AB43" s="86">
        <f t="shared" si="9"/>
        <v>-13.814349572554702</v>
      </c>
      <c r="AC43" s="86">
        <f t="shared" si="9"/>
        <v>-23.933303662829033</v>
      </c>
      <c r="AD43" s="86">
        <f t="shared" si="9"/>
        <v>-28.758992045238902</v>
      </c>
      <c r="AG43" s="39" t="s">
        <v>43</v>
      </c>
      <c r="AH43" s="53">
        <f t="shared" ref="AH43:AO43" si="10">$W$8+W43</f>
        <v>63.378746591952229</v>
      </c>
      <c r="AI43" s="53">
        <f t="shared" si="10"/>
        <v>62.420294038782814</v>
      </c>
      <c r="AJ43" s="53">
        <f t="shared" si="10"/>
        <v>57.803218965288906</v>
      </c>
      <c r="AK43" s="53">
        <f t="shared" si="10"/>
        <v>47.971363191509099</v>
      </c>
      <c r="AL43" s="53">
        <f t="shared" si="10"/>
        <v>38.908524979289254</v>
      </c>
      <c r="AM43" s="53">
        <f t="shared" si="10"/>
        <v>38.479833631809889</v>
      </c>
      <c r="AN43" s="53">
        <f t="shared" si="10"/>
        <v>28.36087954153556</v>
      </c>
      <c r="AO43" s="53">
        <f t="shared" si="10"/>
        <v>23.535191159125691</v>
      </c>
      <c r="AP43" s="5">
        <f t="array" ref="AP43">10*LOG10(SUM(10^(AH43:AO43/10)))</f>
        <v>66.631772750548265</v>
      </c>
      <c r="AQ43" s="5">
        <f t="array" ref="AQ43">10*LOG10(SUM(10^((AH43:AO43+AH45:AO45)/10)))</f>
        <v>52.538821737197033</v>
      </c>
      <c r="AR43" t="str">
        <f>IF(ABS(W8-AQ43)&lt;0.5,"OK","Tarkista laskenta!")</f>
        <v>OK</v>
      </c>
    </row>
    <row r="44" spans="21:47" x14ac:dyDescent="0.15">
      <c r="AE44" t="s">
        <v>140</v>
      </c>
    </row>
    <row r="45" spans="21:47" x14ac:dyDescent="0.15">
      <c r="U45" t="s">
        <v>26</v>
      </c>
      <c r="V45">
        <v>10</v>
      </c>
      <c r="W45" s="49">
        <v>15.295903703473467</v>
      </c>
      <c r="X45" s="49">
        <v>6.9606844827178733</v>
      </c>
      <c r="Y45" s="49">
        <v>1.935537565534295</v>
      </c>
      <c r="Z45" s="49">
        <v>0.80412623094933799</v>
      </c>
      <c r="AA45" s="49">
        <v>-13.48298515888643</v>
      </c>
      <c r="AB45" s="49">
        <v>-17.356702189585882</v>
      </c>
      <c r="AC45" s="49">
        <v>-22.469592711139754</v>
      </c>
      <c r="AD45" s="49">
        <v>-29.685489565677955</v>
      </c>
      <c r="AE45" s="32">
        <f>ABS($W$12-V45)</f>
        <v>6.6432690302159472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14.136883628769926</v>
      </c>
      <c r="X46" s="49">
        <v>5.8347496355939548</v>
      </c>
      <c r="Y46" s="49">
        <v>3.3755957124767981</v>
      </c>
      <c r="Z46" s="49">
        <v>1.0256528729394354</v>
      </c>
      <c r="AA46" s="49">
        <v>-16.732317497815437</v>
      </c>
      <c r="AB46" s="49">
        <v>-20.921804597817399</v>
      </c>
      <c r="AC46" s="49">
        <v>-26.633808344493076</v>
      </c>
      <c r="AD46" s="49">
        <v>-32.178832312787037</v>
      </c>
      <c r="AE46" s="32">
        <f>ABS($W$12-V46)</f>
        <v>3.1432690302159467</v>
      </c>
    </row>
    <row r="47" spans="21:47" x14ac:dyDescent="0.15">
      <c r="V47">
        <v>5</v>
      </c>
      <c r="W47" s="49">
        <v>13.207303139013563</v>
      </c>
      <c r="X47" s="49">
        <v>7.27329685557193</v>
      </c>
      <c r="Y47" s="49">
        <v>6.0198246123504049</v>
      </c>
      <c r="Z47" s="49">
        <v>-5.5137584121986887</v>
      </c>
      <c r="AA47" s="49">
        <v>-18.724936993031957</v>
      </c>
      <c r="AB47" s="49">
        <v>-22.9828764100704</v>
      </c>
      <c r="AC47" s="49">
        <v>-29.235642196929327</v>
      </c>
      <c r="AD47" s="49">
        <v>-33</v>
      </c>
      <c r="AE47" s="32">
        <f>ABS($W$12-V47)</f>
        <v>1.6432690302159467</v>
      </c>
    </row>
    <row r="48" spans="21:47" x14ac:dyDescent="0.15">
      <c r="V48">
        <v>3</v>
      </c>
      <c r="W48" s="49">
        <v>17.350315113104458</v>
      </c>
      <c r="X48" s="49">
        <v>10.630788748907307</v>
      </c>
      <c r="Y48" s="49">
        <v>5.098929410533886</v>
      </c>
      <c r="Z48" s="49">
        <v>-4.4664152942253494</v>
      </c>
      <c r="AA48" s="49">
        <v>-18.988088587428464</v>
      </c>
      <c r="AB48" s="49">
        <v>-23.738381230041611</v>
      </c>
      <c r="AC48" s="49">
        <v>-30</v>
      </c>
      <c r="AD48" s="49">
        <v>-35</v>
      </c>
      <c r="AE48" s="32">
        <f>ABS($W$12-V48)</f>
        <v>0.35673096978405328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17.350315113104458</v>
      </c>
      <c r="X49" s="86">
        <f t="shared" ref="X49:AD49" si="11">INDEX(X45:X48,$V$49)</f>
        <v>10.630788748907307</v>
      </c>
      <c r="Y49" s="86">
        <f t="shared" si="11"/>
        <v>5.098929410533886</v>
      </c>
      <c r="Z49" s="86">
        <f t="shared" si="11"/>
        <v>-4.4664152942253494</v>
      </c>
      <c r="AA49" s="86">
        <f t="shared" si="11"/>
        <v>-18.988088587428464</v>
      </c>
      <c r="AB49" s="86">
        <f t="shared" si="11"/>
        <v>-23.738381230041611</v>
      </c>
      <c r="AC49" s="86">
        <f t="shared" si="11"/>
        <v>-30</v>
      </c>
      <c r="AD49" s="86">
        <f t="shared" si="11"/>
        <v>-35</v>
      </c>
      <c r="AE49" s="111">
        <f>MIN(AE45:AE48)</f>
        <v>0.35673096978405328</v>
      </c>
    </row>
    <row r="50" spans="3:35" x14ac:dyDescent="0.15">
      <c r="AE50" t="s">
        <v>140</v>
      </c>
      <c r="AI50" s="110"/>
    </row>
    <row r="51" spans="3:35" x14ac:dyDescent="0.15">
      <c r="U51" t="s">
        <v>29</v>
      </c>
      <c r="V51">
        <v>10</v>
      </c>
      <c r="W51" s="49">
        <v>9.0860632115522435</v>
      </c>
      <c r="X51" s="49">
        <v>4.6160098027811856</v>
      </c>
      <c r="Y51" s="49">
        <v>1.4209759058410043E-2</v>
      </c>
      <c r="Z51" s="49">
        <v>-0.99375938105970718</v>
      </c>
      <c r="AA51" s="49">
        <v>-8.5773328725729545</v>
      </c>
      <c r="AB51" s="49">
        <v>-8.3183136021134469</v>
      </c>
      <c r="AC51" s="49">
        <v>-12.157080066801592</v>
      </c>
      <c r="AD51" s="49">
        <v>-16.104226903646911</v>
      </c>
      <c r="AE51" s="32">
        <f>ABS($W$12-V51)</f>
        <v>6.6432690302159472</v>
      </c>
      <c r="AI51" s="110"/>
    </row>
    <row r="52" spans="3:35" x14ac:dyDescent="0.15">
      <c r="V52">
        <v>6.5</v>
      </c>
      <c r="W52" s="49">
        <v>8.3585835518863654</v>
      </c>
      <c r="X52" s="49">
        <v>4.1894650406436611</v>
      </c>
      <c r="Y52" s="49">
        <v>1.1896979263598197</v>
      </c>
      <c r="Z52" s="49">
        <v>1.3113807808434359</v>
      </c>
      <c r="AA52" s="49">
        <v>-10.802769533783056</v>
      </c>
      <c r="AB52" s="49">
        <v>-10.767062383812114</v>
      </c>
      <c r="AC52" s="49">
        <v>-15.52404319784258</v>
      </c>
      <c r="AD52" s="49">
        <v>-19.758638415577899</v>
      </c>
      <c r="AE52" s="32">
        <f>ABS($W$12-V52)</f>
        <v>3.1432690302159467</v>
      </c>
      <c r="AI52" s="110"/>
    </row>
    <row r="53" spans="3:35" x14ac:dyDescent="0.15">
      <c r="V53">
        <v>5</v>
      </c>
      <c r="W53" s="49">
        <v>9.0198726899580457</v>
      </c>
      <c r="X53" s="49">
        <v>5.3967143634452128</v>
      </c>
      <c r="Y53" s="49">
        <v>5.3185642022107373</v>
      </c>
      <c r="Z53" s="49">
        <v>-4.0658032708185985</v>
      </c>
      <c r="AA53" s="49">
        <v>-11.11864988006031</v>
      </c>
      <c r="AB53" s="49">
        <v>-11.255628030211168</v>
      </c>
      <c r="AC53" s="49">
        <v>-17.052825639989059</v>
      </c>
      <c r="AD53" s="49">
        <v>-23.369744658909188</v>
      </c>
      <c r="AE53" s="32">
        <f>ABS($W$12-V53)</f>
        <v>1.6432690302159467</v>
      </c>
      <c r="AI53" s="110"/>
    </row>
    <row r="54" spans="3:35" x14ac:dyDescent="0.15">
      <c r="V54">
        <v>3</v>
      </c>
      <c r="W54" s="49">
        <v>11.084563387587638</v>
      </c>
      <c r="X54" s="49">
        <v>10.126110834418219</v>
      </c>
      <c r="Y54" s="49">
        <v>5.509035760924311</v>
      </c>
      <c r="Z54" s="49">
        <v>-4.322820012855491</v>
      </c>
      <c r="AA54" s="49">
        <v>-13.385658225075337</v>
      </c>
      <c r="AB54" s="49">
        <v>-13.814349572554702</v>
      </c>
      <c r="AC54" s="49">
        <v>-23.933303662829033</v>
      </c>
      <c r="AD54" s="49">
        <v>-28.758992045238902</v>
      </c>
      <c r="AE54" s="32">
        <f>ABS($W$12-V54)</f>
        <v>0.35673096978405328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11.084563387587638</v>
      </c>
      <c r="X55" s="86">
        <f t="shared" ref="X55" si="12">INDEX(X51:X54,$V$49)</f>
        <v>10.126110834418219</v>
      </c>
      <c r="Y55" s="86">
        <f t="shared" ref="Y55" si="13">INDEX(Y51:Y54,$V$49)</f>
        <v>5.509035760924311</v>
      </c>
      <c r="Z55" s="86">
        <f t="shared" ref="Z55" si="14">INDEX(Z51:Z54,$V$49)</f>
        <v>-4.322820012855491</v>
      </c>
      <c r="AA55" s="86">
        <f t="shared" ref="AA55" si="15">INDEX(AA51:AA54,$V$49)</f>
        <v>-13.385658225075337</v>
      </c>
      <c r="AB55" s="86">
        <f t="shared" ref="AB55" si="16">INDEX(AB51:AB54,$V$49)</f>
        <v>-13.814349572554702</v>
      </c>
      <c r="AC55" s="86">
        <f t="shared" ref="AC55" si="17">INDEX(AC51:AC54,$V$49)</f>
        <v>-23.933303662829033</v>
      </c>
      <c r="AD55" s="86">
        <f t="shared" ref="AD55" si="18">INDEX(AD51:AD54,$V$49)</f>
        <v>-28.758992045238902</v>
      </c>
      <c r="AE55" s="111">
        <f>MIN(AE51:AE54)</f>
        <v>0.35673096978405328</v>
      </c>
    </row>
    <row r="56" spans="3:35" x14ac:dyDescent="0.15">
      <c r="C56" s="2" t="s">
        <v>45</v>
      </c>
    </row>
    <row r="57" spans="3:35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157.28305069533172</v>
      </c>
      <c r="E59" s="118">
        <v>59.584121033260161</v>
      </c>
      <c r="F59" s="117">
        <v>166.48112332133923</v>
      </c>
      <c r="G59" s="112">
        <v>4020</v>
      </c>
      <c r="H59" t="s">
        <v>4</v>
      </c>
      <c r="I59" t="s">
        <v>5</v>
      </c>
      <c r="K59" s="24"/>
      <c r="M59" s="10" t="s">
        <v>3</v>
      </c>
      <c r="N59" s="116">
        <v>157.12388402585512</v>
      </c>
      <c r="O59" s="118">
        <v>73.586266756288396</v>
      </c>
      <c r="P59" s="117">
        <v>168.36896936050229</v>
      </c>
      <c r="Q59" s="112">
        <v>4020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157.28305069533172</v>
      </c>
      <c r="Y59" s="20">
        <f>F59</f>
        <v>166.48112332133923</v>
      </c>
    </row>
    <row r="60" spans="3:35" x14ac:dyDescent="0.15">
      <c r="C60" s="12"/>
      <c r="D60" s="116">
        <v>146.55078601347955</v>
      </c>
      <c r="E60" s="118">
        <v>59.034665171222933</v>
      </c>
      <c r="F60" s="117">
        <v>166.42923332157457</v>
      </c>
      <c r="G60" s="112">
        <v>4006.6666666666665</v>
      </c>
      <c r="H60" s="2">
        <f t="array" ref="H60:J60">LINEST(E59:E62,D59:D62^{1,2})</f>
        <v>-2.4253924294031796E-4</v>
      </c>
      <c r="I60" s="2">
        <v>0.11644381384373942</v>
      </c>
      <c r="J60" s="2">
        <v>47.245706738408366</v>
      </c>
      <c r="K60" s="24"/>
      <c r="M60" s="12"/>
      <c r="N60" s="116">
        <v>146.40382196258597</v>
      </c>
      <c r="O60" s="118">
        <v>72.598590028138631</v>
      </c>
      <c r="P60" s="117">
        <v>168.14315376683695</v>
      </c>
      <c r="Q60" s="112">
        <v>4006.6666666666665</v>
      </c>
      <c r="R60" s="2">
        <f t="array" ref="R60:T60">LINEST(O59:O62,N59:N62^{1,2})</f>
        <v>2.0151766087067014E-3</v>
      </c>
      <c r="S60" s="2">
        <v>-0.50465709385193103</v>
      </c>
      <c r="T60" s="27">
        <v>103.17163709549845</v>
      </c>
      <c r="W60" s="12"/>
      <c r="X60" s="17">
        <f t="shared" ref="X60:X61" si="19">D60</f>
        <v>146.55078601347955</v>
      </c>
      <c r="Y60" s="13">
        <f>F60</f>
        <v>166.42923332157457</v>
      </c>
    </row>
    <row r="61" spans="3:35" x14ac:dyDescent="0.15">
      <c r="C61" s="12"/>
      <c r="D61" s="116">
        <v>135.16967854746008</v>
      </c>
      <c r="E61" s="118">
        <v>58.616529819458627</v>
      </c>
      <c r="F61" s="117">
        <v>166.52729894333069</v>
      </c>
      <c r="G61" s="112">
        <v>3993.3333333333335</v>
      </c>
      <c r="K61" s="24"/>
      <c r="M61" s="12"/>
      <c r="N61" s="116">
        <v>134.62489122030723</v>
      </c>
      <c r="O61" s="118">
        <v>71.643458641188545</v>
      </c>
      <c r="P61" s="117">
        <v>168.27049338091555</v>
      </c>
      <c r="Q61" s="112">
        <v>4013.3333333333335</v>
      </c>
      <c r="T61" s="24"/>
      <c r="W61" s="12"/>
      <c r="X61" s="17">
        <f t="shared" si="19"/>
        <v>135.16967854746008</v>
      </c>
      <c r="Y61" s="13">
        <f>F61</f>
        <v>166.52729894333069</v>
      </c>
    </row>
    <row r="62" spans="3:35" x14ac:dyDescent="0.15">
      <c r="C62" s="14"/>
      <c r="D62" s="116">
        <v>122.87386253386013</v>
      </c>
      <c r="E62" s="118">
        <v>57.87243224523074</v>
      </c>
      <c r="F62" s="117">
        <v>166.32352391719792</v>
      </c>
      <c r="G62" s="112">
        <v>4020</v>
      </c>
      <c r="K62" s="24"/>
      <c r="M62" s="14"/>
      <c r="N62" s="116">
        <v>122.81318999787912</v>
      </c>
      <c r="O62" s="118">
        <v>71.624683220101119</v>
      </c>
      <c r="P62" s="117">
        <v>168.09244462004463</v>
      </c>
      <c r="Q62" s="112">
        <v>4026.6666666666665</v>
      </c>
      <c r="T62" s="24"/>
      <c r="W62" s="12"/>
      <c r="X62" s="17">
        <f>D62</f>
        <v>122.87386253386013</v>
      </c>
      <c r="Y62" s="13">
        <f>F62</f>
        <v>166.32352391719792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157.12388402585512</v>
      </c>
      <c r="Y63" s="13">
        <f>P59</f>
        <v>168.36896936050229</v>
      </c>
    </row>
    <row r="64" spans="3:35" x14ac:dyDescent="0.15">
      <c r="C64" s="10" t="s">
        <v>114</v>
      </c>
      <c r="D64" s="116">
        <v>115.79564526412705</v>
      </c>
      <c r="E64" s="118">
        <v>56.197280887668541</v>
      </c>
      <c r="F64" s="117">
        <v>80.608112872381284</v>
      </c>
      <c r="G64" s="112">
        <v>3120</v>
      </c>
      <c r="H64" t="s">
        <v>4</v>
      </c>
      <c r="I64" t="s">
        <v>5</v>
      </c>
      <c r="K64" s="24"/>
      <c r="M64" s="10" t="s">
        <v>114</v>
      </c>
      <c r="N64" s="116">
        <v>115.7527395118049</v>
      </c>
      <c r="O64" s="118">
        <v>69.410422694236928</v>
      </c>
      <c r="P64" s="117">
        <v>81.524141516906852</v>
      </c>
      <c r="Q64" s="112">
        <v>3113.3333333333335</v>
      </c>
      <c r="R64" t="s">
        <v>4</v>
      </c>
      <c r="S64" t="s">
        <v>5</v>
      </c>
      <c r="T64" s="24" t="s">
        <v>6</v>
      </c>
      <c r="W64" s="12"/>
      <c r="X64" s="17">
        <f>N60</f>
        <v>146.40382196258597</v>
      </c>
      <c r="Y64" s="13">
        <f>P60</f>
        <v>168.14315376683695</v>
      </c>
    </row>
    <row r="65" spans="3:25" x14ac:dyDescent="0.15">
      <c r="C65" s="12"/>
      <c r="D65" s="116">
        <v>106.97675022173922</v>
      </c>
      <c r="E65" s="118">
        <v>55.237406763421937</v>
      </c>
      <c r="F65" s="117">
        <v>80.694248796772087</v>
      </c>
      <c r="G65" s="112">
        <v>3113.3333333333335</v>
      </c>
      <c r="H65" s="2">
        <f t="array" ref="H65:J65">LINEST(E64:E67,D64:D67^{1,2})</f>
        <v>4.3868183690127143E-3</v>
      </c>
      <c r="I65" s="2">
        <v>-0.85842399657591062</v>
      </c>
      <c r="J65" s="2">
        <v>96.799930396341239</v>
      </c>
      <c r="K65" s="24"/>
      <c r="M65" s="12"/>
      <c r="N65" s="116">
        <v>106.91665501286138</v>
      </c>
      <c r="O65" s="118">
        <v>68.273831250714295</v>
      </c>
      <c r="P65" s="117">
        <v>81.530004886189204</v>
      </c>
      <c r="Q65" s="112">
        <v>3120</v>
      </c>
      <c r="R65" s="2">
        <f t="array" ref="R65:T65">LINEST(O64:O67,N64:N67^{1,2})</f>
        <v>-5.5969345669236144E-4</v>
      </c>
      <c r="S65" s="2">
        <v>0.20509321187369209</v>
      </c>
      <c r="T65" s="27">
        <v>53.060141260797003</v>
      </c>
      <c r="W65" s="12"/>
      <c r="X65" s="17">
        <f>N61</f>
        <v>134.62489122030723</v>
      </c>
      <c r="Y65" s="13">
        <f>P61</f>
        <v>168.27049338091555</v>
      </c>
    </row>
    <row r="66" spans="3:25" x14ac:dyDescent="0.15">
      <c r="C66" s="12"/>
      <c r="D66" s="116">
        <v>98.206572415924612</v>
      </c>
      <c r="E66" s="118">
        <v>54.74149561639608</v>
      </c>
      <c r="F66" s="117">
        <v>79.165188724749541</v>
      </c>
      <c r="G66" s="112">
        <v>3113.3333333333335</v>
      </c>
      <c r="K66" s="24"/>
      <c r="M66" s="12"/>
      <c r="N66" s="116">
        <v>97.668417506006648</v>
      </c>
      <c r="O66" s="118">
        <v>68.062176855408353</v>
      </c>
      <c r="P66" s="117">
        <v>80.071634336582761</v>
      </c>
      <c r="Q66" s="112">
        <v>3080</v>
      </c>
      <c r="T66" s="24"/>
      <c r="W66" s="14"/>
      <c r="X66" s="18">
        <f>N62</f>
        <v>122.81318999787912</v>
      </c>
      <c r="Y66" s="15">
        <f>P62</f>
        <v>168.09244462004463</v>
      </c>
    </row>
    <row r="67" spans="3:25" x14ac:dyDescent="0.15">
      <c r="C67" s="14"/>
      <c r="D67" s="116">
        <v>88.917966582246621</v>
      </c>
      <c r="E67" s="118">
        <v>55.175030795562357</v>
      </c>
      <c r="F67" s="117">
        <v>78.903619549585414</v>
      </c>
      <c r="G67" s="112">
        <v>3100</v>
      </c>
      <c r="K67" s="24"/>
      <c r="M67" s="14"/>
      <c r="N67" s="116">
        <v>88.471240528681378</v>
      </c>
      <c r="O67" s="118">
        <v>66.721187940680181</v>
      </c>
      <c r="P67" s="117">
        <v>79.731279286309771</v>
      </c>
      <c r="Q67" s="112">
        <v>3120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115.79564526412705</v>
      </c>
      <c r="Y68" s="20">
        <f>F64</f>
        <v>80.608112872381284</v>
      </c>
    </row>
    <row r="69" spans="3:25" x14ac:dyDescent="0.15">
      <c r="C69" s="10" t="s">
        <v>10</v>
      </c>
      <c r="D69" s="116">
        <v>84.357257896408399</v>
      </c>
      <c r="E69" s="118">
        <v>51.396877204560091</v>
      </c>
      <c r="F69" s="117">
        <v>39.263936860617122</v>
      </c>
      <c r="G69" s="112">
        <v>2400</v>
      </c>
      <c r="H69" t="s">
        <v>4</v>
      </c>
      <c r="I69" t="s">
        <v>5</v>
      </c>
      <c r="J69" t="s">
        <v>6</v>
      </c>
      <c r="K69" s="24"/>
      <c r="M69" s="10" t="s">
        <v>10</v>
      </c>
      <c r="N69" s="116">
        <v>84.276112176172617</v>
      </c>
      <c r="O69" s="118">
        <v>62.221587821743327</v>
      </c>
      <c r="P69" s="117">
        <v>39.708361053428277</v>
      </c>
      <c r="Q69" s="112">
        <v>2393.3333333333335</v>
      </c>
      <c r="R69" t="s">
        <v>4</v>
      </c>
      <c r="S69" t="s">
        <v>5</v>
      </c>
      <c r="T69" s="24" t="s">
        <v>6</v>
      </c>
      <c r="W69" s="12"/>
      <c r="X69" s="17">
        <f t="shared" ref="X69" si="20">D65</f>
        <v>106.97675022173922</v>
      </c>
      <c r="Y69" s="13">
        <f t="shared" ref="Y69" si="21">F65</f>
        <v>80.694248796772087</v>
      </c>
    </row>
    <row r="70" spans="3:25" x14ac:dyDescent="0.15">
      <c r="C70" s="12"/>
      <c r="D70" s="116">
        <v>78.503845274925567</v>
      </c>
      <c r="E70" s="118">
        <v>50.687179139252699</v>
      </c>
      <c r="F70" s="117">
        <v>39.205095983284998</v>
      </c>
      <c r="G70" s="112">
        <v>2400</v>
      </c>
      <c r="H70" s="2">
        <f t="array" ref="H70:J70">LINEST(E69:E72,D69:D72^{1,2})</f>
        <v>-1.3755929825614837E-3</v>
      </c>
      <c r="I70" s="2">
        <v>0.29221743902654007</v>
      </c>
      <c r="J70" s="2">
        <v>36.454339238627362</v>
      </c>
      <c r="K70" s="24"/>
      <c r="M70" s="12"/>
      <c r="N70" s="116">
        <v>78.366665869479021</v>
      </c>
      <c r="O70" s="118">
        <v>61.769751245014781</v>
      </c>
      <c r="P70" s="117">
        <v>39.612367593859325</v>
      </c>
      <c r="Q70" s="112">
        <v>2386.6666666666665</v>
      </c>
      <c r="R70" s="2">
        <f t="array" ref="R70:T70">LINEST(O69:O72,N69:N72^{1,2})</f>
        <v>-2.7736381432987483E-4</v>
      </c>
      <c r="S70" s="2">
        <v>0.10405666660144859</v>
      </c>
      <c r="T70" s="27">
        <v>55.39483524243424</v>
      </c>
      <c r="W70" s="12"/>
      <c r="X70" s="17">
        <f>D67</f>
        <v>88.917966582246621</v>
      </c>
      <c r="Y70" s="13">
        <f>F67</f>
        <v>78.903619549585414</v>
      </c>
    </row>
    <row r="71" spans="3:25" x14ac:dyDescent="0.15">
      <c r="C71" s="12"/>
      <c r="D71" s="116">
        <v>72.383196337283366</v>
      </c>
      <c r="E71" s="118">
        <v>50.612475302246779</v>
      </c>
      <c r="F71" s="117">
        <v>39.115474021616095</v>
      </c>
      <c r="G71" s="112">
        <v>2400</v>
      </c>
      <c r="K71" s="24"/>
      <c r="M71" s="12"/>
      <c r="N71" s="116">
        <v>71.9434750225589</v>
      </c>
      <c r="O71" s="118">
        <v>61.518377533862719</v>
      </c>
      <c r="P71" s="117">
        <v>39.564974448031926</v>
      </c>
      <c r="Q71" s="112">
        <v>2400</v>
      </c>
      <c r="T71" s="24"/>
      <c r="W71" s="12"/>
      <c r="X71" s="17">
        <f>N64</f>
        <v>115.7527395118049</v>
      </c>
      <c r="Y71" s="13">
        <f>P64</f>
        <v>81.524141516906852</v>
      </c>
    </row>
    <row r="72" spans="3:25" x14ac:dyDescent="0.15">
      <c r="C72" s="14"/>
      <c r="D72" s="116">
        <v>65.600686333526227</v>
      </c>
      <c r="E72" s="118">
        <v>49.639499165934055</v>
      </c>
      <c r="F72" s="117">
        <v>38.567327276797485</v>
      </c>
      <c r="G72" s="112">
        <v>2400</v>
      </c>
      <c r="K72" s="24"/>
      <c r="M72" s="14"/>
      <c r="N72" s="116">
        <v>65.492862624326236</v>
      </c>
      <c r="O72" s="118">
        <v>60.996208646351839</v>
      </c>
      <c r="P72" s="117">
        <v>38.97346583117239</v>
      </c>
      <c r="Q72" s="112">
        <v>2400</v>
      </c>
      <c r="T72" s="24"/>
      <c r="W72" s="12"/>
      <c r="X72" s="17">
        <f>N65</f>
        <v>106.91665501286138</v>
      </c>
      <c r="Y72" s="13">
        <f>P65</f>
        <v>81.530004886189204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97.668417506006648</v>
      </c>
      <c r="Y73" s="13">
        <f>P66</f>
        <v>80.071634336582761</v>
      </c>
    </row>
    <row r="74" spans="3:25" x14ac:dyDescent="0.15">
      <c r="C74" s="10" t="s">
        <v>12</v>
      </c>
      <c r="D74" s="116">
        <v>45.043697488606703</v>
      </c>
      <c r="E74" s="118">
        <v>38.857851553991033</v>
      </c>
      <c r="F74" s="117">
        <v>12.340574913574338</v>
      </c>
      <c r="G74" s="112">
        <v>1440</v>
      </c>
      <c r="H74" t="s">
        <v>4</v>
      </c>
      <c r="I74" t="s">
        <v>5</v>
      </c>
      <c r="J74" t="s">
        <v>6</v>
      </c>
      <c r="K74" s="24"/>
      <c r="M74" s="10" t="s">
        <v>12</v>
      </c>
      <c r="N74" s="116">
        <v>45.056263579141628</v>
      </c>
      <c r="O74" s="118">
        <v>51.172241569318196</v>
      </c>
      <c r="P74" s="117">
        <v>12.47957178325729</v>
      </c>
      <c r="Q74" s="112">
        <v>1473.3333333333333</v>
      </c>
      <c r="R74" t="s">
        <v>4</v>
      </c>
      <c r="S74" t="s">
        <v>5</v>
      </c>
      <c r="T74" s="24" t="s">
        <v>6</v>
      </c>
      <c r="W74" s="14"/>
      <c r="X74" s="18">
        <f>N67</f>
        <v>88.471240528681378</v>
      </c>
      <c r="Y74" s="15">
        <f>P67</f>
        <v>79.731279286309771</v>
      </c>
    </row>
    <row r="75" spans="3:25" x14ac:dyDescent="0.15">
      <c r="C75" s="12"/>
      <c r="D75" s="116">
        <v>42.867192759507176</v>
      </c>
      <c r="E75" s="118">
        <v>38.771970649710418</v>
      </c>
      <c r="F75" s="117">
        <v>12.170740859137242</v>
      </c>
      <c r="G75" s="112">
        <v>1440</v>
      </c>
      <c r="H75" s="2">
        <f t="array" ref="H75:J75">LINEST(E74:E77,D74:D77^{1,2})</f>
        <v>1.0045473392584981E-2</v>
      </c>
      <c r="I75" s="2">
        <v>-0.75458790224089733</v>
      </c>
      <c r="J75" s="2">
        <v>52.521735667065393</v>
      </c>
      <c r="K75" s="24"/>
      <c r="M75" s="12"/>
      <c r="N75" s="116">
        <v>42.835910101814022</v>
      </c>
      <c r="O75" s="118">
        <v>51.491026615654533</v>
      </c>
      <c r="P75" s="117">
        <v>12.297721047662893</v>
      </c>
      <c r="Q75" s="114">
        <v>1480</v>
      </c>
      <c r="R75" s="2">
        <f t="array" ref="R75:T75">LINEST(O74:O77,N74:N77^{1,2})</f>
        <v>-2.728362272228212E-2</v>
      </c>
      <c r="S75" s="2">
        <v>2.3270074664211888</v>
      </c>
      <c r="T75" s="27">
        <v>1.7604410813601277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40.200875313800047</v>
      </c>
      <c r="E76" s="118">
        <v>38.312133032218668</v>
      </c>
      <c r="F76" s="117">
        <v>12.068060072659554</v>
      </c>
      <c r="G76" s="112">
        <v>1480</v>
      </c>
      <c r="K76" s="24"/>
      <c r="M76" s="12"/>
      <c r="N76" s="116">
        <v>40.04683467591375</v>
      </c>
      <c r="O76" s="118">
        <v>51.101913029693968</v>
      </c>
      <c r="P76" s="117">
        <v>12.206532294709383</v>
      </c>
      <c r="Q76" s="114">
        <v>1440</v>
      </c>
      <c r="T76" s="24"/>
      <c r="W76" s="10" t="s">
        <v>10</v>
      </c>
      <c r="X76" s="19">
        <f>D69</f>
        <v>84.357257896408399</v>
      </c>
      <c r="Y76" s="20">
        <f>F69</f>
        <v>39.263936860617122</v>
      </c>
    </row>
    <row r="77" spans="3:25" x14ac:dyDescent="0.15">
      <c r="C77" s="14"/>
      <c r="D77" s="120">
        <v>36.701633625452011</v>
      </c>
      <c r="E77" s="119">
        <v>38.385869540907585</v>
      </c>
      <c r="F77" s="121">
        <v>11.936812679215606</v>
      </c>
      <c r="G77" s="113">
        <v>1466.6666666666667</v>
      </c>
      <c r="H77" s="25"/>
      <c r="I77" s="25"/>
      <c r="J77" s="25"/>
      <c r="K77" s="26"/>
      <c r="M77" s="14"/>
      <c r="N77" s="116">
        <v>36.610447186451644</v>
      </c>
      <c r="O77" s="119">
        <v>50.408682683836055</v>
      </c>
      <c r="P77" s="117">
        <v>12.062555970967841</v>
      </c>
      <c r="Q77" s="115">
        <v>1440</v>
      </c>
      <c r="R77" s="25"/>
      <c r="S77" s="25"/>
      <c r="T77" s="26"/>
      <c r="W77" s="12"/>
      <c r="X77" s="17">
        <f t="shared" ref="X77" si="22">D70</f>
        <v>78.503845274925567</v>
      </c>
      <c r="Y77" s="13">
        <f>F70</f>
        <v>39.205095983284998</v>
      </c>
    </row>
    <row r="78" spans="3:25" x14ac:dyDescent="0.15">
      <c r="W78" s="12"/>
      <c r="X78" s="17">
        <f>D72</f>
        <v>65.600686333526227</v>
      </c>
      <c r="Y78" s="13">
        <f>F72</f>
        <v>38.567327276797485</v>
      </c>
    </row>
    <row r="79" spans="3:25" x14ac:dyDescent="0.15">
      <c r="F79" s="5"/>
      <c r="W79" s="12"/>
      <c r="X79" s="17">
        <f>N69</f>
        <v>84.276112176172617</v>
      </c>
      <c r="Y79" s="13">
        <f>P69</f>
        <v>39.708361053428277</v>
      </c>
    </row>
    <row r="80" spans="3:25" x14ac:dyDescent="0.15">
      <c r="F80" s="5"/>
      <c r="W80" s="12"/>
      <c r="X80" s="17">
        <f>N70</f>
        <v>78.366665869479021</v>
      </c>
      <c r="Y80" s="13">
        <f>P70</f>
        <v>39.612367593859325</v>
      </c>
    </row>
    <row r="81" spans="6:30" x14ac:dyDescent="0.15">
      <c r="F81" s="5"/>
      <c r="W81" s="12"/>
      <c r="X81" s="17">
        <f>N71</f>
        <v>71.9434750225589</v>
      </c>
      <c r="Y81" s="13">
        <f>P71</f>
        <v>39.564974448031926</v>
      </c>
      <c r="AA81" t="s">
        <v>50</v>
      </c>
    </row>
    <row r="82" spans="6:30" x14ac:dyDescent="0.15">
      <c r="F82" s="5"/>
      <c r="W82" s="14"/>
      <c r="X82" s="18">
        <f>N72</f>
        <v>65.492862624326236</v>
      </c>
      <c r="Y82" s="15">
        <f>P72</f>
        <v>38.97346583117239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-1.0756346522803263E-4</v>
      </c>
      <c r="AC83" s="54">
        <v>3.4200096278811223E-2</v>
      </c>
      <c r="AD83" s="54">
        <v>164.66601419104509</v>
      </c>
    </row>
    <row r="84" spans="6:30" x14ac:dyDescent="0.15">
      <c r="W84" s="10" t="s">
        <v>12</v>
      </c>
      <c r="X84" s="19">
        <f>D74</f>
        <v>45.043697488606703</v>
      </c>
      <c r="Y84" s="20">
        <f>F74</f>
        <v>12.340574913574338</v>
      </c>
      <c r="AA84" t="s">
        <v>114</v>
      </c>
      <c r="AB84" s="54">
        <f t="array" ref="AB84:AD84">LINEST(Y68:Y74,X68:X74^{1,2})</f>
        <v>-2.7576805932085923E-3</v>
      </c>
      <c r="AC84" s="54">
        <v>0.63166725308020022</v>
      </c>
      <c r="AD84" s="54">
        <v>44.949954471504952</v>
      </c>
    </row>
    <row r="85" spans="6:30" x14ac:dyDescent="0.15">
      <c r="W85" s="12"/>
      <c r="X85" s="17">
        <f t="shared" ref="X85:X86" si="23">D75</f>
        <v>42.867192759507176</v>
      </c>
      <c r="Y85" s="13">
        <f>F75</f>
        <v>12.170740859137242</v>
      </c>
      <c r="AA85" t="s">
        <v>10</v>
      </c>
      <c r="AB85" s="54">
        <f t="array" ref="AB85:AD85">LINEST(Y76:Y82,X76:X82^{1,2})</f>
        <v>-3.8308146457983862E-3</v>
      </c>
      <c r="AC85" s="54">
        <v>0.60756217460898576</v>
      </c>
      <c r="AD85" s="54">
        <v>15.446150735511129</v>
      </c>
    </row>
    <row r="86" spans="6:30" x14ac:dyDescent="0.15">
      <c r="W86" s="12"/>
      <c r="X86" s="17">
        <f t="shared" si="23"/>
        <v>40.200875313800047</v>
      </c>
      <c r="Y86" s="13">
        <f>F76</f>
        <v>12.068060072659554</v>
      </c>
      <c r="AA86" t="s">
        <v>12</v>
      </c>
      <c r="AB86" s="54">
        <f t="array" ref="AB86:AD86">LINEST(Y84:Y90,X84:X90^{1,2})</f>
        <v>4.8830001645742008E-3</v>
      </c>
      <c r="AC86" s="54">
        <v>-0.35934994558101141</v>
      </c>
      <c r="AD86" s="54">
        <v>18.681884504184467</v>
      </c>
    </row>
    <row r="87" spans="6:30" x14ac:dyDescent="0.15">
      <c r="F87" s="5"/>
      <c r="W87" s="12"/>
      <c r="X87" s="17">
        <f>N74</f>
        <v>45.056263579141628</v>
      </c>
      <c r="Y87" s="13">
        <f>P74</f>
        <v>12.47957178325729</v>
      </c>
    </row>
    <row r="88" spans="6:30" x14ac:dyDescent="0.15">
      <c r="F88" s="5"/>
      <c r="W88" s="12"/>
      <c r="X88" s="17">
        <f t="shared" ref="X88:X90" si="24">N75</f>
        <v>42.835910101814022</v>
      </c>
      <c r="Y88" s="13">
        <f>P75</f>
        <v>12.297721047662893</v>
      </c>
    </row>
    <row r="89" spans="6:30" x14ac:dyDescent="0.15">
      <c r="F89" s="5"/>
      <c r="W89" s="12"/>
      <c r="X89" s="17">
        <f t="shared" si="24"/>
        <v>40.04683467591375</v>
      </c>
      <c r="Y89" s="13">
        <f>P76</f>
        <v>12.206532294709383</v>
      </c>
    </row>
    <row r="90" spans="6:30" x14ac:dyDescent="0.15">
      <c r="F90" s="5"/>
      <c r="W90" s="14"/>
      <c r="X90" s="18">
        <f t="shared" si="24"/>
        <v>36.610447186451644</v>
      </c>
      <c r="Y90" s="15">
        <f>P77</f>
        <v>12.062555970967841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  <c r="W93">
        <v>15.295903703473467</v>
      </c>
      <c r="X93">
        <v>6.9606844827178733</v>
      </c>
      <c r="Y93">
        <v>1.935537565534295</v>
      </c>
      <c r="Z93">
        <v>0.80412623094933799</v>
      </c>
      <c r="AA93">
        <v>-13.48298515888643</v>
      </c>
      <c r="AB93">
        <v>-17.356702189585882</v>
      </c>
      <c r="AC93">
        <v>-22.469592711139754</v>
      </c>
      <c r="AD93">
        <v>-29.685489565677955</v>
      </c>
    </row>
    <row r="94" spans="6:30" x14ac:dyDescent="0.15">
      <c r="F94" s="5"/>
      <c r="W94">
        <v>14.136883628769926</v>
      </c>
      <c r="X94">
        <v>5.8347496355939548</v>
      </c>
      <c r="Y94">
        <v>3.3755957124767981</v>
      </c>
      <c r="Z94">
        <v>1.0256528729394354</v>
      </c>
      <c r="AA94">
        <v>-16.732317497815437</v>
      </c>
      <c r="AB94">
        <v>-20.921804597817399</v>
      </c>
      <c r="AC94">
        <v>-26.633808344493076</v>
      </c>
      <c r="AD94">
        <v>-32.178832312787037</v>
      </c>
    </row>
    <row r="95" spans="6:30" x14ac:dyDescent="0.15">
      <c r="F95" s="5"/>
      <c r="W95">
        <v>13.207303139013563</v>
      </c>
      <c r="X95">
        <v>7.27329685557193</v>
      </c>
      <c r="Y95">
        <v>6.0198246123504049</v>
      </c>
      <c r="Z95">
        <v>-5.5137584121986887</v>
      </c>
      <c r="AA95">
        <v>-18.724936993031957</v>
      </c>
      <c r="AB95">
        <v>-22.9828764100704</v>
      </c>
      <c r="AC95">
        <v>-29.235642196929327</v>
      </c>
      <c r="AD95">
        <v>-33</v>
      </c>
    </row>
    <row r="96" spans="6:30" x14ac:dyDescent="0.15">
      <c r="F96" s="5"/>
      <c r="W96">
        <v>17.350315113104458</v>
      </c>
      <c r="X96">
        <v>10.630788748907307</v>
      </c>
      <c r="Y96">
        <v>5.098929410533886</v>
      </c>
      <c r="Z96">
        <v>-4.4664152942253494</v>
      </c>
      <c r="AA96">
        <v>-18.988088587428464</v>
      </c>
      <c r="AB96">
        <v>-23.738381230041611</v>
      </c>
      <c r="AC96">
        <v>-30</v>
      </c>
      <c r="AD96">
        <v>-35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FC6EA-94BC-45F2-89A4-D5BA148B21AF}">
  <sheetPr codeName="Taul23"/>
  <dimension ref="C2:AU99"/>
  <sheetViews>
    <sheetView topLeftCell="D1" zoomScale="70" zoomScaleNormal="70" workbookViewId="0">
      <selection activeCell="AG52" sqref="AG52"/>
    </sheetView>
  </sheetViews>
  <sheetFormatPr baseColWidth="10" defaultColWidth="8.83203125" defaultRowHeight="13" x14ac:dyDescent="0.15"/>
  <cols>
    <col min="16" max="16" width="10.83203125" customWidth="1"/>
    <col min="17" max="18" width="9.33203125" bestFit="1" customWidth="1"/>
    <col min="19" max="19" width="10" bestFit="1" customWidth="1"/>
    <col min="22" max="22" width="13" customWidth="1"/>
    <col min="23" max="23" width="10.1640625" bestFit="1" customWidth="1"/>
    <col min="25" max="25" width="10" customWidth="1"/>
  </cols>
  <sheetData>
    <row r="2" spans="3:34" x14ac:dyDescent="0.15">
      <c r="C2" s="2" t="s">
        <v>59</v>
      </c>
      <c r="J2" t="s">
        <v>15</v>
      </c>
    </row>
    <row r="3" spans="3:34" x14ac:dyDescent="0.15">
      <c r="J3" s="7">
        <f>Tulostus!$G$33</f>
        <v>40</v>
      </c>
      <c r="K3" t="s">
        <v>13</v>
      </c>
      <c r="L3" s="7">
        <f>Tulostus!$G$39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AA4" s="61" t="s">
        <v>102</v>
      </c>
      <c r="AB4" s="62"/>
      <c r="AC4" s="61" t="s">
        <v>113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O5" t="s">
        <v>134</v>
      </c>
      <c r="P5" s="52">
        <f t="array" ref="P5:Q5">LINEST(AF34:AF36,LN(AC34:AC36))</f>
        <v>11.609145682478831</v>
      </c>
      <c r="Q5" s="52">
        <v>1.1185842023373027</v>
      </c>
      <c r="R5" t="s">
        <v>28</v>
      </c>
      <c r="S5" s="9">
        <f>$P$5*LN($J$3)+$Q$5</f>
        <v>43.943323190248968</v>
      </c>
      <c r="T5" t="s">
        <v>31</v>
      </c>
      <c r="U5" s="39" t="s">
        <v>42</v>
      </c>
      <c r="V5" s="32" t="s">
        <v>8</v>
      </c>
      <c r="W5" s="9">
        <f>IF($J$3&gt;$AC$35,S5,IF($J$3&lt;$AC$36,S6,AVERAGE(S5:S6)))</f>
        <v>41.955462215584269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O6" t="s">
        <v>136</v>
      </c>
      <c r="P6" s="52">
        <f t="array" ref="P6:Q6">LINEST(AF35:AF37,LN(AC35:AC37))</f>
        <v>15.13124822277824</v>
      </c>
      <c r="Q6" s="52">
        <v>-13.861888468520391</v>
      </c>
      <c r="R6" t="s">
        <v>28</v>
      </c>
      <c r="S6" s="9">
        <f>$P$6*LN($J$3)+$Q$6</f>
        <v>41.955462215584269</v>
      </c>
      <c r="T6" t="s">
        <v>31</v>
      </c>
      <c r="U6" s="39"/>
      <c r="AA6" s="55">
        <v>100</v>
      </c>
      <c r="AB6" s="56">
        <f t="shared" ref="AB6:AB12" si="0">(-$D$9-SQRT($D$9^2-(4*$C$9*($E$9-AA6))))/(2*$C$9)</f>
        <v>179.11691580328477</v>
      </c>
      <c r="AC6" s="55">
        <v>50</v>
      </c>
      <c r="AD6" s="57">
        <f t="shared" ref="AD6:AD12" si="1">(-$D$14-SQRT($D$14^2-(4*$C$14*($E$14-AC6))))/(2*$C$14)</f>
        <v>131.14254504164199</v>
      </c>
      <c r="AE6" s="55">
        <v>35</v>
      </c>
      <c r="AF6" s="57">
        <f t="shared" ref="AF6:AF11" si="2">(-$D$19-SQRT($D$19^2-(4*$C$19*($E$19-AE6))))/(2*$C$19)</f>
        <v>96.216817804800328</v>
      </c>
      <c r="AG6" s="56">
        <v>15</v>
      </c>
      <c r="AH6" s="57">
        <f>(-$D$24-SQRT($D$24^2-(4*$C$24*($E$24-AG6))))/(2*$C$24)</f>
        <v>52.354855059834129</v>
      </c>
    </row>
    <row r="7" spans="3:34" x14ac:dyDescent="0.15">
      <c r="C7" t="s">
        <v>11</v>
      </c>
      <c r="D7" s="1"/>
      <c r="E7" s="1"/>
      <c r="H7" s="1"/>
      <c r="AA7" s="55">
        <v>120</v>
      </c>
      <c r="AB7" s="56">
        <f t="shared" si="0"/>
        <v>174.89861666422897</v>
      </c>
      <c r="AC7" s="55">
        <v>50</v>
      </c>
      <c r="AD7" s="57">
        <f t="shared" si="1"/>
        <v>131.14254504164199</v>
      </c>
      <c r="AE7" s="55">
        <v>40</v>
      </c>
      <c r="AF7" s="57">
        <f t="shared" si="2"/>
        <v>94.729294500929157</v>
      </c>
      <c r="AG7" s="56">
        <v>20</v>
      </c>
      <c r="AH7" s="57">
        <f>(-$D$24-SQRT($D$24^2-(4*$C$24*($E$24-AG7))))/(2*$C$24)</f>
        <v>50.492611628762866</v>
      </c>
    </row>
    <row r="8" spans="3:34" x14ac:dyDescent="0.15">
      <c r="C8" t="s">
        <v>4</v>
      </c>
      <c r="D8" t="s">
        <v>5</v>
      </c>
      <c r="E8" t="s">
        <v>6</v>
      </c>
      <c r="O8" t="s">
        <v>134</v>
      </c>
      <c r="P8" s="52">
        <f t="array" ref="P8:Q8">LINEST(AG34:AG36,LN(AC34:AC36))</f>
        <v>15.792452625494402</v>
      </c>
      <c r="Q8" s="52">
        <v>-3.2954872339218468</v>
      </c>
      <c r="R8" t="s">
        <v>7</v>
      </c>
      <c r="S8" s="9">
        <f>$P$8*LN($J$3)+$Q$8</f>
        <v>54.960966786332143</v>
      </c>
      <c r="T8" t="s">
        <v>31</v>
      </c>
      <c r="U8" s="39" t="s">
        <v>43</v>
      </c>
      <c r="V8" t="s">
        <v>57</v>
      </c>
      <c r="W8" s="9">
        <f>IF($J$3&gt;$AC$35,S8,IF($J$3&lt;$AC$36,S9,AVERAGE(S8:S9)))</f>
        <v>50.913714689912339</v>
      </c>
      <c r="X8" t="s">
        <v>31</v>
      </c>
      <c r="AA8" s="55">
        <v>190</v>
      </c>
      <c r="AB8" s="56">
        <f t="shared" si="0"/>
        <v>162.27597672313368</v>
      </c>
      <c r="AC8" s="55">
        <v>100</v>
      </c>
      <c r="AD8" s="57">
        <f t="shared" si="1"/>
        <v>119.35417996021101</v>
      </c>
      <c r="AE8" s="55">
        <v>60</v>
      </c>
      <c r="AF8" s="57">
        <f t="shared" si="2"/>
        <v>88.896594856540219</v>
      </c>
      <c r="AG8" s="56">
        <v>25</v>
      </c>
      <c r="AH8" s="57">
        <f>(-$D$24-SQRT($D$24^2-(4*$C$24*($E$24-AG8))))/(2*$C$24)</f>
        <v>48.580002546231498</v>
      </c>
    </row>
    <row r="9" spans="3:34" x14ac:dyDescent="0.15">
      <c r="C9" s="8">
        <v>4.776121315499704E-2</v>
      </c>
      <c r="D9" s="8">
        <v>-21.649458747735029</v>
      </c>
      <c r="E9" s="8">
        <v>2445.4675096074193</v>
      </c>
      <c r="H9" s="2"/>
      <c r="O9" t="s">
        <v>135</v>
      </c>
      <c r="P9" s="52">
        <f t="array" ref="P9:Q9">LINEST(AG35:AG37,LN(AC35:AC37))</f>
        <v>22.683863880517663</v>
      </c>
      <c r="Q9" s="52">
        <v>-32.764324718846495</v>
      </c>
      <c r="R9" t="s">
        <v>7</v>
      </c>
      <c r="S9" s="9">
        <f>$P$9*LN($J$3)+$Q$9</f>
        <v>50.913714689912339</v>
      </c>
      <c r="T9" t="s">
        <v>31</v>
      </c>
      <c r="AA9" s="55">
        <v>250</v>
      </c>
      <c r="AB9" s="56">
        <f t="shared" si="0"/>
        <v>153.16260121404989</v>
      </c>
      <c r="AC9" s="55">
        <v>150</v>
      </c>
      <c r="AD9" s="57">
        <f t="shared" si="1"/>
        <v>107.93377609376739</v>
      </c>
      <c r="AE9" s="55">
        <v>80</v>
      </c>
      <c r="AF9" s="57">
        <f t="shared" si="2"/>
        <v>83.239100699553205</v>
      </c>
      <c r="AG9" s="56">
        <v>30</v>
      </c>
      <c r="AH9" s="57">
        <f>(-$D$24-SQRT($D$24^2-(4*$C$24*($E$24-AG9))))/(2*$C$24)</f>
        <v>46.612705838811827</v>
      </c>
    </row>
    <row r="10" spans="3:34" x14ac:dyDescent="0.15">
      <c r="C10" s="2"/>
      <c r="D10" s="2"/>
      <c r="E10" s="2"/>
      <c r="H10" s="2"/>
      <c r="V10" t="s">
        <v>144</v>
      </c>
      <c r="W10">
        <v>200</v>
      </c>
      <c r="AA10" s="55">
        <v>320</v>
      </c>
      <c r="AB10" s="56">
        <f t="shared" si="0"/>
        <v>143.78770801919913</v>
      </c>
      <c r="AC10" s="55">
        <v>170</v>
      </c>
      <c r="AD10" s="57">
        <f t="shared" si="1"/>
        <v>103.46121449007943</v>
      </c>
      <c r="AE10" s="55">
        <v>100</v>
      </c>
      <c r="AF10" s="57">
        <f t="shared" si="2"/>
        <v>77.741912106746298</v>
      </c>
      <c r="AG10" s="56">
        <v>55</v>
      </c>
      <c r="AH10" s="57">
        <f>(-$D$24-SQRT($D$24^2-(4*$C$24*($E$24-AG10))))/(2*$C$24)</f>
        <v>35.748954672957019</v>
      </c>
    </row>
    <row r="11" spans="3:34" x14ac:dyDescent="0.15">
      <c r="C11" s="2" t="s">
        <v>114</v>
      </c>
      <c r="D11" s="1"/>
      <c r="E11" s="1"/>
      <c r="H11" s="1"/>
      <c r="P11" t="s">
        <v>130</v>
      </c>
      <c r="T11" s="4"/>
      <c r="U11" s="5"/>
      <c r="V11" t="s">
        <v>143</v>
      </c>
      <c r="W11">
        <v>750</v>
      </c>
      <c r="X11" t="s">
        <v>14</v>
      </c>
      <c r="Y11" t="str">
        <f>IF(W12&gt;10,"Ei käyttöalueella","OK")</f>
        <v>OK</v>
      </c>
      <c r="AA11" s="55">
        <v>390</v>
      </c>
      <c r="AB11" s="56">
        <f t="shared" si="0"/>
        <v>135.37071942904149</v>
      </c>
      <c r="AC11" s="55">
        <v>190</v>
      </c>
      <c r="AD11" s="57">
        <f t="shared" si="1"/>
        <v>99.040422729184755</v>
      </c>
      <c r="AE11" s="55">
        <v>138</v>
      </c>
      <c r="AF11" s="57">
        <f t="shared" si="2"/>
        <v>67.694020441116294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132</v>
      </c>
      <c r="Q12" s="51">
        <v>0</v>
      </c>
      <c r="R12" s="51">
        <f t="array" ref="R12:S12">LINEST(U35:U37,AC35:AC37)</f>
        <v>7.1711047814489171E-2</v>
      </c>
      <c r="S12" s="51">
        <v>0.19494590319997673</v>
      </c>
      <c r="U12" s="39" t="s">
        <v>42</v>
      </c>
      <c r="V12" t="s">
        <v>58</v>
      </c>
      <c r="W12" s="9">
        <f>Q14*J3^2+R14*J3+S14</f>
        <v>3.0633878157795436</v>
      </c>
      <c r="X12" t="s">
        <v>25</v>
      </c>
      <c r="AA12" s="58">
        <v>450</v>
      </c>
      <c r="AB12" s="59">
        <f t="shared" si="0"/>
        <v>128.73037088287538</v>
      </c>
      <c r="AC12" s="58">
        <v>235</v>
      </c>
      <c r="AD12" s="60">
        <f t="shared" si="1"/>
        <v>89.273980043178298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t="s">
        <v>131</v>
      </c>
      <c r="Q13" s="51">
        <v>0</v>
      </c>
      <c r="R13" s="51">
        <f t="array" ref="R13:S13">LINEST(U34:U35,AC34:AC35)</f>
        <v>9.4729596453324183E-2</v>
      </c>
      <c r="S13" s="51">
        <v>-1.8264576913112407</v>
      </c>
      <c r="W13" t="b">
        <f>IF(AND(W12&lt;=10.01,Tulostus!G33&gt;=W14,AD34&lt;W11,J3&lt;W10),TRUE,FALSE)</f>
        <v>1</v>
      </c>
    </row>
    <row r="14" spans="3:34" x14ac:dyDescent="0.15">
      <c r="C14" s="8">
        <v>5.8882318738545927E-3</v>
      </c>
      <c r="D14" s="8">
        <v>-5.7164530683486969</v>
      </c>
      <c r="E14" s="8">
        <v>698.40223054012006</v>
      </c>
      <c r="H14" s="2"/>
      <c r="P14" t="s">
        <v>21</v>
      </c>
      <c r="Q14" s="54">
        <f>IF($J$3&gt;$AC$35,Q13,Q12)</f>
        <v>0</v>
      </c>
      <c r="R14" s="54">
        <f>IF($J$3&gt;$AC$35,R13,R12)</f>
        <v>7.1711047814489171E-2</v>
      </c>
      <c r="S14" s="54">
        <f>IF($J$3&gt;$AC$35,S13,S12)</f>
        <v>0.19494590319997673</v>
      </c>
      <c r="V14" t="s">
        <v>346</v>
      </c>
      <c r="W14">
        <v>30</v>
      </c>
      <c r="X14" t="s">
        <v>13</v>
      </c>
      <c r="Y14" t="s">
        <v>355</v>
      </c>
    </row>
    <row r="15" spans="3:34" x14ac:dyDescent="0.15">
      <c r="C15" s="2"/>
      <c r="D15" s="2"/>
      <c r="E15" s="2"/>
      <c r="H15" s="2"/>
      <c r="V15" t="s">
        <v>22</v>
      </c>
      <c r="W15">
        <v>169</v>
      </c>
      <c r="X15" t="s">
        <v>49</v>
      </c>
    </row>
    <row r="16" spans="3:34" x14ac:dyDescent="0.15">
      <c r="C16" s="2" t="s">
        <v>10</v>
      </c>
      <c r="D16" s="1"/>
      <c r="E16" s="1"/>
      <c r="H16" s="1"/>
      <c r="U16" s="39" t="s">
        <v>43</v>
      </c>
      <c r="V16" t="s">
        <v>58</v>
      </c>
      <c r="W16" s="9">
        <f>$P$18*J3^2+$Q$18*J3+$R$18</f>
        <v>11.734752495286632</v>
      </c>
      <c r="X16" t="s">
        <v>49</v>
      </c>
    </row>
    <row r="17" spans="3:38" x14ac:dyDescent="0.15">
      <c r="C17" t="s">
        <v>11</v>
      </c>
      <c r="D17" s="1"/>
      <c r="E17" s="1"/>
      <c r="H17" s="1"/>
      <c r="P17" t="s">
        <v>51</v>
      </c>
      <c r="V17" t="s">
        <v>52</v>
      </c>
      <c r="W17" s="3">
        <f>IF(W16&gt;W15,W15,W16)</f>
        <v>11.734752495286632</v>
      </c>
      <c r="X17" t="s">
        <v>49</v>
      </c>
    </row>
    <row r="18" spans="3:38" x14ac:dyDescent="0.15">
      <c r="C18" t="s">
        <v>4</v>
      </c>
      <c r="D18" t="s">
        <v>5</v>
      </c>
      <c r="E18" t="s">
        <v>6</v>
      </c>
      <c r="H18" s="1"/>
      <c r="P18" s="51">
        <f t="array" ref="P18:R18">LINEST(AE34:AE37,AC34:AC37^{1,2})</f>
        <v>1.5244815098662512E-2</v>
      </c>
      <c r="Q18" s="51">
        <v>-0.66201738167061663</v>
      </c>
      <c r="R18" s="51">
        <v>13.823743604251277</v>
      </c>
    </row>
    <row r="19" spans="3:38" x14ac:dyDescent="0.15">
      <c r="C19" s="8">
        <v>9.2418011283647659E-3</v>
      </c>
      <c r="D19" s="8">
        <v>-5.1259778744073925</v>
      </c>
      <c r="E19" s="8">
        <v>442.64767844723201</v>
      </c>
      <c r="AB19" s="6"/>
      <c r="AC19" s="6"/>
    </row>
    <row r="20" spans="3:38" x14ac:dyDescent="0.15">
      <c r="C20" s="2"/>
      <c r="D20" s="2"/>
      <c r="E20" s="2"/>
      <c r="H20" s="1"/>
      <c r="AB20" s="6"/>
      <c r="AC20" s="6"/>
    </row>
    <row r="21" spans="3:38" x14ac:dyDescent="0.15">
      <c r="C21" s="2" t="s">
        <v>12</v>
      </c>
      <c r="D21" s="1"/>
      <c r="E21" s="1"/>
      <c r="H21" s="1"/>
      <c r="AB21" s="6"/>
      <c r="AC21" s="6"/>
    </row>
    <row r="22" spans="3:38" x14ac:dyDescent="0.15">
      <c r="C22" t="s">
        <v>11</v>
      </c>
      <c r="D22" s="1"/>
      <c r="E22" s="1"/>
      <c r="H22" s="1"/>
      <c r="V22" s="74"/>
      <c r="W22" s="77"/>
      <c r="X22" s="75"/>
      <c r="AB22" s="6"/>
      <c r="AC22" s="6"/>
    </row>
    <row r="23" spans="3:38" x14ac:dyDescent="0.15">
      <c r="C23" t="s">
        <v>4</v>
      </c>
      <c r="D23" t="s">
        <v>5</v>
      </c>
      <c r="E23" t="s">
        <v>6</v>
      </c>
      <c r="H23" s="1"/>
    </row>
    <row r="24" spans="3:38" x14ac:dyDescent="0.15">
      <c r="C24" s="8">
        <v>-1.8730173796686417E-2</v>
      </c>
      <c r="D24" s="8">
        <v>-0.75858269614174823</v>
      </c>
      <c r="E24" s="8">
        <v>106.05547127881601</v>
      </c>
      <c r="H24" s="1"/>
    </row>
    <row r="25" spans="3:38" x14ac:dyDescent="0.15">
      <c r="G25" s="2"/>
      <c r="H25" s="1"/>
    </row>
    <row r="27" spans="3:38" x14ac:dyDescent="0.15">
      <c r="U27" t="s">
        <v>37</v>
      </c>
    </row>
    <row r="28" spans="3:38" x14ac:dyDescent="0.15">
      <c r="U28" s="4" t="s">
        <v>17</v>
      </c>
    </row>
    <row r="29" spans="3:38" x14ac:dyDescent="0.15">
      <c r="U29" s="4">
        <f>(L3/J3)^2/L3</f>
        <v>3.125E-2</v>
      </c>
    </row>
    <row r="31" spans="3:38" x14ac:dyDescent="0.15">
      <c r="U31" s="2" t="s">
        <v>16</v>
      </c>
      <c r="AL31" s="2" t="s">
        <v>1110</v>
      </c>
    </row>
    <row r="32" spans="3:38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</row>
    <row r="33" spans="21:47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s="2" t="s">
        <v>1107</v>
      </c>
      <c r="AO33" t="s">
        <v>1115</v>
      </c>
      <c r="AS33" t="s">
        <v>1153</v>
      </c>
    </row>
    <row r="34" spans="21:47" x14ac:dyDescent="0.15">
      <c r="U34" s="35">
        <v>10</v>
      </c>
      <c r="V34" s="98">
        <f>C9</f>
        <v>4.776121315499704E-2</v>
      </c>
      <c r="W34" s="99">
        <f>D9</f>
        <v>-21.649458747735029</v>
      </c>
      <c r="X34" s="100">
        <f>E9</f>
        <v>2445.4675096074193</v>
      </c>
      <c r="Y34" s="36">
        <f>C9-U29</f>
        <v>1.651121315499704E-2</v>
      </c>
      <c r="Z34" s="28">
        <f>(-W34+SQRT(W34^2-(4*Y34*X34)))/(2*Y34)</f>
        <v>1186.3529591926654</v>
      </c>
      <c r="AA34" s="29">
        <f>(-W34-SQRT(W34^2-(4*Y34*X34)))/(2*Y34)</f>
        <v>124.84437951911316</v>
      </c>
      <c r="AB34" s="36">
        <f>AB6</f>
        <v>179.11691580328477</v>
      </c>
      <c r="AC34" s="53">
        <f>IF(Z34&lt;0,AA34,IF(Z34&gt;AB34,AA34,Z34))</f>
        <v>124.84437951911316</v>
      </c>
      <c r="AD34" s="53">
        <f>V34*AC34^2+W34*AC34+X34</f>
        <v>487.06622179726082</v>
      </c>
      <c r="AE34" s="53">
        <f>AB83*AC34^2+AC83*AC34+AD83</f>
        <v>168.41417432346273</v>
      </c>
      <c r="AF34" s="53">
        <f>$H$60*AC34^2+$I$60*AC34+$J$60</f>
        <v>56.687193562136542</v>
      </c>
      <c r="AG34" s="53">
        <f>$R$60*AC34^2+$S$60*AC34+$T$60</f>
        <v>72.200454360502121</v>
      </c>
      <c r="AI34">
        <v>10</v>
      </c>
      <c r="AJ34" s="3">
        <f>AC34</f>
        <v>124.84437951911316</v>
      </c>
      <c r="AL34" s="618">
        <f>AC34/$J$3-1</f>
        <v>2.1211094879778289</v>
      </c>
      <c r="AO34" s="278" t="b">
        <f>IF(AL36&gt;AC34,FALSE,TRUE)</f>
        <v>1</v>
      </c>
      <c r="AP34" t="s">
        <v>1117</v>
      </c>
      <c r="AS34" s="213">
        <f>IF($AL$36&gt;$AC$35,Q13,Q12)</f>
        <v>0</v>
      </c>
      <c r="AT34" s="213">
        <f t="shared" ref="AT34:AU34" si="3">IF($AL$36&gt;$AC$35,R13,R12)</f>
        <v>7.1711047814489171E-2</v>
      </c>
      <c r="AU34" s="213">
        <f t="shared" si="3"/>
        <v>0.19494590319997673</v>
      </c>
    </row>
    <row r="35" spans="21:47" x14ac:dyDescent="0.15">
      <c r="U35" s="35">
        <v>6.5</v>
      </c>
      <c r="V35" s="98">
        <f>C14</f>
        <v>5.8882318738545927E-3</v>
      </c>
      <c r="W35" s="99">
        <f>D14</f>
        <v>-5.7164530683486969</v>
      </c>
      <c r="X35" s="100">
        <f>E14</f>
        <v>698.40223054012006</v>
      </c>
      <c r="Y35" s="36">
        <f>C14-U29</f>
        <v>-2.5361768126145406E-2</v>
      </c>
      <c r="Z35" s="28">
        <f t="shared" ref="Z35:Z37" si="4">(-W35+SQRT(W35^2-(4*Y35*X35)))/(2*Y35)</f>
        <v>-313.29358163410609</v>
      </c>
      <c r="AA35" s="29">
        <f t="shared" ref="AA35:AA37" si="5">(-W35-SQRT(W35^2-(4*Y35*X35)))/(2*Y35)</f>
        <v>87.897109277921501</v>
      </c>
      <c r="AB35" s="36">
        <f>AD6</f>
        <v>131.14254504164199</v>
      </c>
      <c r="AC35" s="53">
        <f t="shared" ref="AC35:AC37" si="6">IF(Z35&lt;0,AA35,IF(Z35&gt;AB35,AA35,Z35))</f>
        <v>87.897109277921501</v>
      </c>
      <c r="AD35" s="53">
        <f>V35*AC35^2+W35*AC35+X35</f>
        <v>241.43443185671481</v>
      </c>
      <c r="AE35" s="53">
        <f>AB84*AC35^2+AC84*AC35+AD84</f>
        <v>75.206574194558485</v>
      </c>
      <c r="AF35" s="53">
        <f>$H$65*AC35^2+$I$65*AC35+$J$65</f>
        <v>54.161190292853824</v>
      </c>
      <c r="AG35" s="53">
        <f>$R$65*AC35^2+$S$65*AC35+$T$65</f>
        <v>69.082574617891424</v>
      </c>
      <c r="AI35">
        <v>6.5</v>
      </c>
      <c r="AJ35" s="3">
        <f>AC35</f>
        <v>87.897109277921501</v>
      </c>
      <c r="AL35" t="s">
        <v>1114</v>
      </c>
      <c r="AO35" t="s">
        <v>1116</v>
      </c>
    </row>
    <row r="36" spans="21:47" x14ac:dyDescent="0.15">
      <c r="U36" s="35">
        <v>5</v>
      </c>
      <c r="V36" s="98">
        <f>C19</f>
        <v>9.2418011283647659E-3</v>
      </c>
      <c r="W36" s="99">
        <f>D19</f>
        <v>-5.1259778744073925</v>
      </c>
      <c r="X36" s="100">
        <f>E19</f>
        <v>442.64767844723201</v>
      </c>
      <c r="Y36" s="36">
        <f>C19-U29</f>
        <v>-2.2008198871635236E-2</v>
      </c>
      <c r="Z36" s="28">
        <f t="shared" si="4"/>
        <v>-299.963251695743</v>
      </c>
      <c r="AA36" s="29">
        <f t="shared" si="5"/>
        <v>67.051058185264878</v>
      </c>
      <c r="AB36" s="36">
        <f>AF6</f>
        <v>96.216817804800328</v>
      </c>
      <c r="AC36" s="53">
        <f t="shared" si="6"/>
        <v>67.051058185264878</v>
      </c>
      <c r="AD36" s="53">
        <f>V36*AC36^2+W36*AC36+X36</f>
        <v>140.49513761761807</v>
      </c>
      <c r="AE36" s="53">
        <f>AB85*AC36^2+AC85*AC36+AD85</f>
        <v>35.972820257631433</v>
      </c>
      <c r="AF36" s="53">
        <f>$H$70*AC36^2+$I$70*AC36+$J$70</f>
        <v>49.331710898002278</v>
      </c>
      <c r="AG36" s="53">
        <f>$R$70*AC36^2+$S$70*AC36+$T$70</f>
        <v>62.165845235438134</v>
      </c>
      <c r="AI36">
        <f>AVERAGE(AI35,AI37)</f>
        <v>5.75</v>
      </c>
      <c r="AJ36">
        <f>AVERAGE(AJ35,AJ37)</f>
        <v>77.474083731593197</v>
      </c>
      <c r="AL36" s="611">
        <f>Tulokset!$CS$16</f>
        <v>48</v>
      </c>
      <c r="AM36" t="s">
        <v>13</v>
      </c>
      <c r="AO36" s="619">
        <f>AS34*AL36^2+AT34*AL36+AU34</f>
        <v>3.6370761982954569</v>
      </c>
      <c r="AP36" t="s">
        <v>25</v>
      </c>
    </row>
    <row r="37" spans="21:47" x14ac:dyDescent="0.15">
      <c r="U37" s="38">
        <v>3</v>
      </c>
      <c r="V37" s="101">
        <f>C24</f>
        <v>-1.8730173796686417E-2</v>
      </c>
      <c r="W37" s="102">
        <f>D24</f>
        <v>-0.75858269614174823</v>
      </c>
      <c r="X37" s="103">
        <f>E24</f>
        <v>106.05547127881601</v>
      </c>
      <c r="Y37" s="37">
        <f>C24-U29</f>
        <v>-4.9980173796686414E-2</v>
      </c>
      <c r="Z37" s="30">
        <f t="shared" si="4"/>
        <v>-54.274393453512666</v>
      </c>
      <c r="AA37" s="31">
        <f t="shared" si="5"/>
        <v>39.096721218366483</v>
      </c>
      <c r="AB37" s="37">
        <f>AH6</f>
        <v>52.354855059834129</v>
      </c>
      <c r="AC37" s="53">
        <f t="shared" si="6"/>
        <v>39.096721218366483</v>
      </c>
      <c r="AD37" s="53">
        <f>V37*AC37^2+W37*AC37+X37</f>
        <v>47.767300313333351</v>
      </c>
      <c r="AE37" s="53">
        <f>AB86*AC37^2+AC86*AC37+AD86</f>
        <v>11.819449519982106</v>
      </c>
      <c r="AF37" s="53">
        <f>$H$75*AC37^2+$I$75*AC37+$J$75</f>
        <v>41.756940570104469</v>
      </c>
      <c r="AG37" s="53">
        <f>$R$75*AC37^2+$S$75*AC37+$T$75</f>
        <v>50.551242778207993</v>
      </c>
      <c r="AI37">
        <v>5</v>
      </c>
      <c r="AJ37" s="3">
        <f>AC36</f>
        <v>67.051058185264878</v>
      </c>
      <c r="AL37" s="611">
        <f>Tulokset!$CS$17</f>
        <v>72</v>
      </c>
      <c r="AM37" t="s">
        <v>14</v>
      </c>
    </row>
    <row r="38" spans="21:47" x14ac:dyDescent="0.15">
      <c r="AI38">
        <f>AVERAGE(AI37,AI39)</f>
        <v>4</v>
      </c>
      <c r="AJ38">
        <f>AVERAGE(AJ37,AJ39)</f>
        <v>53.073889701815681</v>
      </c>
    </row>
    <row r="39" spans="21:47" x14ac:dyDescent="0.15">
      <c r="U39" s="2" t="s">
        <v>35</v>
      </c>
      <c r="W39" t="s">
        <v>36</v>
      </c>
      <c r="AI39">
        <v>3</v>
      </c>
      <c r="AJ39" s="3">
        <f>AC37</f>
        <v>39.096721218366483</v>
      </c>
    </row>
    <row r="41" spans="21:47" x14ac:dyDescent="0.15">
      <c r="U41" s="10"/>
      <c r="V41" s="22"/>
      <c r="W41" s="43">
        <v>63</v>
      </c>
      <c r="X41" s="44">
        <v>125</v>
      </c>
      <c r="Y41" s="44">
        <v>250</v>
      </c>
      <c r="Z41" s="44">
        <v>500</v>
      </c>
      <c r="AA41" s="44">
        <v>1000</v>
      </c>
      <c r="AB41" s="44">
        <v>2000</v>
      </c>
      <c r="AC41" s="44">
        <v>4000</v>
      </c>
      <c r="AD41" s="45">
        <v>8000</v>
      </c>
      <c r="AH41" s="43">
        <v>63</v>
      </c>
      <c r="AI41" s="44">
        <v>125</v>
      </c>
      <c r="AJ41" s="44">
        <v>250</v>
      </c>
      <c r="AK41" s="44">
        <v>500</v>
      </c>
      <c r="AL41" s="44">
        <v>1000</v>
      </c>
      <c r="AM41" s="44">
        <v>2000</v>
      </c>
      <c r="AN41" s="44">
        <v>4000</v>
      </c>
      <c r="AO41" s="45">
        <v>8000</v>
      </c>
      <c r="AP41" t="s">
        <v>70</v>
      </c>
      <c r="AQ41" t="s">
        <v>71</v>
      </c>
    </row>
    <row r="42" spans="21:47" x14ac:dyDescent="0.15">
      <c r="U42" s="10" t="s">
        <v>55</v>
      </c>
      <c r="V42" s="21"/>
      <c r="W42" s="86">
        <f>W49</f>
        <v>11.309407920324789</v>
      </c>
      <c r="X42" s="86">
        <f t="shared" ref="X42:AD42" si="7">X49</f>
        <v>11.112927756783211</v>
      </c>
      <c r="Y42" s="86">
        <f t="shared" si="7"/>
        <v>6.4458938755306647</v>
      </c>
      <c r="Z42" s="86">
        <f t="shared" si="7"/>
        <v>-8.1119705467250149</v>
      </c>
      <c r="AA42" s="86">
        <f t="shared" si="7"/>
        <v>-18.68980700464456</v>
      </c>
      <c r="AB42" s="86">
        <f t="shared" si="7"/>
        <v>-25.105548407351193</v>
      </c>
      <c r="AC42" s="86">
        <f t="shared" si="7"/>
        <v>-30</v>
      </c>
      <c r="AD42" s="86">
        <f t="shared" si="7"/>
        <v>-34</v>
      </c>
      <c r="AG42" s="39" t="s">
        <v>42</v>
      </c>
      <c r="AH42" s="53">
        <f t="shared" ref="AH42:AO42" si="8">$S$5+W42</f>
        <v>55.252731110573755</v>
      </c>
      <c r="AI42" s="53">
        <f t="shared" si="8"/>
        <v>55.056250947032183</v>
      </c>
      <c r="AJ42" s="53">
        <f t="shared" si="8"/>
        <v>50.389217065779633</v>
      </c>
      <c r="AK42" s="53">
        <f t="shared" si="8"/>
        <v>35.831352643523957</v>
      </c>
      <c r="AL42" s="53">
        <f t="shared" si="8"/>
        <v>25.253516185604408</v>
      </c>
      <c r="AM42" s="53">
        <f t="shared" si="8"/>
        <v>18.837774782897775</v>
      </c>
      <c r="AN42" s="53">
        <f t="shared" si="8"/>
        <v>13.943323190248968</v>
      </c>
      <c r="AO42" s="53">
        <f t="shared" si="8"/>
        <v>9.943323190248968</v>
      </c>
      <c r="AP42" s="5">
        <f t="array" ref="AP42">10*LOG10(SUM(10^(AH42:AO42/10)))</f>
        <v>58.860269670182682</v>
      </c>
      <c r="AQ42" s="5">
        <f t="array" ref="AQ42">10*LOG10(SUM(10^((AH42:AO42+AH45:AO45)/10)))</f>
        <v>44.162017952160888</v>
      </c>
      <c r="AR42" t="str">
        <f>IF(ABS(W5-AQ42)&lt;0.5,"OK","Tarkista laskenta!")</f>
        <v>Tarkista laskenta!</v>
      </c>
    </row>
    <row r="43" spans="21:47" x14ac:dyDescent="0.15">
      <c r="U43" s="14" t="s">
        <v>56</v>
      </c>
      <c r="V43" s="26"/>
      <c r="W43" s="86">
        <f>W55</f>
        <v>8.1745920488476003</v>
      </c>
      <c r="X43" s="86">
        <f t="shared" ref="X43:AD43" si="9">X55</f>
        <v>7.9779140886882125</v>
      </c>
      <c r="Y43" s="86">
        <f t="shared" si="9"/>
        <v>7.0100901619141673</v>
      </c>
      <c r="Z43" s="86">
        <f t="shared" si="9"/>
        <v>-4.1121752744456082</v>
      </c>
      <c r="AA43" s="86">
        <f t="shared" si="9"/>
        <v>-14.100294352330009</v>
      </c>
      <c r="AB43" s="86">
        <f t="shared" si="9"/>
        <v>-15.048066525616184</v>
      </c>
      <c r="AC43" s="86">
        <f t="shared" si="9"/>
        <v>-24.498896685085626</v>
      </c>
      <c r="AD43" s="86">
        <f t="shared" si="9"/>
        <v>-30.353443514642237</v>
      </c>
      <c r="AG43" s="39" t="s">
        <v>43</v>
      </c>
      <c r="AH43" s="53">
        <f t="shared" ref="AH43:AO43" si="10">$W$8+W43</f>
        <v>59.08830673875994</v>
      </c>
      <c r="AI43" s="53">
        <f t="shared" si="10"/>
        <v>58.891628778600548</v>
      </c>
      <c r="AJ43" s="53">
        <f t="shared" si="10"/>
        <v>57.923804851826503</v>
      </c>
      <c r="AK43" s="53">
        <f t="shared" si="10"/>
        <v>46.801539415466735</v>
      </c>
      <c r="AL43" s="53">
        <f t="shared" si="10"/>
        <v>36.813420337582329</v>
      </c>
      <c r="AM43" s="53">
        <f t="shared" si="10"/>
        <v>35.865648164296154</v>
      </c>
      <c r="AN43" s="53">
        <f t="shared" si="10"/>
        <v>26.414818004826714</v>
      </c>
      <c r="AO43" s="53">
        <f t="shared" si="10"/>
        <v>20.560271175270103</v>
      </c>
      <c r="AP43" s="5">
        <f t="array" ref="AP43">10*LOG10(SUM(10^(AH43:AO43/10)))</f>
        <v>63.545835811094243</v>
      </c>
      <c r="AQ43" s="5">
        <f t="array" ref="AQ43">10*LOG10(SUM(10^((AH43:AO43+AH45:AO45)/10)))</f>
        <v>51.460969661471907</v>
      </c>
      <c r="AR43" t="str">
        <f>IF(ABS(W8-AQ43)&lt;0.5,"OK","Tarkista laskenta!")</f>
        <v>Tarkista laskenta!</v>
      </c>
    </row>
    <row r="44" spans="21:47" x14ac:dyDescent="0.15">
      <c r="AE44" t="s">
        <v>140</v>
      </c>
    </row>
    <row r="45" spans="21:47" x14ac:dyDescent="0.15">
      <c r="U45" t="s">
        <v>55</v>
      </c>
      <c r="V45">
        <v>10</v>
      </c>
      <c r="W45" s="49">
        <v>16.643754559052947</v>
      </c>
      <c r="X45" s="49">
        <v>9.6038616586855667</v>
      </c>
      <c r="Y45" s="49">
        <v>3.4633172615662886</v>
      </c>
      <c r="Z45" s="49">
        <v>-0.90276455849374493</v>
      </c>
      <c r="AA45" s="49">
        <v>-11.044425173774911</v>
      </c>
      <c r="AB45" s="49">
        <v>-14.768702890672929</v>
      </c>
      <c r="AC45" s="49">
        <v>-20.801809997499124</v>
      </c>
      <c r="AD45" s="49">
        <v>-28.45714878681634</v>
      </c>
      <c r="AE45" s="32">
        <f>ABS($W$12-V45)</f>
        <v>6.936612184220456</v>
      </c>
      <c r="AH45" s="73">
        <v>-26.2</v>
      </c>
      <c r="AI45" s="73">
        <v>-16.100000000000001</v>
      </c>
      <c r="AJ45" s="73">
        <v>-8.6</v>
      </c>
      <c r="AK45" s="73">
        <v>-3.2</v>
      </c>
      <c r="AL45" s="73">
        <v>0</v>
      </c>
      <c r="AM45" s="73">
        <v>1.2</v>
      </c>
      <c r="AN45" s="73">
        <v>1</v>
      </c>
      <c r="AO45" s="73">
        <v>-1.1000000000000001</v>
      </c>
    </row>
    <row r="46" spans="21:47" x14ac:dyDescent="0.15">
      <c r="V46">
        <v>6.5</v>
      </c>
      <c r="W46" s="49">
        <v>19.378566133628354</v>
      </c>
      <c r="X46" s="49">
        <v>8.4557349290393589</v>
      </c>
      <c r="Y46" s="49">
        <v>3.4064885085549452</v>
      </c>
      <c r="Z46" s="49">
        <v>-1.089403922974963</v>
      </c>
      <c r="AA46" s="49">
        <v>-12.952556703065635</v>
      </c>
      <c r="AB46" s="49">
        <v>-17.854795039701958</v>
      </c>
      <c r="AC46" s="49">
        <v>-24.342681018766374</v>
      </c>
      <c r="AD46" s="49">
        <v>-30.841332830555583</v>
      </c>
      <c r="AE46" s="32">
        <f>ABS($W$12-V46)</f>
        <v>3.4366121842204564</v>
      </c>
    </row>
    <row r="47" spans="21:47" x14ac:dyDescent="0.15">
      <c r="V47">
        <v>5</v>
      </c>
      <c r="W47" s="49">
        <v>12.106309558397262</v>
      </c>
      <c r="X47" s="49">
        <v>8.871716290375522</v>
      </c>
      <c r="Y47" s="49">
        <v>6.5498645757293268</v>
      </c>
      <c r="Z47" s="49">
        <v>-6.3233151496478346</v>
      </c>
      <c r="AA47" s="49">
        <v>-15.065620319456047</v>
      </c>
      <c r="AB47" s="49">
        <v>-20.569623997123269</v>
      </c>
      <c r="AC47" s="49">
        <v>-27.795708654535332</v>
      </c>
      <c r="AD47" s="49">
        <v>-32</v>
      </c>
      <c r="AE47" s="32">
        <f>ABS($W$12-V47)</f>
        <v>1.9366121842204564</v>
      </c>
    </row>
    <row r="48" spans="21:47" x14ac:dyDescent="0.15">
      <c r="V48">
        <v>3</v>
      </c>
      <c r="W48" s="49">
        <v>11.309407920324789</v>
      </c>
      <c r="X48" s="49">
        <v>11.112927756783211</v>
      </c>
      <c r="Y48" s="49">
        <v>6.4458938755306647</v>
      </c>
      <c r="Z48" s="49">
        <v>-8.1119705467250149</v>
      </c>
      <c r="AA48" s="49">
        <v>-18.68980700464456</v>
      </c>
      <c r="AB48" s="49">
        <v>-25.105548407351193</v>
      </c>
      <c r="AC48" s="49">
        <v>-30</v>
      </c>
      <c r="AD48" s="49">
        <v>-34</v>
      </c>
      <c r="AE48" s="32">
        <f>ABS($W$12-V48)</f>
        <v>6.3387815779543555E-2</v>
      </c>
    </row>
    <row r="49" spans="3:35" x14ac:dyDescent="0.15">
      <c r="U49" t="s">
        <v>139</v>
      </c>
      <c r="V49">
        <f>MATCH(AE49,AE45:AE48,0)</f>
        <v>4</v>
      </c>
      <c r="W49" s="86">
        <f>INDEX(W45:W48,$V$49)</f>
        <v>11.309407920324789</v>
      </c>
      <c r="X49" s="86">
        <f t="shared" ref="X49:AD49" si="11">INDEX(X45:X48,$V$49)</f>
        <v>11.112927756783211</v>
      </c>
      <c r="Y49" s="86">
        <f t="shared" si="11"/>
        <v>6.4458938755306647</v>
      </c>
      <c r="Z49" s="86">
        <f t="shared" si="11"/>
        <v>-8.1119705467250149</v>
      </c>
      <c r="AA49" s="86">
        <f t="shared" si="11"/>
        <v>-18.68980700464456</v>
      </c>
      <c r="AB49" s="86">
        <f t="shared" si="11"/>
        <v>-25.105548407351193</v>
      </c>
      <c r="AC49" s="86">
        <f t="shared" si="11"/>
        <v>-30</v>
      </c>
      <c r="AD49" s="86">
        <f t="shared" si="11"/>
        <v>-34</v>
      </c>
      <c r="AE49" s="111">
        <f>MIN(AE45:AE48)</f>
        <v>6.3387815779543555E-2</v>
      </c>
    </row>
    <row r="50" spans="3:35" x14ac:dyDescent="0.15">
      <c r="AE50" t="s">
        <v>140</v>
      </c>
      <c r="AI50" s="110"/>
    </row>
    <row r="51" spans="3:35" x14ac:dyDescent="0.15">
      <c r="U51" t="s">
        <v>56</v>
      </c>
      <c r="V51">
        <v>10</v>
      </c>
      <c r="W51" s="49">
        <v>9.2947440409368909</v>
      </c>
      <c r="X51" s="49">
        <v>3.0579795390972322</v>
      </c>
      <c r="Y51" s="49">
        <v>-5.858210899039662E-2</v>
      </c>
      <c r="Z51" s="49">
        <v>0.19913089100602832</v>
      </c>
      <c r="AA51" s="49">
        <v>-9.978555454168152</v>
      </c>
      <c r="AB51" s="49">
        <v>-9.0529477205952311</v>
      </c>
      <c r="AC51" s="49">
        <v>-12.79870753817251</v>
      </c>
      <c r="AD51" s="49">
        <v>-17.819987857452691</v>
      </c>
      <c r="AE51" s="32">
        <f>ABS($W$12-V51)</f>
        <v>6.936612184220456</v>
      </c>
      <c r="AI51" s="110"/>
    </row>
    <row r="52" spans="3:35" x14ac:dyDescent="0.15">
      <c r="V52">
        <v>6.5</v>
      </c>
      <c r="W52" s="49">
        <v>7.3233914641408262</v>
      </c>
      <c r="X52" s="49">
        <v>1.4451970915344177</v>
      </c>
      <c r="Y52" s="49">
        <v>2.5879664585779452</v>
      </c>
      <c r="Z52" s="49">
        <v>1.0540480684597675</v>
      </c>
      <c r="AA52" s="49">
        <v>-12.285290617989812</v>
      </c>
      <c r="AB52" s="49">
        <v>-11.658469643057707</v>
      </c>
      <c r="AC52" s="49">
        <v>-16.303592693138867</v>
      </c>
      <c r="AD52" s="49">
        <v>-22.18673389593679</v>
      </c>
      <c r="AE52" s="32">
        <f>ABS($W$12-V52)</f>
        <v>3.4366121842204564</v>
      </c>
      <c r="AI52" s="110"/>
    </row>
    <row r="53" spans="3:35" x14ac:dyDescent="0.15">
      <c r="V53">
        <v>5</v>
      </c>
      <c r="W53" s="49">
        <v>6.7220842635078153</v>
      </c>
      <c r="X53" s="49">
        <v>2.7302013953504112</v>
      </c>
      <c r="Y53" s="49">
        <v>5.8797310325172258</v>
      </c>
      <c r="Z53" s="49">
        <v>-3.8771823360336004</v>
      </c>
      <c r="AA53" s="49">
        <v>-12.349096075200096</v>
      </c>
      <c r="AB53" s="49">
        <v>-12.11471290690996</v>
      </c>
      <c r="AC53" s="49">
        <v>-17.779459234554068</v>
      </c>
      <c r="AD53" s="49">
        <v>-26.287326275549606</v>
      </c>
      <c r="AE53" s="32">
        <f>ABS($W$12-V53)</f>
        <v>1.9366121842204564</v>
      </c>
      <c r="AI53" s="110"/>
    </row>
    <row r="54" spans="3:35" x14ac:dyDescent="0.15">
      <c r="V54">
        <v>3</v>
      </c>
      <c r="W54" s="49">
        <v>8.1745920488476003</v>
      </c>
      <c r="X54" s="49">
        <v>7.9779140886882125</v>
      </c>
      <c r="Y54" s="49">
        <v>7.0100901619141673</v>
      </c>
      <c r="Z54" s="49">
        <v>-4.1121752744456082</v>
      </c>
      <c r="AA54" s="49">
        <v>-14.100294352330009</v>
      </c>
      <c r="AB54" s="49">
        <v>-15.048066525616184</v>
      </c>
      <c r="AC54" s="49">
        <v>-24.498896685085626</v>
      </c>
      <c r="AD54" s="49">
        <v>-30.353443514642237</v>
      </c>
      <c r="AE54" s="32">
        <f>ABS($W$12-V54)</f>
        <v>6.3387815779543555E-2</v>
      </c>
    </row>
    <row r="55" spans="3:35" x14ac:dyDescent="0.15">
      <c r="U55" t="s">
        <v>139</v>
      </c>
      <c r="V55">
        <f>MATCH(AE55,AE51:AE54,0)</f>
        <v>4</v>
      </c>
      <c r="W55" s="86">
        <f>INDEX(W51:W54,$V$49)</f>
        <v>8.1745920488476003</v>
      </c>
      <c r="X55" s="86">
        <f t="shared" ref="X55:AD55" si="12">INDEX(X51:X54,$V$49)</f>
        <v>7.9779140886882125</v>
      </c>
      <c r="Y55" s="86">
        <f t="shared" si="12"/>
        <v>7.0100901619141673</v>
      </c>
      <c r="Z55" s="86">
        <f t="shared" si="12"/>
        <v>-4.1121752744456082</v>
      </c>
      <c r="AA55" s="86">
        <f t="shared" si="12"/>
        <v>-14.100294352330009</v>
      </c>
      <c r="AB55" s="86">
        <f t="shared" si="12"/>
        <v>-15.048066525616184</v>
      </c>
      <c r="AC55" s="86">
        <f t="shared" si="12"/>
        <v>-24.498896685085626</v>
      </c>
      <c r="AD55" s="86">
        <f t="shared" si="12"/>
        <v>-30.353443514642237</v>
      </c>
      <c r="AE55" s="111">
        <f>MIN(AE51:AE54)</f>
        <v>6.3387815779543555E-2</v>
      </c>
    </row>
    <row r="56" spans="3:35" x14ac:dyDescent="0.15">
      <c r="C56" s="2" t="s">
        <v>45</v>
      </c>
    </row>
    <row r="57" spans="3:35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35" x14ac:dyDescent="0.15">
      <c r="C58" s="12"/>
      <c r="D58" s="16" t="s">
        <v>13</v>
      </c>
      <c r="E58" s="41" t="s">
        <v>27</v>
      </c>
      <c r="F58" s="11" t="s">
        <v>47</v>
      </c>
      <c r="G58" s="41" t="s">
        <v>133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Q58" s="41" t="s">
        <v>133</v>
      </c>
      <c r="R58" t="s">
        <v>33</v>
      </c>
      <c r="T58" s="24"/>
      <c r="W58" s="10"/>
      <c r="X58" s="16" t="s">
        <v>13</v>
      </c>
      <c r="Y58" s="11" t="s">
        <v>49</v>
      </c>
    </row>
    <row r="59" spans="3:35" x14ac:dyDescent="0.15">
      <c r="C59" s="10" t="s">
        <v>3</v>
      </c>
      <c r="D59" s="116">
        <v>177.37307385653068</v>
      </c>
      <c r="E59" s="118">
        <v>59.060591218014309</v>
      </c>
      <c r="F59" s="117">
        <v>168.54259322528048</v>
      </c>
      <c r="G59" s="112">
        <v>4086.6666666666665</v>
      </c>
      <c r="H59" t="s">
        <v>4</v>
      </c>
      <c r="I59" t="s">
        <v>5</v>
      </c>
      <c r="K59" s="24"/>
      <c r="M59" s="10" t="s">
        <v>3</v>
      </c>
      <c r="N59" s="116">
        <v>177.73570182908642</v>
      </c>
      <c r="O59" s="118">
        <v>75.33438936131401</v>
      </c>
      <c r="P59" s="117">
        <v>166.12773047785547</v>
      </c>
      <c r="Q59" s="112">
        <v>4066.6666666666665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177.37307385653068</v>
      </c>
      <c r="Y59" s="20">
        <f>F59</f>
        <v>168.54259322528048</v>
      </c>
    </row>
    <row r="60" spans="3:35" x14ac:dyDescent="0.15">
      <c r="C60" s="12"/>
      <c r="D60" s="116">
        <v>163.0789877970802</v>
      </c>
      <c r="E60" s="118">
        <v>58.487634881019723</v>
      </c>
      <c r="F60" s="117">
        <v>167.59942656948792</v>
      </c>
      <c r="G60" s="112">
        <v>4060</v>
      </c>
      <c r="H60" s="2">
        <f t="array" ref="H60:J60">LINEST(E59:E62,D59:D62^{1,2})</f>
        <v>-9.4551175516497006E-4</v>
      </c>
      <c r="I60" s="2">
        <v>0.32886921715375045</v>
      </c>
      <c r="J60" s="2">
        <v>30.366579027739252</v>
      </c>
      <c r="K60" s="24"/>
      <c r="M60" s="12"/>
      <c r="N60" s="116">
        <v>163.49986992681139</v>
      </c>
      <c r="O60" s="118">
        <v>74.723775090917528</v>
      </c>
      <c r="P60" s="117">
        <v>166.43802423984073</v>
      </c>
      <c r="Q60" s="112">
        <v>4020</v>
      </c>
      <c r="R60" s="2">
        <f t="array" ref="R60:T60">LINEST(O59:O62,N59:N62^{1,2})</f>
        <v>-4.2303280713429652E-4</v>
      </c>
      <c r="S60" s="2">
        <v>0.18725410530684089</v>
      </c>
      <c r="T60" s="27">
        <v>55.416271485213016</v>
      </c>
      <c r="W60" s="12"/>
      <c r="X60" s="17">
        <f t="shared" ref="X60:X61" si="13">D60</f>
        <v>163.0789877970802</v>
      </c>
      <c r="Y60" s="13">
        <f>F60</f>
        <v>167.59942656948792</v>
      </c>
    </row>
    <row r="61" spans="3:35" x14ac:dyDescent="0.15">
      <c r="C61" s="12"/>
      <c r="D61" s="116">
        <v>150.05253955002848</v>
      </c>
      <c r="E61" s="118">
        <v>58.850988893487546</v>
      </c>
      <c r="F61" s="117">
        <v>169.17807377970442</v>
      </c>
      <c r="G61" s="112">
        <v>4053.3333333333335</v>
      </c>
      <c r="K61" s="24"/>
      <c r="M61" s="12"/>
      <c r="N61" s="116">
        <v>150.93715952891725</v>
      </c>
      <c r="O61" s="118">
        <v>74.042236453158083</v>
      </c>
      <c r="P61" s="117">
        <v>167.04225955146646</v>
      </c>
      <c r="Q61" s="112">
        <v>4006.6666666666665</v>
      </c>
      <c r="T61" s="24"/>
      <c r="W61" s="12"/>
      <c r="X61" s="17">
        <f t="shared" si="13"/>
        <v>150.05253955002848</v>
      </c>
      <c r="Y61" s="13">
        <f>F61</f>
        <v>169.17807377970442</v>
      </c>
    </row>
    <row r="62" spans="3:35" x14ac:dyDescent="0.15">
      <c r="C62" s="14"/>
      <c r="D62" s="116">
        <v>139.45609818368541</v>
      </c>
      <c r="E62" s="118">
        <v>57.67195124759094</v>
      </c>
      <c r="F62" s="117">
        <v>169.16904544949875</v>
      </c>
      <c r="G62" s="112">
        <v>4040</v>
      </c>
      <c r="K62" s="24"/>
      <c r="M62" s="14"/>
      <c r="N62" s="116">
        <v>139.8137012360778</v>
      </c>
      <c r="O62" s="118">
        <v>73.327605236408132</v>
      </c>
      <c r="P62" s="117">
        <v>166.27144487679067</v>
      </c>
      <c r="Q62" s="112">
        <v>4013.3333333333335</v>
      </c>
      <c r="T62" s="24"/>
      <c r="W62" s="12"/>
      <c r="X62" s="17">
        <f>D62</f>
        <v>139.45609818368541</v>
      </c>
      <c r="Y62" s="13">
        <f>F62</f>
        <v>169.16904544949875</v>
      </c>
    </row>
    <row r="63" spans="3:35" x14ac:dyDescent="0.15">
      <c r="C63" s="12"/>
      <c r="D63" s="17"/>
      <c r="E63" s="42"/>
      <c r="F63" s="13"/>
      <c r="G63" s="96"/>
      <c r="K63" s="24"/>
      <c r="M63" s="12"/>
      <c r="N63" s="17"/>
      <c r="O63" s="42"/>
      <c r="P63" s="13"/>
      <c r="Q63" s="35"/>
      <c r="T63" s="24"/>
      <c r="W63" s="12"/>
      <c r="X63" s="17">
        <f>N59</f>
        <v>177.73570182908642</v>
      </c>
      <c r="Y63" s="13">
        <f>P59</f>
        <v>166.12773047785547</v>
      </c>
    </row>
    <row r="64" spans="3:35" x14ac:dyDescent="0.15">
      <c r="C64" s="10" t="s">
        <v>114</v>
      </c>
      <c r="D64" s="116">
        <v>128.90693428688564</v>
      </c>
      <c r="E64" s="118">
        <v>54.451504598514305</v>
      </c>
      <c r="F64" s="117">
        <v>74.820392141737685</v>
      </c>
      <c r="G64" s="112">
        <v>3073.3333333333335</v>
      </c>
      <c r="H64" t="s">
        <v>4</v>
      </c>
      <c r="I64" t="s">
        <v>5</v>
      </c>
      <c r="K64" s="24"/>
      <c r="M64" s="10" t="s">
        <v>114</v>
      </c>
      <c r="N64" s="116">
        <v>129.19990627446921</v>
      </c>
      <c r="O64" s="118">
        <v>71.015258117342043</v>
      </c>
      <c r="P64" s="117">
        <v>74.664735053247043</v>
      </c>
      <c r="Q64" s="112">
        <v>3080</v>
      </c>
      <c r="R64" t="s">
        <v>4</v>
      </c>
      <c r="S64" t="s">
        <v>5</v>
      </c>
      <c r="T64" s="24" t="s">
        <v>6</v>
      </c>
      <c r="W64" s="12"/>
      <c r="X64" s="17">
        <f>N60</f>
        <v>163.49986992681139</v>
      </c>
      <c r="Y64" s="13">
        <f>P60</f>
        <v>166.43802423984073</v>
      </c>
    </row>
    <row r="65" spans="3:25" x14ac:dyDescent="0.15">
      <c r="C65" s="12"/>
      <c r="D65" s="116">
        <v>118.92053609192801</v>
      </c>
      <c r="E65" s="118">
        <v>54.067114966227088</v>
      </c>
      <c r="F65" s="117">
        <v>75.833334962098107</v>
      </c>
      <c r="G65" s="112">
        <v>3060</v>
      </c>
      <c r="H65" s="2">
        <f t="array" ref="H65:J65">LINEST(E64:E67,D64:D67^{1,2})</f>
        <v>-8.35886805969236E-4</v>
      </c>
      <c r="I65" s="2">
        <v>0.18440299465554127</v>
      </c>
      <c r="J65" s="2">
        <v>44.410679515502345</v>
      </c>
      <c r="K65" s="24"/>
      <c r="M65" s="12"/>
      <c r="N65" s="116">
        <v>118.49379513279769</v>
      </c>
      <c r="O65" s="118">
        <v>69.207392594698533</v>
      </c>
      <c r="P65" s="117">
        <v>75.607005937099942</v>
      </c>
      <c r="Q65" s="112">
        <v>3066.6666666666665</v>
      </c>
      <c r="R65" s="2">
        <f t="array" ref="R65:T65">LINEST(O64:O67,N64:N67^{1,2})</f>
        <v>1.8677123402232993E-3</v>
      </c>
      <c r="S65" s="2">
        <v>-0.36322330930282604</v>
      </c>
      <c r="T65" s="27">
        <v>86.579091360495411</v>
      </c>
      <c r="W65" s="12"/>
      <c r="X65" s="17">
        <f>N61</f>
        <v>150.93715952891725</v>
      </c>
      <c r="Y65" s="13">
        <f>P61</f>
        <v>167.04225955146646</v>
      </c>
    </row>
    <row r="66" spans="3:25" x14ac:dyDescent="0.15">
      <c r="C66" s="12"/>
      <c r="D66" s="116">
        <v>108.09236183775965</v>
      </c>
      <c r="E66" s="118">
        <v>55.01792182177379</v>
      </c>
      <c r="F66" s="117">
        <v>75.129711107349408</v>
      </c>
      <c r="G66" s="112">
        <v>3053.3333333333335</v>
      </c>
      <c r="K66" s="24"/>
      <c r="M66" s="12"/>
      <c r="N66" s="116">
        <v>107.73788615282413</v>
      </c>
      <c r="O66" s="118">
        <v>69.667473858703929</v>
      </c>
      <c r="P66" s="117">
        <v>75.008544459619515</v>
      </c>
      <c r="Q66" s="112">
        <v>3053.3333333333335</v>
      </c>
      <c r="T66" s="24"/>
      <c r="W66" s="14"/>
      <c r="X66" s="18">
        <f>N62</f>
        <v>139.8137012360778</v>
      </c>
      <c r="Y66" s="15">
        <f>P62</f>
        <v>166.27144487679067</v>
      </c>
    </row>
    <row r="67" spans="3:25" x14ac:dyDescent="0.15">
      <c r="C67" s="14"/>
      <c r="D67" s="116">
        <v>97.637725898629455</v>
      </c>
      <c r="E67" s="118">
        <v>54.297349049625566</v>
      </c>
      <c r="F67" s="117">
        <v>75.029888520884157</v>
      </c>
      <c r="G67" s="112">
        <v>3060</v>
      </c>
      <c r="K67" s="24"/>
      <c r="M67" s="14"/>
      <c r="N67" s="116">
        <v>96.456384991227822</v>
      </c>
      <c r="O67" s="118">
        <v>68.747405149388015</v>
      </c>
      <c r="P67" s="117">
        <v>76.147690977104276</v>
      </c>
      <c r="Q67" s="112">
        <v>3073.3333333333335</v>
      </c>
      <c r="T67" s="24"/>
      <c r="W67" s="12"/>
      <c r="X67" s="16" t="s">
        <v>13</v>
      </c>
      <c r="Y67" s="11" t="s">
        <v>49</v>
      </c>
    </row>
    <row r="68" spans="3:25" x14ac:dyDescent="0.15">
      <c r="C68" s="12"/>
      <c r="D68" s="17"/>
      <c r="E68" s="42"/>
      <c r="F68" s="24"/>
      <c r="G68" s="96"/>
      <c r="K68" s="24"/>
      <c r="M68" s="12"/>
      <c r="N68" s="17"/>
      <c r="O68" s="42"/>
      <c r="P68" s="13"/>
      <c r="Q68" s="35"/>
      <c r="T68" s="24"/>
      <c r="W68" s="10" t="s">
        <v>114</v>
      </c>
      <c r="X68" s="19">
        <f>D64</f>
        <v>128.90693428688564</v>
      </c>
      <c r="Y68" s="20">
        <f>F64</f>
        <v>74.820392141737685</v>
      </c>
    </row>
    <row r="69" spans="3:25" x14ac:dyDescent="0.15">
      <c r="C69" s="10" t="s">
        <v>10</v>
      </c>
      <c r="D69" s="116">
        <v>96.446026922929775</v>
      </c>
      <c r="E69" s="118">
        <v>50.705217763769895</v>
      </c>
      <c r="F69" s="117">
        <v>37.521574862086936</v>
      </c>
      <c r="G69" s="112">
        <v>2366.6666666666665</v>
      </c>
      <c r="I69" t="s">
        <v>4</v>
      </c>
      <c r="J69" t="s">
        <v>5</v>
      </c>
      <c r="K69" s="24"/>
      <c r="M69" s="10" t="s">
        <v>10</v>
      </c>
      <c r="N69" s="116">
        <v>96.677155462994648</v>
      </c>
      <c r="O69" s="118">
        <v>63.474654182224072</v>
      </c>
      <c r="P69" s="117">
        <v>37.671500566760479</v>
      </c>
      <c r="Q69" s="112">
        <v>2358</v>
      </c>
      <c r="R69" t="s">
        <v>4</v>
      </c>
      <c r="S69" t="s">
        <v>5</v>
      </c>
      <c r="T69" s="24" t="s">
        <v>6</v>
      </c>
      <c r="W69" s="12"/>
      <c r="X69" s="17">
        <f t="shared" ref="X69" si="14">D65</f>
        <v>118.92053609192801</v>
      </c>
      <c r="Y69" s="13">
        <f t="shared" ref="Y69" si="15">F65</f>
        <v>75.833334962098107</v>
      </c>
    </row>
    <row r="70" spans="3:25" x14ac:dyDescent="0.15">
      <c r="C70" s="12"/>
      <c r="D70" s="116">
        <v>89.482984390049424</v>
      </c>
      <c r="E70" s="118">
        <v>49.862182652532596</v>
      </c>
      <c r="F70" s="117">
        <v>38.03015416313044</v>
      </c>
      <c r="G70" s="112">
        <v>2366.6666666666665</v>
      </c>
      <c r="H70" s="2"/>
      <c r="I70" s="2">
        <f t="array" ref="I70:J70">LINEST(E69:E72,D69:D72)</f>
        <v>3.7361249881721015E-2</v>
      </c>
      <c r="J70" s="2">
        <v>46.826599558308779</v>
      </c>
      <c r="K70" s="24"/>
      <c r="M70" s="12"/>
      <c r="N70" s="116">
        <v>89.050003982355406</v>
      </c>
      <c r="O70" s="118">
        <v>63.121110432341567</v>
      </c>
      <c r="P70" s="117">
        <v>38.131443787846948</v>
      </c>
      <c r="Q70" s="112">
        <v>2360</v>
      </c>
      <c r="R70" s="2">
        <f t="array" ref="R70:T70">LINEST(O69:O72,N69:N72^{1,2})</f>
        <v>-4.9835663178183934E-4</v>
      </c>
      <c r="S70" s="2">
        <v>0.12485231562017783</v>
      </c>
      <c r="T70" s="27">
        <v>56.03489923029948</v>
      </c>
      <c r="W70" s="12"/>
      <c r="X70" s="17">
        <f>D67</f>
        <v>97.637725898629455</v>
      </c>
      <c r="Y70" s="13">
        <f>F67</f>
        <v>75.029888520884157</v>
      </c>
    </row>
    <row r="71" spans="3:25" x14ac:dyDescent="0.15">
      <c r="C71" s="12"/>
      <c r="D71" s="116">
        <v>81.913305263117934</v>
      </c>
      <c r="E71" s="118">
        <v>49.69054596207009</v>
      </c>
      <c r="F71" s="117">
        <v>37.605259566643696</v>
      </c>
      <c r="G71" s="112">
        <v>2346.6666666666665</v>
      </c>
      <c r="K71" s="24"/>
      <c r="M71" s="12"/>
      <c r="N71" s="116">
        <v>81.113386537818101</v>
      </c>
      <c r="O71" s="118">
        <v>62.964148018821327</v>
      </c>
      <c r="P71" s="117">
        <v>38.111301196784787</v>
      </c>
      <c r="Q71" s="112">
        <v>2373.3333333333335</v>
      </c>
      <c r="T71" s="24"/>
      <c r="W71" s="12"/>
      <c r="X71" s="17">
        <f>N64</f>
        <v>129.19990627446921</v>
      </c>
      <c r="Y71" s="13">
        <f>P64</f>
        <v>74.664735053247043</v>
      </c>
    </row>
    <row r="72" spans="3:25" x14ac:dyDescent="0.15">
      <c r="C72" s="14"/>
      <c r="D72" s="116">
        <v>74.605066551746319</v>
      </c>
      <c r="E72" s="118">
        <v>49.842714107243317</v>
      </c>
      <c r="F72" s="117">
        <v>37.553374474480925</v>
      </c>
      <c r="G72" s="112">
        <v>2346.6666666666665</v>
      </c>
      <c r="K72" s="24"/>
      <c r="M72" s="14"/>
      <c r="N72" s="116">
        <v>73.662533531132837</v>
      </c>
      <c r="O72" s="118">
        <v>62.499440267629495</v>
      </c>
      <c r="P72" s="117">
        <v>37.03115401994468</v>
      </c>
      <c r="Q72" s="112">
        <v>2352</v>
      </c>
      <c r="T72" s="24"/>
      <c r="W72" s="12"/>
      <c r="X72" s="17">
        <f>N65</f>
        <v>118.49379513279769</v>
      </c>
      <c r="Y72" s="13">
        <f>P65</f>
        <v>75.607005937099942</v>
      </c>
    </row>
    <row r="73" spans="3:25" x14ac:dyDescent="0.15">
      <c r="C73" s="12"/>
      <c r="D73" s="17"/>
      <c r="E73" s="42"/>
      <c r="F73" s="13"/>
      <c r="G73" s="96"/>
      <c r="K73" s="24"/>
      <c r="M73" s="12"/>
      <c r="N73" s="17"/>
      <c r="O73" s="42"/>
      <c r="P73" s="13"/>
      <c r="Q73" s="35"/>
      <c r="T73" s="24"/>
      <c r="W73" s="12"/>
      <c r="X73" s="17">
        <f>N66</f>
        <v>107.73788615282413</v>
      </c>
      <c r="Y73" s="13">
        <f>P66</f>
        <v>75.008544459619515</v>
      </c>
    </row>
    <row r="74" spans="3:25" x14ac:dyDescent="0.15">
      <c r="C74" s="10" t="s">
        <v>12</v>
      </c>
      <c r="D74" s="116">
        <v>52.691549157468963</v>
      </c>
      <c r="E74" s="118">
        <v>41.380052436275669</v>
      </c>
      <c r="F74" s="117">
        <v>12.146003600193032</v>
      </c>
      <c r="G74" s="112">
        <v>1433.3333333333333</v>
      </c>
      <c r="I74" t="s">
        <v>4</v>
      </c>
      <c r="J74" t="s">
        <v>5</v>
      </c>
      <c r="K74" s="24"/>
      <c r="M74" s="10" t="s">
        <v>12</v>
      </c>
      <c r="N74" s="116">
        <v>52.674432772712962</v>
      </c>
      <c r="O74" s="118">
        <v>52.459873209173018</v>
      </c>
      <c r="P74" s="117">
        <v>12.163996986693864</v>
      </c>
      <c r="Q74" s="112">
        <v>1446.6666666666667</v>
      </c>
      <c r="R74" t="s">
        <v>4</v>
      </c>
      <c r="S74" t="s">
        <v>5</v>
      </c>
      <c r="T74" s="24" t="s">
        <v>6</v>
      </c>
      <c r="W74" s="14"/>
      <c r="X74" s="18">
        <f>N67</f>
        <v>96.456384991227822</v>
      </c>
      <c r="Y74" s="15">
        <f>P67</f>
        <v>76.147690977104276</v>
      </c>
    </row>
    <row r="75" spans="3:25" x14ac:dyDescent="0.15">
      <c r="C75" s="12"/>
      <c r="D75" s="116">
        <v>50.633657357814492</v>
      </c>
      <c r="E75" s="118">
        <v>41.607142667549759</v>
      </c>
      <c r="F75" s="117">
        <v>12.05591376347108</v>
      </c>
      <c r="G75" s="112">
        <v>1433.3333333333333</v>
      </c>
      <c r="H75" s="2"/>
      <c r="I75" s="2">
        <f t="array" ref="I75:J75">LINEST(E74:E77,D74:D77)</f>
        <v>-1.3616432748390729E-2</v>
      </c>
      <c r="J75" s="2">
        <v>42.289298445256939</v>
      </c>
      <c r="K75" s="24"/>
      <c r="M75" s="12"/>
      <c r="N75" s="116">
        <v>50.314053190972899</v>
      </c>
      <c r="O75" s="118">
        <v>51.838959953428834</v>
      </c>
      <c r="P75" s="117">
        <v>12.018930654554175</v>
      </c>
      <c r="Q75" s="112">
        <v>1440</v>
      </c>
      <c r="R75" s="2">
        <f t="array" ref="R75:T75">LINEST(O74:O77,N74:N77^{1,2})</f>
        <v>6.3700247481394186E-4</v>
      </c>
      <c r="S75" s="2">
        <v>7.5665774519152101E-2</v>
      </c>
      <c r="T75" s="27">
        <v>46.619266653588156</v>
      </c>
      <c r="W75" s="12"/>
      <c r="X75" s="16" t="s">
        <v>13</v>
      </c>
      <c r="Y75" s="11" t="s">
        <v>49</v>
      </c>
    </row>
    <row r="76" spans="3:25" x14ac:dyDescent="0.15">
      <c r="C76" s="12"/>
      <c r="D76" s="116">
        <v>47.425486734660552</v>
      </c>
      <c r="E76" s="118">
        <v>42.11228816912228</v>
      </c>
      <c r="F76" s="117">
        <v>12.128112153149525</v>
      </c>
      <c r="G76" s="112">
        <v>1433.3333333333333</v>
      </c>
      <c r="K76" s="24"/>
      <c r="M76" s="12"/>
      <c r="N76" s="116">
        <v>47.062148526651839</v>
      </c>
      <c r="O76" s="118">
        <v>51.742817256488848</v>
      </c>
      <c r="P76" s="117">
        <v>12.057302090130493</v>
      </c>
      <c r="Q76" s="112">
        <v>1433.3333333333333</v>
      </c>
      <c r="T76" s="24"/>
      <c r="W76" s="10" t="s">
        <v>10</v>
      </c>
      <c r="X76" s="19">
        <f>D69</f>
        <v>96.446026922929775</v>
      </c>
      <c r="Y76" s="20">
        <f>F69</f>
        <v>37.521574862086936</v>
      </c>
    </row>
    <row r="77" spans="3:25" x14ac:dyDescent="0.15">
      <c r="C77" s="14"/>
      <c r="D77" s="116">
        <v>43.955253994144648</v>
      </c>
      <c r="E77" s="118">
        <v>41.40651007171919</v>
      </c>
      <c r="F77" s="117">
        <v>12.087786856883648</v>
      </c>
      <c r="G77" s="112">
        <v>1440</v>
      </c>
      <c r="H77" s="25"/>
      <c r="I77" s="25"/>
      <c r="J77" s="25"/>
      <c r="K77" s="26"/>
      <c r="M77" s="14"/>
      <c r="N77" s="116">
        <v>43.017634077035808</v>
      </c>
      <c r="O77" s="118">
        <v>51.013721065119356</v>
      </c>
      <c r="P77" s="117">
        <v>11.924120066096666</v>
      </c>
      <c r="Q77" s="112">
        <v>1433.3333333333333</v>
      </c>
      <c r="R77" s="25"/>
      <c r="S77" s="25"/>
      <c r="T77" s="26"/>
      <c r="W77" s="12"/>
      <c r="X77" s="17">
        <f t="shared" ref="X77" si="16">D70</f>
        <v>89.482984390049424</v>
      </c>
      <c r="Y77" s="13">
        <f>F70</f>
        <v>38.03015416313044</v>
      </c>
    </row>
    <row r="78" spans="3:25" x14ac:dyDescent="0.15">
      <c r="W78" s="12"/>
      <c r="X78" s="17">
        <f>D72</f>
        <v>74.605066551746319</v>
      </c>
      <c r="Y78" s="13">
        <f>F72</f>
        <v>37.553374474480925</v>
      </c>
    </row>
    <row r="79" spans="3:25" x14ac:dyDescent="0.15">
      <c r="F79" s="5"/>
      <c r="W79" s="12"/>
      <c r="X79" s="17">
        <f>N69</f>
        <v>96.677155462994648</v>
      </c>
      <c r="Y79" s="13">
        <f>P69</f>
        <v>37.671500566760479</v>
      </c>
    </row>
    <row r="80" spans="3:25" x14ac:dyDescent="0.15">
      <c r="F80" s="5"/>
      <c r="W80" s="12"/>
      <c r="X80" s="17">
        <f>N70</f>
        <v>89.050003982355406</v>
      </c>
      <c r="Y80" s="13">
        <f>P70</f>
        <v>38.131443787846948</v>
      </c>
    </row>
    <row r="81" spans="6:30" x14ac:dyDescent="0.15">
      <c r="F81" s="5"/>
      <c r="W81" s="12"/>
      <c r="X81" s="17">
        <f>N71</f>
        <v>81.113386537818101</v>
      </c>
      <c r="Y81" s="13">
        <f>P71</f>
        <v>38.111301196784787</v>
      </c>
      <c r="AA81" t="s">
        <v>50</v>
      </c>
    </row>
    <row r="82" spans="6:30" x14ac:dyDescent="0.15">
      <c r="F82" s="5"/>
      <c r="W82" s="14"/>
      <c r="X82" s="18">
        <f>N72</f>
        <v>73.662533531132837</v>
      </c>
      <c r="Y82" s="15">
        <f>P72</f>
        <v>37.03115401994468</v>
      </c>
      <c r="AB82" s="4" t="s">
        <v>4</v>
      </c>
      <c r="AC82" s="4" t="s">
        <v>5</v>
      </c>
      <c r="AD82" s="4" t="s">
        <v>6</v>
      </c>
    </row>
    <row r="83" spans="6:30" x14ac:dyDescent="0.15">
      <c r="W83" s="12"/>
      <c r="X83" s="16" t="s">
        <v>13</v>
      </c>
      <c r="Y83" s="11" t="s">
        <v>49</v>
      </c>
      <c r="AA83" t="s">
        <v>3</v>
      </c>
      <c r="AB83" s="54">
        <f t="array" ref="AB83:AD83">LINEST(Y59:Y66,X59:X66^{1,2})</f>
        <v>2.5025571648286973E-4</v>
      </c>
      <c r="AC83" s="54">
        <v>-9.8634961625720954E-2</v>
      </c>
      <c r="AD83" s="54">
        <v>176.82767950458211</v>
      </c>
    </row>
    <row r="84" spans="6:30" x14ac:dyDescent="0.15">
      <c r="W84" s="10" t="s">
        <v>12</v>
      </c>
      <c r="X84" s="19">
        <f>D74</f>
        <v>52.691549157468963</v>
      </c>
      <c r="Y84" s="20">
        <f>F74</f>
        <v>12.146003600193032</v>
      </c>
      <c r="AA84" t="s">
        <v>114</v>
      </c>
      <c r="AB84" s="54">
        <f t="array" ref="AB84:AD84">LINEST(Y68:Y74,X68:X74^{1,2})</f>
        <v>-1.3104809546391626E-3</v>
      </c>
      <c r="AC84" s="54">
        <v>0.27612268497059966</v>
      </c>
      <c r="AD84" s="54">
        <v>61.060835571339837</v>
      </c>
    </row>
    <row r="85" spans="6:30" x14ac:dyDescent="0.15">
      <c r="W85" s="12"/>
      <c r="X85" s="17">
        <f t="shared" ref="X85:X86" si="17">D75</f>
        <v>50.633657357814492</v>
      </c>
      <c r="Y85" s="13">
        <f>F75</f>
        <v>12.05591376347108</v>
      </c>
      <c r="AA85" t="s">
        <v>10</v>
      </c>
      <c r="AB85" s="54">
        <f t="array" ref="AB85:AD85">LINEST(Y76:Y82,X76:X82^{1,2})</f>
        <v>-5.9348652144834849E-3</v>
      </c>
      <c r="AC85" s="54">
        <v>1.0252845617812771</v>
      </c>
      <c r="AD85" s="54">
        <v>-6.0913639891909028</v>
      </c>
    </row>
    <row r="86" spans="6:30" x14ac:dyDescent="0.15">
      <c r="W86" s="12"/>
      <c r="X86" s="17">
        <f t="shared" si="17"/>
        <v>47.425486734660552</v>
      </c>
      <c r="Y86" s="13">
        <f>F76</f>
        <v>12.128112153149525</v>
      </c>
      <c r="AA86" t="s">
        <v>12</v>
      </c>
      <c r="AB86" s="54">
        <f t="array" ref="AB86:AD86">LINEST(Y84:Y90,X84:X90^{1,2})</f>
        <v>-9.7181951292139239E-4</v>
      </c>
      <c r="AC86" s="54">
        <v>0.11181227950970757</v>
      </c>
      <c r="AD86" s="54">
        <v>8.93343422397135</v>
      </c>
    </row>
    <row r="87" spans="6:30" x14ac:dyDescent="0.15">
      <c r="F87" s="5"/>
      <c r="W87" s="12"/>
      <c r="X87" s="17">
        <f>N74</f>
        <v>52.674432772712962</v>
      </c>
      <c r="Y87" s="13">
        <f>P74</f>
        <v>12.163996986693864</v>
      </c>
    </row>
    <row r="88" spans="6:30" x14ac:dyDescent="0.15">
      <c r="F88" s="5"/>
      <c r="W88" s="12"/>
      <c r="X88" s="17">
        <f t="shared" ref="X88:X90" si="18">N75</f>
        <v>50.314053190972899</v>
      </c>
      <c r="Y88" s="13">
        <f>P75</f>
        <v>12.018930654554175</v>
      </c>
    </row>
    <row r="89" spans="6:30" x14ac:dyDescent="0.15">
      <c r="F89" s="5"/>
      <c r="W89" s="12"/>
      <c r="X89" s="17">
        <f t="shared" si="18"/>
        <v>47.062148526651839</v>
      </c>
      <c r="Y89" s="13">
        <f>P76</f>
        <v>12.057302090130493</v>
      </c>
    </row>
    <row r="90" spans="6:30" x14ac:dyDescent="0.15">
      <c r="F90" s="5"/>
      <c r="W90" s="14"/>
      <c r="X90" s="18">
        <f t="shared" si="18"/>
        <v>43.017634077035808</v>
      </c>
      <c r="Y90" s="15">
        <f>P77</f>
        <v>11.924120066096666</v>
      </c>
    </row>
    <row r="91" spans="6:30" x14ac:dyDescent="0.15">
      <c r="F91" s="5"/>
    </row>
    <row r="92" spans="6:30" x14ac:dyDescent="0.15">
      <c r="F92" s="5"/>
    </row>
    <row r="93" spans="6:30" x14ac:dyDescent="0.15">
      <c r="F93" s="5"/>
    </row>
    <row r="94" spans="6:30" x14ac:dyDescent="0.15">
      <c r="F94" s="5"/>
    </row>
    <row r="95" spans="6:30" x14ac:dyDescent="0.15">
      <c r="F95" s="5"/>
    </row>
    <row r="96" spans="6:30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2C7FB-EFF8-483E-92AC-66EFC1266C53}">
  <sheetPr codeName="Taul24"/>
  <dimension ref="B3:W49"/>
  <sheetViews>
    <sheetView workbookViewId="0">
      <selection activeCell="N48" sqref="M48:N50"/>
    </sheetView>
  </sheetViews>
  <sheetFormatPr baseColWidth="10" defaultColWidth="8.83203125" defaultRowHeight="13" x14ac:dyDescent="0.15"/>
  <cols>
    <col min="2" max="2" width="22.5" customWidth="1"/>
  </cols>
  <sheetData>
    <row r="3" spans="2:7" x14ac:dyDescent="0.15">
      <c r="B3" s="2" t="s">
        <v>79</v>
      </c>
    </row>
    <row r="4" spans="2:7" x14ac:dyDescent="0.15">
      <c r="B4" t="s">
        <v>7</v>
      </c>
      <c r="C4" s="3">
        <f>Tulokset!E37</f>
        <v>4.6056989925805771</v>
      </c>
      <c r="D4" t="s">
        <v>25</v>
      </c>
    </row>
    <row r="5" spans="2:7" x14ac:dyDescent="0.15">
      <c r="B5" t="s">
        <v>8</v>
      </c>
      <c r="C5" s="3">
        <f>Tulokset!H37</f>
        <v>4.0607088592057181</v>
      </c>
      <c r="D5" t="s">
        <v>25</v>
      </c>
    </row>
    <row r="7" spans="2:7" x14ac:dyDescent="0.15">
      <c r="B7" s="2" t="s">
        <v>88</v>
      </c>
    </row>
    <row r="8" spans="2:7" x14ac:dyDescent="0.15">
      <c r="B8" t="s">
        <v>90</v>
      </c>
    </row>
    <row r="9" spans="2:7" x14ac:dyDescent="0.15">
      <c r="B9" t="s">
        <v>89</v>
      </c>
    </row>
    <row r="11" spans="2:7" x14ac:dyDescent="0.15">
      <c r="C11" t="s">
        <v>4</v>
      </c>
      <c r="D11" t="s">
        <v>5</v>
      </c>
    </row>
    <row r="12" spans="2:7" x14ac:dyDescent="0.15">
      <c r="B12" t="s">
        <v>141</v>
      </c>
      <c r="C12" s="107">
        <v>12.290304219710688</v>
      </c>
      <c r="D12" s="107">
        <v>19.607987409354017</v>
      </c>
    </row>
    <row r="15" spans="2:7" x14ac:dyDescent="0.15">
      <c r="B15" t="s">
        <v>91</v>
      </c>
      <c r="C15" s="3">
        <f>MAX(C4,C5)</f>
        <v>4.6056989925805771</v>
      </c>
      <c r="D15" t="s">
        <v>25</v>
      </c>
      <c r="E15" s="82" t="s">
        <v>42</v>
      </c>
      <c r="F15" s="5">
        <f>C12*LN(C15)+D12</f>
        <v>38.378900809678001</v>
      </c>
      <c r="G15" t="s">
        <v>31</v>
      </c>
    </row>
    <row r="16" spans="2:7" x14ac:dyDescent="0.15">
      <c r="B16" t="s">
        <v>92</v>
      </c>
      <c r="C16" s="79">
        <f>(2*MAX(C4,C5)+MIN(C4,C5))/3</f>
        <v>4.4240356147889575</v>
      </c>
      <c r="D16" t="s">
        <v>25</v>
      </c>
      <c r="E16" s="82" t="s">
        <v>42</v>
      </c>
      <c r="F16" s="5">
        <f>C12*LN(C16)+D12</f>
        <v>37.884312745759061</v>
      </c>
      <c r="G16" t="s">
        <v>31</v>
      </c>
    </row>
    <row r="18" spans="2:5" ht="14" x14ac:dyDescent="0.15">
      <c r="B18" s="83" t="s">
        <v>82</v>
      </c>
    </row>
    <row r="20" spans="2:5" x14ac:dyDescent="0.15">
      <c r="B20" s="2" t="s">
        <v>84</v>
      </c>
    </row>
    <row r="21" spans="2:5" x14ac:dyDescent="0.15">
      <c r="B21" t="s">
        <v>85</v>
      </c>
      <c r="C21" t="s">
        <v>28</v>
      </c>
      <c r="D21" s="3">
        <f>Tulostus!N54</f>
        <v>49.966638054503562</v>
      </c>
      <c r="E21" t="s">
        <v>31</v>
      </c>
    </row>
    <row r="22" spans="2:5" x14ac:dyDescent="0.15">
      <c r="B22" s="25"/>
      <c r="C22" s="25" t="s">
        <v>8</v>
      </c>
      <c r="D22" s="81">
        <f>Tulostus!N55</f>
        <v>48.666327398220631</v>
      </c>
      <c r="E22" t="s">
        <v>31</v>
      </c>
    </row>
    <row r="23" spans="2:5" x14ac:dyDescent="0.15">
      <c r="C23" t="s">
        <v>87</v>
      </c>
      <c r="D23" s="3">
        <f>ABS(D21-D22)</f>
        <v>1.3003106562829316</v>
      </c>
      <c r="E23" t="s">
        <v>31</v>
      </c>
    </row>
    <row r="24" spans="2:5" x14ac:dyDescent="0.15">
      <c r="D24" s="3"/>
    </row>
    <row r="25" spans="2:5" x14ac:dyDescent="0.15">
      <c r="B25" t="s">
        <v>86</v>
      </c>
      <c r="C25" t="s">
        <v>7</v>
      </c>
      <c r="D25" s="3">
        <f>Tulostus!N53</f>
        <v>60.554075562111798</v>
      </c>
      <c r="E25" t="s">
        <v>31</v>
      </c>
    </row>
    <row r="26" spans="2:5" x14ac:dyDescent="0.15">
      <c r="B26" s="25"/>
      <c r="C26" s="25" t="s">
        <v>57</v>
      </c>
      <c r="D26" s="81">
        <f>Tulostus!N56</f>
        <v>58.69453842504565</v>
      </c>
      <c r="E26" t="s">
        <v>31</v>
      </c>
    </row>
    <row r="27" spans="2:5" x14ac:dyDescent="0.15">
      <c r="C27" t="s">
        <v>87</v>
      </c>
      <c r="D27" s="3">
        <f>ABS(D25-D26)</f>
        <v>1.8595371370661482</v>
      </c>
      <c r="E27" t="s">
        <v>31</v>
      </c>
    </row>
    <row r="29" spans="2:5" x14ac:dyDescent="0.15">
      <c r="B29" t="s">
        <v>94</v>
      </c>
      <c r="C29" s="3">
        <f>AVERAGE(D27,D23)</f>
        <v>1.5799238966745399</v>
      </c>
      <c r="D29" t="s">
        <v>31</v>
      </c>
    </row>
    <row r="30" spans="2:5" x14ac:dyDescent="0.15">
      <c r="B30" t="s">
        <v>93</v>
      </c>
      <c r="C30" s="3">
        <f>-10*LOG10((1-10^(-C29/10)))-3</f>
        <v>2.1575213231084573</v>
      </c>
      <c r="D30" t="s">
        <v>31</v>
      </c>
    </row>
    <row r="32" spans="2:5" x14ac:dyDescent="0.15">
      <c r="B32" t="s">
        <v>83</v>
      </c>
      <c r="C32" s="3">
        <f>F15+C30</f>
        <v>40.536422132786456</v>
      </c>
      <c r="D32" t="s">
        <v>31</v>
      </c>
    </row>
    <row r="33" spans="2:23" x14ac:dyDescent="0.15">
      <c r="B33" t="s">
        <v>95</v>
      </c>
      <c r="C33" s="3">
        <f>F15-2.6</f>
        <v>35.778900809677999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37.884312745759061</v>
      </c>
      <c r="D35" s="2" t="s">
        <v>31</v>
      </c>
      <c r="F35" s="5">
        <f>C35+10*LOG10(4/10)</f>
        <v>33.904912659038686</v>
      </c>
      <c r="G35" s="5">
        <f>C35+10*LOG10(4/2.5)</f>
        <v>39.925512572318311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85">
        <v>11</v>
      </c>
      <c r="D39" s="85">
        <v>6</v>
      </c>
      <c r="E39" s="85">
        <v>6</v>
      </c>
      <c r="F39" s="85">
        <v>-4</v>
      </c>
      <c r="G39" s="85">
        <v>-16</v>
      </c>
      <c r="H39" s="85">
        <v>-18</v>
      </c>
      <c r="I39" s="85">
        <v>-23</v>
      </c>
      <c r="J39" s="85">
        <v>-24</v>
      </c>
      <c r="K39" s="87" t="s">
        <v>42</v>
      </c>
      <c r="L39" s="86">
        <f>$C$35+C39</f>
        <v>48.884312745759061</v>
      </c>
      <c r="M39" s="86">
        <f t="shared" ref="M39:S39" si="0">$C$35+D39</f>
        <v>43.884312745759061</v>
      </c>
      <c r="N39" s="86">
        <f t="shared" si="0"/>
        <v>43.884312745759061</v>
      </c>
      <c r="O39" s="86">
        <f t="shared" si="0"/>
        <v>33.884312745759061</v>
      </c>
      <c r="P39" s="86">
        <f t="shared" si="0"/>
        <v>21.884312745759061</v>
      </c>
      <c r="Q39" s="86">
        <f t="shared" si="0"/>
        <v>19.884312745759061</v>
      </c>
      <c r="R39" s="86">
        <f t="shared" si="0"/>
        <v>14.884312745759061</v>
      </c>
      <c r="S39" s="86">
        <f t="shared" si="0"/>
        <v>13.884312745759061</v>
      </c>
      <c r="T39" s="5">
        <f t="array" ref="T39">10*LOG10(SUM(10^(L39:S39/10)))</f>
        <v>51.106395140965063</v>
      </c>
      <c r="U39" s="5">
        <f t="array" ref="U39">10*LOG10(SUM(10^((L39:S39+L41:S41)/10)))</f>
        <v>37.5383143503771</v>
      </c>
      <c r="W39" t="str">
        <f>IF(ABS(C35-U39)&lt;0.5,"OK","Tarkista laskenta!")</f>
        <v>OK</v>
      </c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608C8-2BA2-48C5-ABC3-D492505B8AD4}">
  <dimension ref="B1:AX84"/>
  <sheetViews>
    <sheetView workbookViewId="0">
      <selection activeCell="K13" sqref="K13"/>
    </sheetView>
  </sheetViews>
  <sheetFormatPr baseColWidth="10" defaultColWidth="8.83203125" defaultRowHeight="13" x14ac:dyDescent="0.15"/>
  <cols>
    <col min="2" max="2" width="15.6640625" customWidth="1"/>
    <col min="3" max="5" width="11" customWidth="1"/>
  </cols>
  <sheetData>
    <row r="1" spans="2:50" x14ac:dyDescent="0.15">
      <c r="C1" s="344" t="s">
        <v>1175</v>
      </c>
      <c r="D1" s="344" t="s">
        <v>1180</v>
      </c>
      <c r="E1" s="344" t="s">
        <v>1181</v>
      </c>
    </row>
    <row r="2" spans="2:50" ht="14" x14ac:dyDescent="0.15">
      <c r="B2" s="344" t="b">
        <f>Tulokset!DG4</f>
        <v>0</v>
      </c>
      <c r="C2" s="344" t="s">
        <v>988</v>
      </c>
      <c r="D2" s="344">
        <v>0</v>
      </c>
      <c r="E2" s="344">
        <v>4</v>
      </c>
      <c r="H2" s="2" t="s">
        <v>1195</v>
      </c>
      <c r="Z2" s="2" t="s">
        <v>21</v>
      </c>
    </row>
    <row r="3" spans="2:50" x14ac:dyDescent="0.15">
      <c r="B3" s="344" t="b">
        <f>IF(B2,FALSE,TRUE)</f>
        <v>1</v>
      </c>
      <c r="C3" s="344" t="s">
        <v>1177</v>
      </c>
      <c r="D3" s="344">
        <v>4</v>
      </c>
      <c r="E3" s="344">
        <v>13</v>
      </c>
      <c r="H3" s="2" t="s">
        <v>1016</v>
      </c>
      <c r="I3" s="2" t="s">
        <v>270</v>
      </c>
      <c r="J3" s="2" t="s">
        <v>271</v>
      </c>
      <c r="K3" s="2" t="s">
        <v>272</v>
      </c>
      <c r="L3" s="2" t="str">
        <f>B11</f>
        <v>SWE - Stockholm</v>
      </c>
      <c r="M3" s="2" t="str">
        <f>B12</f>
        <v>SWE - Gothenburg</v>
      </c>
      <c r="N3" s="2" t="str">
        <f>B13</f>
        <v>EST - Tallinn</v>
      </c>
      <c r="O3" s="2" t="str">
        <f>B14</f>
        <v>LAT - Riga</v>
      </c>
      <c r="P3" s="2" t="str">
        <f>B15</f>
        <v>LTU - Vilnius</v>
      </c>
      <c r="Q3" s="2" t="str">
        <f>B16</f>
        <v>POL - Warsaw</v>
      </c>
      <c r="R3" s="2" t="str">
        <f>B17</f>
        <v>POL - Krakow</v>
      </c>
      <c r="S3" s="2" t="str">
        <f>B18</f>
        <v>POL - Gdansk</v>
      </c>
      <c r="T3" s="2" t="str">
        <f>B19</f>
        <v>ISL - Reykjavík</v>
      </c>
      <c r="U3" s="2" t="str">
        <f>B20</f>
        <v>ROU - Bucharest</v>
      </c>
      <c r="V3" s="2" t="str">
        <f>B21</f>
        <v>NOR - Oslo</v>
      </c>
      <c r="W3" s="2" t="str">
        <f>B22</f>
        <v>DEN - Copenhagen</v>
      </c>
      <c r="X3" s="2" t="str">
        <f>B23</f>
        <v>GER - Berlin</v>
      </c>
      <c r="Z3" t="str" cm="1">
        <f t="array" ref="Z3">INDEX(H3:X3,1,$B$30)</f>
        <v>SWE - Stockholm</v>
      </c>
      <c r="AH3" t="s">
        <v>1016</v>
      </c>
      <c r="AI3" t="s">
        <v>270</v>
      </c>
      <c r="AJ3" t="s">
        <v>271</v>
      </c>
      <c r="AK3" t="s">
        <v>272</v>
      </c>
      <c r="AL3" t="s">
        <v>1364</v>
      </c>
      <c r="AM3" t="s">
        <v>1368</v>
      </c>
      <c r="AN3" t="s">
        <v>1365</v>
      </c>
      <c r="AO3" t="s">
        <v>1374</v>
      </c>
      <c r="AP3" t="s">
        <v>1377</v>
      </c>
      <c r="AQ3" t="s">
        <v>1378</v>
      </c>
      <c r="AR3" t="s">
        <v>1379</v>
      </c>
      <c r="AS3" t="s">
        <v>1385</v>
      </c>
      <c r="AT3" t="s">
        <v>1386</v>
      </c>
      <c r="AU3" t="s">
        <v>1388</v>
      </c>
      <c r="AV3" t="s">
        <v>1390</v>
      </c>
      <c r="AW3" t="s">
        <v>1394</v>
      </c>
      <c r="AX3" t="s">
        <v>1392</v>
      </c>
    </row>
    <row r="4" spans="2:50" x14ac:dyDescent="0.15">
      <c r="C4" s="630" t="s">
        <v>21</v>
      </c>
      <c r="D4" s="630">
        <f>IF($B$2,D2,D3)</f>
        <v>4</v>
      </c>
      <c r="E4" s="630">
        <f>IF($B$2,E2,E3)</f>
        <v>13</v>
      </c>
      <c r="G4" s="565">
        <v>-40</v>
      </c>
      <c r="H4" s="566">
        <v>0</v>
      </c>
      <c r="I4" s="566">
        <v>0</v>
      </c>
      <c r="J4" s="566">
        <v>0</v>
      </c>
      <c r="K4" s="566">
        <v>0</v>
      </c>
      <c r="L4" s="566">
        <v>0</v>
      </c>
      <c r="M4" s="566">
        <v>0</v>
      </c>
      <c r="N4" s="566">
        <v>0</v>
      </c>
      <c r="O4" s="566">
        <v>0</v>
      </c>
      <c r="P4" s="566">
        <v>0</v>
      </c>
      <c r="Q4" s="566">
        <v>0</v>
      </c>
      <c r="R4" s="566">
        <v>0</v>
      </c>
      <c r="S4" s="566">
        <v>0</v>
      </c>
      <c r="T4" s="566">
        <v>0</v>
      </c>
      <c r="U4" s="566">
        <v>0</v>
      </c>
      <c r="V4" s="566">
        <v>0</v>
      </c>
      <c r="W4" s="566">
        <v>0</v>
      </c>
      <c r="X4" s="566">
        <v>0</v>
      </c>
      <c r="Z4" s="657" cm="1">
        <f t="array" ref="Z4">INDEX(H4:X4,1,$B$30)</f>
        <v>0</v>
      </c>
      <c r="AH4">
        <v>0</v>
      </c>
      <c r="AI4">
        <v>0</v>
      </c>
      <c r="AJ4">
        <v>0</v>
      </c>
      <c r="AK4">
        <v>0</v>
      </c>
      <c r="AL4" t="s">
        <v>1019</v>
      </c>
      <c r="AM4" t="s">
        <v>1020</v>
      </c>
      <c r="AN4" t="s">
        <v>1395</v>
      </c>
      <c r="AO4" t="s">
        <v>1022</v>
      </c>
      <c r="AP4" t="s">
        <v>1023</v>
      </c>
      <c r="AQ4" t="s">
        <v>1396</v>
      </c>
      <c r="AR4" t="s">
        <v>1397</v>
      </c>
      <c r="AS4" t="s">
        <v>1380</v>
      </c>
      <c r="AT4" t="s">
        <v>1382</v>
      </c>
      <c r="AU4" t="s">
        <v>1383</v>
      </c>
      <c r="AV4" t="s">
        <v>1384</v>
      </c>
      <c r="AW4" t="s">
        <v>1398</v>
      </c>
      <c r="AX4" t="s">
        <v>1399</v>
      </c>
    </row>
    <row r="5" spans="2:50" x14ac:dyDescent="0.15">
      <c r="G5" s="567">
        <v>-39</v>
      </c>
      <c r="H5" s="566">
        <v>0</v>
      </c>
      <c r="I5" s="566">
        <v>0</v>
      </c>
      <c r="J5" s="566">
        <v>0</v>
      </c>
      <c r="K5" s="566">
        <v>0</v>
      </c>
      <c r="L5" s="566">
        <v>0</v>
      </c>
      <c r="M5" s="566">
        <v>0</v>
      </c>
      <c r="N5" s="566">
        <v>0</v>
      </c>
      <c r="O5" s="566">
        <v>0</v>
      </c>
      <c r="P5" s="566">
        <v>0</v>
      </c>
      <c r="Q5" s="566">
        <v>0</v>
      </c>
      <c r="R5" s="566">
        <v>0</v>
      </c>
      <c r="S5" s="566">
        <v>0</v>
      </c>
      <c r="T5" s="566">
        <v>0</v>
      </c>
      <c r="U5" s="566">
        <v>0</v>
      </c>
      <c r="V5" s="566">
        <v>0</v>
      </c>
      <c r="W5" s="566">
        <v>0</v>
      </c>
      <c r="X5" s="566">
        <v>0</v>
      </c>
      <c r="Z5" s="657" cm="1">
        <f t="array" ref="Z5">INDEX(H5:X5,1,$B$30)</f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</row>
    <row r="6" spans="2:50" x14ac:dyDescent="0.15">
      <c r="B6" s="2" t="s">
        <v>1179</v>
      </c>
      <c r="G6" s="567">
        <v>-38</v>
      </c>
      <c r="H6" s="566">
        <v>0</v>
      </c>
      <c r="I6" s="566">
        <v>0</v>
      </c>
      <c r="J6" s="566">
        <v>0</v>
      </c>
      <c r="K6" s="566">
        <v>3.4246575342465754E-4</v>
      </c>
      <c r="L6" s="566">
        <v>0</v>
      </c>
      <c r="M6" s="566">
        <v>0</v>
      </c>
      <c r="N6" s="566">
        <v>0</v>
      </c>
      <c r="O6" s="566">
        <v>0</v>
      </c>
      <c r="P6" s="566">
        <v>0</v>
      </c>
      <c r="Q6" s="566">
        <v>0</v>
      </c>
      <c r="R6" s="566">
        <v>0</v>
      </c>
      <c r="S6" s="566">
        <v>0</v>
      </c>
      <c r="T6" s="566">
        <v>0</v>
      </c>
      <c r="U6" s="566">
        <v>0</v>
      </c>
      <c r="V6" s="566">
        <v>0</v>
      </c>
      <c r="W6" s="566">
        <v>0</v>
      </c>
      <c r="X6" s="566">
        <v>0</v>
      </c>
      <c r="Z6" s="657" cm="1">
        <f t="array" ref="Z6">INDEX(H6:X6,1,$B$30)</f>
        <v>0</v>
      </c>
      <c r="AH6">
        <v>0</v>
      </c>
      <c r="AI6">
        <v>0</v>
      </c>
      <c r="AJ6">
        <v>0</v>
      </c>
      <c r="AK6">
        <v>3.4246575342465754E-4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</row>
    <row r="7" spans="2:50" x14ac:dyDescent="0.15">
      <c r="B7" t="str" cm="1">
        <f t="array" ref="B7">INDEX('Kirjasto (kaupungit)'!$D$4:$K$23,1,'Kirjasto (kaupungit)'!$B$4)</f>
        <v>I (Vantaa)</v>
      </c>
      <c r="D7" t="str" cm="1">
        <f t="array" aca="1" ref="D7:D19" ca="1">OFFSET($B$7,$D$4,0,$E$4,1)</f>
        <v>SWE - Stockholm</v>
      </c>
      <c r="G7" s="567">
        <v>-37</v>
      </c>
      <c r="H7" s="566">
        <v>0</v>
      </c>
      <c r="I7" s="566">
        <v>0</v>
      </c>
      <c r="J7" s="566">
        <v>0</v>
      </c>
      <c r="K7" s="566">
        <v>5.7077625570776253E-4</v>
      </c>
      <c r="L7" s="566">
        <v>0</v>
      </c>
      <c r="M7" s="566">
        <v>0</v>
      </c>
      <c r="N7" s="566">
        <v>0</v>
      </c>
      <c r="O7" s="566">
        <v>0</v>
      </c>
      <c r="P7" s="566">
        <v>0</v>
      </c>
      <c r="Q7" s="566">
        <v>0</v>
      </c>
      <c r="R7" s="566">
        <v>0</v>
      </c>
      <c r="S7" s="566">
        <v>0</v>
      </c>
      <c r="T7" s="566">
        <v>0</v>
      </c>
      <c r="U7" s="566">
        <v>0</v>
      </c>
      <c r="V7" s="566">
        <v>0</v>
      </c>
      <c r="W7" s="566">
        <v>0</v>
      </c>
      <c r="X7" s="566">
        <v>0</v>
      </c>
      <c r="Z7" s="657" cm="1">
        <f t="array" ref="Z7">INDEX(H7:X7,1,$B$30)</f>
        <v>0</v>
      </c>
      <c r="AH7">
        <v>0</v>
      </c>
      <c r="AI7">
        <v>0</v>
      </c>
      <c r="AJ7">
        <v>0</v>
      </c>
      <c r="AK7">
        <v>5.7077625570776253E-4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</row>
    <row r="8" spans="2:50" x14ac:dyDescent="0.15">
      <c r="B8" t="str" cm="1">
        <f t="array" ref="B8">INDEX('Kirjasto (kaupungit)'!$D$4:$K$23,2,'Kirjasto (kaupungit)'!$B$4)</f>
        <v>II (Jokioinen)</v>
      </c>
      <c r="D8" t="str">
        <f ca="1"/>
        <v>SWE - Gothenburg</v>
      </c>
      <c r="G8" s="567">
        <v>-36</v>
      </c>
      <c r="H8" s="566">
        <v>0</v>
      </c>
      <c r="I8" s="566">
        <v>0</v>
      </c>
      <c r="J8" s="566">
        <v>0</v>
      </c>
      <c r="K8" s="566">
        <v>1.1415525114155251E-3</v>
      </c>
      <c r="L8" s="566">
        <v>0</v>
      </c>
      <c r="M8" s="566">
        <v>0</v>
      </c>
      <c r="N8" s="566">
        <v>0</v>
      </c>
      <c r="O8" s="566">
        <v>0</v>
      </c>
      <c r="P8" s="566">
        <v>0</v>
      </c>
      <c r="Q8" s="566">
        <v>0</v>
      </c>
      <c r="R8" s="566">
        <v>0</v>
      </c>
      <c r="S8" s="566">
        <v>0</v>
      </c>
      <c r="T8" s="566">
        <v>0</v>
      </c>
      <c r="U8" s="566">
        <v>0</v>
      </c>
      <c r="V8" s="566">
        <v>0</v>
      </c>
      <c r="W8" s="566">
        <v>0</v>
      </c>
      <c r="X8" s="566">
        <v>0</v>
      </c>
      <c r="Z8" s="657" cm="1">
        <f t="array" ref="Z8">INDEX(H8:X8,1,$B$30)</f>
        <v>0</v>
      </c>
      <c r="AH8">
        <v>0</v>
      </c>
      <c r="AI8">
        <v>0</v>
      </c>
      <c r="AJ8">
        <v>0</v>
      </c>
      <c r="AK8">
        <v>1.1415525114155251E-3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</row>
    <row r="9" spans="2:50" x14ac:dyDescent="0.15">
      <c r="B9" t="str" cm="1">
        <f t="array" ref="B9">INDEX('Kirjasto (kaupungit)'!$D$4:$K$23,3,'Kirjasto (kaupungit)'!$B$4)</f>
        <v>III (Jyväskylä)</v>
      </c>
      <c r="D9" t="str">
        <f ca="1"/>
        <v>EST - Tallinn</v>
      </c>
      <c r="G9" s="567">
        <v>-35</v>
      </c>
      <c r="H9" s="566">
        <v>0</v>
      </c>
      <c r="I9" s="566">
        <v>0</v>
      </c>
      <c r="J9" s="566">
        <v>0</v>
      </c>
      <c r="K9" s="566">
        <v>1.8264840182648401E-3</v>
      </c>
      <c r="L9" s="566">
        <v>0</v>
      </c>
      <c r="M9" s="566">
        <v>0</v>
      </c>
      <c r="N9" s="566">
        <v>0</v>
      </c>
      <c r="O9" s="566">
        <v>0</v>
      </c>
      <c r="P9" s="566">
        <v>0</v>
      </c>
      <c r="Q9" s="566">
        <v>0</v>
      </c>
      <c r="R9" s="566">
        <v>0</v>
      </c>
      <c r="S9" s="566">
        <v>0</v>
      </c>
      <c r="T9" s="566">
        <v>0</v>
      </c>
      <c r="U9" s="566">
        <v>0</v>
      </c>
      <c r="V9" s="566">
        <v>0</v>
      </c>
      <c r="W9" s="566">
        <v>0</v>
      </c>
      <c r="X9" s="566">
        <v>0</v>
      </c>
      <c r="Z9" s="657" cm="1">
        <f t="array" ref="Z9">INDEX(H9:X9,1,$B$30)</f>
        <v>0</v>
      </c>
      <c r="AH9">
        <v>0</v>
      </c>
      <c r="AI9">
        <v>0</v>
      </c>
      <c r="AJ9">
        <v>0</v>
      </c>
      <c r="AK9">
        <v>1.8264840182648401E-3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</row>
    <row r="10" spans="2:50" x14ac:dyDescent="0.15">
      <c r="B10" t="str" cm="1">
        <f t="array" ref="B10">INDEX('Kirjasto (kaupungit)'!$D$4:$K$23,4,'Kirjasto (kaupungit)'!$B$4)</f>
        <v>IV (Sodankylä)</v>
      </c>
      <c r="D10" t="str">
        <f ca="1"/>
        <v>LAT - Riga</v>
      </c>
      <c r="G10" s="567">
        <v>-34</v>
      </c>
      <c r="H10" s="566">
        <v>0</v>
      </c>
      <c r="I10" s="566">
        <v>0</v>
      </c>
      <c r="J10" s="566">
        <v>0</v>
      </c>
      <c r="K10" s="566">
        <v>2.9680365296803654E-3</v>
      </c>
      <c r="L10" s="566">
        <v>0</v>
      </c>
      <c r="M10" s="566">
        <v>0</v>
      </c>
      <c r="N10" s="566">
        <v>0</v>
      </c>
      <c r="O10" s="566">
        <v>0</v>
      </c>
      <c r="P10" s="566">
        <v>0</v>
      </c>
      <c r="Q10" s="566">
        <v>0</v>
      </c>
      <c r="R10" s="566">
        <v>0</v>
      </c>
      <c r="S10" s="566">
        <v>0</v>
      </c>
      <c r="T10" s="566">
        <v>0</v>
      </c>
      <c r="U10" s="566">
        <v>0</v>
      </c>
      <c r="V10" s="566">
        <v>0</v>
      </c>
      <c r="W10" s="566">
        <v>0</v>
      </c>
      <c r="X10" s="566">
        <v>0</v>
      </c>
      <c r="Z10" s="657" cm="1">
        <f t="array" ref="Z10">INDEX(H10:X10,1,$B$30)</f>
        <v>0</v>
      </c>
      <c r="AH10">
        <v>0</v>
      </c>
      <c r="AI10">
        <v>0</v>
      </c>
      <c r="AJ10">
        <v>0</v>
      </c>
      <c r="AK10">
        <v>2.9680365296803654E-3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</row>
    <row r="11" spans="2:50" x14ac:dyDescent="0.15">
      <c r="B11" t="str" cm="1">
        <f t="array" ref="B11">INDEX('Kirjasto (kaupungit)'!$D$4:$K$23,5,'Kirjasto (kaupungit)'!$B$4)</f>
        <v>SWE - Stockholm</v>
      </c>
      <c r="D11" t="str">
        <f ca="1"/>
        <v>LTU - Vilnius</v>
      </c>
      <c r="G11" s="567">
        <v>-33</v>
      </c>
      <c r="H11" s="566">
        <v>0</v>
      </c>
      <c r="I11" s="566">
        <v>0</v>
      </c>
      <c r="J11" s="566">
        <v>0</v>
      </c>
      <c r="K11" s="566">
        <v>4.10958904109589E-3</v>
      </c>
      <c r="L11" s="566">
        <v>0</v>
      </c>
      <c r="M11" s="566">
        <v>0</v>
      </c>
      <c r="N11" s="566">
        <v>0</v>
      </c>
      <c r="O11" s="566">
        <v>0</v>
      </c>
      <c r="P11" s="566">
        <v>0</v>
      </c>
      <c r="Q11" s="566">
        <v>0</v>
      </c>
      <c r="R11" s="566">
        <v>0</v>
      </c>
      <c r="S11" s="566">
        <v>0</v>
      </c>
      <c r="T11" s="566">
        <v>0</v>
      </c>
      <c r="U11" s="566">
        <v>0</v>
      </c>
      <c r="V11" s="566">
        <v>0</v>
      </c>
      <c r="W11" s="566">
        <v>0</v>
      </c>
      <c r="X11" s="566">
        <v>0</v>
      </c>
      <c r="Z11" s="657" cm="1">
        <f t="array" ref="Z11">INDEX(H11:X11,1,$B$30)</f>
        <v>0</v>
      </c>
      <c r="AH11">
        <v>0</v>
      </c>
      <c r="AI11">
        <v>0</v>
      </c>
      <c r="AJ11">
        <v>0</v>
      </c>
      <c r="AK11">
        <v>4.10958904109589E-3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</row>
    <row r="12" spans="2:50" x14ac:dyDescent="0.15">
      <c r="B12" t="str" cm="1">
        <f t="array" ref="B12">INDEX('Kirjasto (kaupungit)'!$D$4:$K$23,6,'Kirjasto (kaupungit)'!$B$4)</f>
        <v>SWE - Gothenburg</v>
      </c>
      <c r="D12" t="str">
        <f ca="1"/>
        <v>POL - Warsaw</v>
      </c>
      <c r="G12" s="567">
        <v>-32</v>
      </c>
      <c r="H12" s="566">
        <v>0</v>
      </c>
      <c r="I12" s="566">
        <v>0</v>
      </c>
      <c r="J12" s="566">
        <v>0</v>
      </c>
      <c r="K12" s="566">
        <v>4.7945205479452057E-3</v>
      </c>
      <c r="L12" s="566">
        <v>0</v>
      </c>
      <c r="M12" s="566">
        <v>0</v>
      </c>
      <c r="N12" s="566">
        <v>0</v>
      </c>
      <c r="O12" s="566">
        <v>0</v>
      </c>
      <c r="P12" s="566">
        <v>0</v>
      </c>
      <c r="Q12" s="566">
        <v>0</v>
      </c>
      <c r="R12" s="566">
        <v>0</v>
      </c>
      <c r="S12" s="566">
        <v>0</v>
      </c>
      <c r="T12" s="566">
        <v>0</v>
      </c>
      <c r="U12" s="566">
        <v>0</v>
      </c>
      <c r="V12" s="566">
        <v>0</v>
      </c>
      <c r="W12" s="566">
        <v>0</v>
      </c>
      <c r="X12" s="566">
        <v>0</v>
      </c>
      <c r="Z12" s="657" cm="1">
        <f t="array" ref="Z12">INDEX(H12:X12,1,$B$30)</f>
        <v>0</v>
      </c>
      <c r="AH12">
        <v>0</v>
      </c>
      <c r="AI12">
        <v>0</v>
      </c>
      <c r="AJ12">
        <v>0</v>
      </c>
      <c r="AK12">
        <v>4.7945205479452057E-3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</row>
    <row r="13" spans="2:50" x14ac:dyDescent="0.15">
      <c r="B13" t="str" cm="1">
        <f t="array" ref="B13">INDEX('Kirjasto (kaupungit)'!$D$4:$K$23,7,'Kirjasto (kaupungit)'!$B$4)</f>
        <v>EST - Tallinn</v>
      </c>
      <c r="D13" t="str">
        <f ca="1"/>
        <v>POL - Krakow</v>
      </c>
      <c r="G13" s="567">
        <v>-31</v>
      </c>
      <c r="H13" s="566">
        <v>0</v>
      </c>
      <c r="I13" s="566">
        <v>0</v>
      </c>
      <c r="J13" s="566">
        <v>2.2831050228310502E-4</v>
      </c>
      <c r="K13" s="566">
        <v>6.0502283105022831E-3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566">
        <v>0</v>
      </c>
      <c r="R13" s="566">
        <v>0</v>
      </c>
      <c r="S13" s="566">
        <v>0</v>
      </c>
      <c r="T13" s="566">
        <v>0</v>
      </c>
      <c r="U13" s="566">
        <v>0</v>
      </c>
      <c r="V13" s="566">
        <v>0</v>
      </c>
      <c r="W13" s="566">
        <v>0</v>
      </c>
      <c r="X13" s="566">
        <v>0</v>
      </c>
      <c r="Z13" s="657" cm="1">
        <f t="array" ref="Z13">INDEX(H13:X13,1,$B$30)</f>
        <v>0</v>
      </c>
      <c r="AH13">
        <v>0</v>
      </c>
      <c r="AI13">
        <v>0</v>
      </c>
      <c r="AJ13">
        <v>2.2831050228310502E-4</v>
      </c>
      <c r="AK13">
        <v>6.0502283105022831E-3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</row>
    <row r="14" spans="2:50" x14ac:dyDescent="0.15">
      <c r="B14" t="str" cm="1">
        <f t="array" ref="B14">INDEX('Kirjasto (kaupungit)'!$D$4:$K$23,8,'Kirjasto (kaupungit)'!$B$4)</f>
        <v>LAT - Riga</v>
      </c>
      <c r="D14" t="str">
        <f ca="1"/>
        <v>POL - Gdansk</v>
      </c>
      <c r="G14" s="567">
        <v>-30</v>
      </c>
      <c r="H14" s="566">
        <v>0</v>
      </c>
      <c r="I14" s="566">
        <v>0</v>
      </c>
      <c r="J14" s="566">
        <v>3.4246575342465754E-4</v>
      </c>
      <c r="K14" s="566">
        <v>7.9908675799086754E-3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566">
        <v>0</v>
      </c>
      <c r="R14" s="566">
        <v>0</v>
      </c>
      <c r="S14" s="566">
        <v>0</v>
      </c>
      <c r="T14" s="566">
        <v>0</v>
      </c>
      <c r="U14" s="566">
        <v>0</v>
      </c>
      <c r="V14" s="566">
        <v>0</v>
      </c>
      <c r="W14" s="566">
        <v>0</v>
      </c>
      <c r="X14" s="566">
        <v>0</v>
      </c>
      <c r="Z14" s="657" cm="1">
        <f t="array" ref="Z14">INDEX(H14:X14,1,$B$30)</f>
        <v>0</v>
      </c>
      <c r="AH14">
        <v>0</v>
      </c>
      <c r="AI14">
        <v>0</v>
      </c>
      <c r="AJ14">
        <v>3.4246575342465754E-4</v>
      </c>
      <c r="AK14">
        <v>7.9908675799086754E-3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</row>
    <row r="15" spans="2:50" x14ac:dyDescent="0.15">
      <c r="B15" t="str" cm="1">
        <f t="array" ref="B15">INDEX('Kirjasto (kaupungit)'!$D$4:$K$23,9,'Kirjasto (kaupungit)'!$B$4)</f>
        <v>LTU - Vilnius</v>
      </c>
      <c r="D15" t="str">
        <f ca="1"/>
        <v>ISL - Reykjavík</v>
      </c>
      <c r="G15" s="567">
        <v>-29</v>
      </c>
      <c r="H15" s="566">
        <v>0</v>
      </c>
      <c r="I15" s="566">
        <v>0</v>
      </c>
      <c r="J15" s="566">
        <v>4.5662100456621003E-4</v>
      </c>
      <c r="K15" s="566">
        <v>1.1187214611872146E-2</v>
      </c>
      <c r="L15" s="566">
        <v>0</v>
      </c>
      <c r="M15" s="566">
        <v>0</v>
      </c>
      <c r="N15" s="566">
        <v>0</v>
      </c>
      <c r="O15" s="566">
        <v>0</v>
      </c>
      <c r="P15" s="566">
        <v>0</v>
      </c>
      <c r="Q15" s="566">
        <v>0</v>
      </c>
      <c r="R15" s="566">
        <v>0</v>
      </c>
      <c r="S15" s="566">
        <v>0</v>
      </c>
      <c r="T15" s="566">
        <v>0</v>
      </c>
      <c r="U15" s="566">
        <v>0</v>
      </c>
      <c r="V15" s="566">
        <v>0</v>
      </c>
      <c r="W15" s="566">
        <v>0</v>
      </c>
      <c r="X15" s="566">
        <v>0</v>
      </c>
      <c r="Z15" s="657" cm="1">
        <f t="array" ref="Z15">INDEX(H15:X15,1,$B$30)</f>
        <v>0</v>
      </c>
      <c r="AH15">
        <v>0</v>
      </c>
      <c r="AI15">
        <v>0</v>
      </c>
      <c r="AJ15">
        <v>4.5662100456621003E-4</v>
      </c>
      <c r="AK15">
        <v>1.1187214611872146E-2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</row>
    <row r="16" spans="2:50" x14ac:dyDescent="0.15">
      <c r="B16" t="str" cm="1">
        <f t="array" ref="B16">INDEX('Kirjasto (kaupungit)'!$D$4:$K$23,10,'Kirjasto (kaupungit)'!$B$4)</f>
        <v>POL - Warsaw</v>
      </c>
      <c r="D16" t="str">
        <f ca="1"/>
        <v>ROU - Bucharest</v>
      </c>
      <c r="G16" s="567">
        <v>-28</v>
      </c>
      <c r="H16" s="566">
        <v>0</v>
      </c>
      <c r="I16" s="566">
        <v>0</v>
      </c>
      <c r="J16" s="566">
        <v>9.1324200913242006E-4</v>
      </c>
      <c r="K16" s="566">
        <v>1.4726027397260274E-2</v>
      </c>
      <c r="L16" s="566">
        <v>0</v>
      </c>
      <c r="M16" s="566">
        <v>0</v>
      </c>
      <c r="N16" s="566">
        <v>0</v>
      </c>
      <c r="O16" s="566">
        <v>0</v>
      </c>
      <c r="P16" s="566">
        <v>0</v>
      </c>
      <c r="Q16" s="566">
        <v>0</v>
      </c>
      <c r="R16" s="566">
        <v>0</v>
      </c>
      <c r="S16" s="566">
        <v>0</v>
      </c>
      <c r="T16" s="566">
        <v>0</v>
      </c>
      <c r="U16" s="566">
        <v>0</v>
      </c>
      <c r="V16" s="566">
        <v>0</v>
      </c>
      <c r="W16" s="566">
        <v>0</v>
      </c>
      <c r="X16" s="566">
        <v>0</v>
      </c>
      <c r="Z16" s="657" cm="1">
        <f t="array" ref="Z16">INDEX(H16:X16,1,$B$30)</f>
        <v>0</v>
      </c>
      <c r="AH16">
        <v>0</v>
      </c>
      <c r="AI16">
        <v>0</v>
      </c>
      <c r="AJ16">
        <v>9.1324200913242006E-4</v>
      </c>
      <c r="AK16">
        <v>1.4726027397260274E-2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</row>
    <row r="17" spans="2:44" x14ac:dyDescent="0.15">
      <c r="B17" t="str" cm="1">
        <f t="array" ref="B17">INDEX('Kirjasto (kaupungit)'!$D$4:$K$23,11,'Kirjasto (kaupungit)'!$B$4)</f>
        <v>POL - Krakow</v>
      </c>
      <c r="D17" t="str">
        <f ca="1"/>
        <v>NOR - Oslo</v>
      </c>
      <c r="G17" s="567">
        <v>-27</v>
      </c>
      <c r="H17" s="566">
        <v>0</v>
      </c>
      <c r="I17" s="566">
        <v>0</v>
      </c>
      <c r="J17" s="566">
        <v>1.8264840182648401E-3</v>
      </c>
      <c r="K17" s="566">
        <v>1.906392694063927E-2</v>
      </c>
      <c r="L17" s="566">
        <v>0</v>
      </c>
      <c r="M17" s="566">
        <v>0</v>
      </c>
      <c r="N17" s="566">
        <v>0</v>
      </c>
      <c r="O17" s="566">
        <v>0</v>
      </c>
      <c r="P17" s="566">
        <v>0</v>
      </c>
      <c r="Q17" s="566">
        <v>0</v>
      </c>
      <c r="R17" s="566">
        <v>0</v>
      </c>
      <c r="S17" s="566">
        <v>0</v>
      </c>
      <c r="T17" s="566">
        <v>0</v>
      </c>
      <c r="U17" s="566">
        <v>0</v>
      </c>
      <c r="V17" s="566">
        <v>0</v>
      </c>
      <c r="W17" s="566">
        <v>0</v>
      </c>
      <c r="X17" s="566">
        <v>0</v>
      </c>
      <c r="Z17" s="657" cm="1">
        <f t="array" ref="Z17">INDEX(H17:X17,1,$B$30)</f>
        <v>0</v>
      </c>
      <c r="AH17">
        <v>0</v>
      </c>
      <c r="AI17">
        <v>0</v>
      </c>
      <c r="AJ17">
        <v>1.8264840182648401E-3</v>
      </c>
      <c r="AK17">
        <v>1.906392694063927E-2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</row>
    <row r="18" spans="2:44" x14ac:dyDescent="0.15">
      <c r="B18" t="str" cm="1">
        <f t="array" ref="B18">INDEX('Kirjasto (kaupungit)'!$D$4:$K$23,12,'Kirjasto (kaupungit)'!$B$4)</f>
        <v>POL - Gdansk</v>
      </c>
      <c r="D18" t="str">
        <f ca="1"/>
        <v>DEN - Copenhagen</v>
      </c>
      <c r="G18" s="567">
        <v>-26</v>
      </c>
      <c r="H18" s="566">
        <v>0</v>
      </c>
      <c r="I18" s="566">
        <v>3.4246575342465754E-4</v>
      </c>
      <c r="J18" s="566">
        <v>2.625570776255708E-3</v>
      </c>
      <c r="K18" s="566">
        <v>2.2488584474885845E-2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566">
        <v>0</v>
      </c>
      <c r="R18" s="566">
        <v>0</v>
      </c>
      <c r="S18" s="566">
        <v>0</v>
      </c>
      <c r="T18" s="566">
        <v>0</v>
      </c>
      <c r="U18" s="566">
        <v>0</v>
      </c>
      <c r="V18" s="566">
        <v>0</v>
      </c>
      <c r="W18" s="566">
        <v>0</v>
      </c>
      <c r="X18" s="566">
        <v>0</v>
      </c>
      <c r="Z18" s="657" cm="1">
        <f t="array" ref="Z18">INDEX(H18:X18,1,$B$30)</f>
        <v>0</v>
      </c>
      <c r="AH18">
        <v>0</v>
      </c>
      <c r="AI18">
        <v>3.4246575342465754E-4</v>
      </c>
      <c r="AJ18">
        <v>2.625570776255708E-3</v>
      </c>
      <c r="AK18">
        <v>2.2488584474885845E-2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</row>
    <row r="19" spans="2:44" x14ac:dyDescent="0.15">
      <c r="B19" t="str" cm="1">
        <f t="array" ref="B19">INDEX('Kirjasto (kaupungit)'!$D$4:$K$23,13,'Kirjasto (kaupungit)'!$B$4)</f>
        <v>ISL - Reykjavík</v>
      </c>
      <c r="D19" t="str">
        <f ca="1"/>
        <v>GER - Berlin</v>
      </c>
      <c r="G19" s="567">
        <v>-25</v>
      </c>
      <c r="H19" s="566">
        <v>0</v>
      </c>
      <c r="I19" s="566">
        <v>9.1324200913242006E-4</v>
      </c>
      <c r="J19" s="566">
        <v>3.8812785388127853E-3</v>
      </c>
      <c r="K19" s="566">
        <v>2.7397260273972601E-2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566">
        <v>0</v>
      </c>
      <c r="R19" s="566">
        <v>0</v>
      </c>
      <c r="S19" s="566">
        <v>0</v>
      </c>
      <c r="T19" s="566">
        <v>0</v>
      </c>
      <c r="U19" s="566">
        <v>0</v>
      </c>
      <c r="V19" s="566">
        <v>0</v>
      </c>
      <c r="W19" s="566">
        <v>0</v>
      </c>
      <c r="X19" s="566">
        <v>0</v>
      </c>
      <c r="Z19" s="657" cm="1">
        <f t="array" ref="Z19">INDEX(H19:X19,1,$B$30)</f>
        <v>0</v>
      </c>
      <c r="AH19">
        <v>0</v>
      </c>
      <c r="AI19">
        <v>9.1324200913242006E-4</v>
      </c>
      <c r="AJ19">
        <v>3.8812785388127853E-3</v>
      </c>
      <c r="AK19">
        <v>2.7397260273972601E-2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</row>
    <row r="20" spans="2:44" x14ac:dyDescent="0.15">
      <c r="B20" t="str" cm="1">
        <f t="array" ref="B20">INDEX('Kirjasto (kaupungit)'!$D$4:$K$23,14,'Kirjasto (kaupungit)'!$B$4)</f>
        <v>ROU - Bucharest</v>
      </c>
      <c r="G20" s="567">
        <v>-24</v>
      </c>
      <c r="H20" s="566">
        <v>1.1415525114155251E-4</v>
      </c>
      <c r="I20" s="566">
        <v>1.3698630136986301E-3</v>
      </c>
      <c r="J20" s="566">
        <v>5.8219178082191785E-3</v>
      </c>
      <c r="K20" s="566">
        <v>3.093607305936073E-2</v>
      </c>
      <c r="L20" s="566">
        <v>0</v>
      </c>
      <c r="M20" s="566">
        <v>0</v>
      </c>
      <c r="N20" s="566">
        <v>0</v>
      </c>
      <c r="O20" s="566">
        <v>0</v>
      </c>
      <c r="P20" s="566">
        <v>1.1415525114155251E-4</v>
      </c>
      <c r="Q20" s="566">
        <v>0</v>
      </c>
      <c r="R20" s="566">
        <v>0</v>
      </c>
      <c r="S20" s="566">
        <v>0</v>
      </c>
      <c r="T20" s="566">
        <v>0</v>
      </c>
      <c r="U20" s="566">
        <v>0</v>
      </c>
      <c r="V20" s="566">
        <v>0</v>
      </c>
      <c r="W20" s="566">
        <v>0</v>
      </c>
      <c r="X20" s="566">
        <v>0</v>
      </c>
      <c r="Z20" s="657" cm="1">
        <f t="array" ref="Z20">INDEX(H20:X20,1,$B$30)</f>
        <v>0</v>
      </c>
      <c r="AH20">
        <v>1.1415525114155251E-4</v>
      </c>
      <c r="AI20">
        <v>1.3698630136986301E-3</v>
      </c>
      <c r="AJ20">
        <v>5.8219178082191785E-3</v>
      </c>
      <c r="AK20">
        <v>3.093607305936073E-2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</row>
    <row r="21" spans="2:44" x14ac:dyDescent="0.15">
      <c r="B21" t="str" cm="1">
        <f t="array" ref="B21">INDEX('Kirjasto (kaupungit)'!$D$4:$K$23,15,'Kirjasto (kaupungit)'!$B$4)</f>
        <v>NOR - Oslo</v>
      </c>
      <c r="G21" s="567">
        <v>-23</v>
      </c>
      <c r="H21" s="566">
        <v>3.4246575342465754E-4</v>
      </c>
      <c r="I21" s="566">
        <v>2.3972602739726029E-3</v>
      </c>
      <c r="J21" s="566">
        <v>7.3059360730593605E-3</v>
      </c>
      <c r="K21" s="566">
        <v>3.4018264840182645E-2</v>
      </c>
      <c r="L21" s="566">
        <v>0</v>
      </c>
      <c r="M21" s="566">
        <v>0</v>
      </c>
      <c r="N21" s="566">
        <v>0</v>
      </c>
      <c r="O21" s="566">
        <v>0</v>
      </c>
      <c r="P21" s="566">
        <v>1.1415525114155251E-3</v>
      </c>
      <c r="Q21" s="566">
        <v>0</v>
      </c>
      <c r="R21" s="566">
        <v>0</v>
      </c>
      <c r="S21" s="566">
        <v>0</v>
      </c>
      <c r="T21" s="566">
        <v>0</v>
      </c>
      <c r="U21" s="566">
        <v>0</v>
      </c>
      <c r="V21" s="566">
        <v>0</v>
      </c>
      <c r="W21" s="566">
        <v>0</v>
      </c>
      <c r="X21" s="566">
        <v>0</v>
      </c>
      <c r="Z21" s="657" cm="1">
        <f t="array" ref="Z21">INDEX(H21:X21,1,$B$30)</f>
        <v>0</v>
      </c>
      <c r="AH21">
        <v>3.4246575342465754E-4</v>
      </c>
      <c r="AI21">
        <v>2.3972602739726029E-3</v>
      </c>
      <c r="AJ21">
        <v>7.3059360730593605E-3</v>
      </c>
      <c r="AK21">
        <v>3.4018264840182645E-2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</row>
    <row r="22" spans="2:44" x14ac:dyDescent="0.15">
      <c r="B22" t="str" cm="1">
        <f t="array" ref="B22">INDEX('Kirjasto (kaupungit)'!$D$4:$K$23,16,'Kirjasto (kaupungit)'!$B$4)</f>
        <v>DEN - Copenhagen</v>
      </c>
      <c r="G22" s="567">
        <v>-22</v>
      </c>
      <c r="H22" s="566">
        <v>5.7077625570776253E-4</v>
      </c>
      <c r="I22" s="566">
        <v>2.9680365296803654E-3</v>
      </c>
      <c r="J22" s="566">
        <v>8.3333333333333332E-3</v>
      </c>
      <c r="K22" s="566">
        <v>4.1095890410958902E-2</v>
      </c>
      <c r="L22" s="566">
        <v>0</v>
      </c>
      <c r="M22" s="566">
        <v>0</v>
      </c>
      <c r="N22" s="566">
        <v>0</v>
      </c>
      <c r="O22" s="566">
        <v>0</v>
      </c>
      <c r="P22" s="566">
        <v>2.2831050228310501E-3</v>
      </c>
      <c r="Q22" s="566">
        <v>0</v>
      </c>
      <c r="R22" s="566">
        <v>0</v>
      </c>
      <c r="S22" s="566">
        <v>0</v>
      </c>
      <c r="T22" s="566">
        <v>0</v>
      </c>
      <c r="U22" s="566">
        <v>0</v>
      </c>
      <c r="V22" s="566">
        <v>0</v>
      </c>
      <c r="W22" s="566">
        <v>0</v>
      </c>
      <c r="X22" s="566">
        <v>0</v>
      </c>
      <c r="Z22" s="657" cm="1">
        <f t="array" ref="Z22">INDEX(H22:X22,1,$B$30)</f>
        <v>0</v>
      </c>
      <c r="AH22">
        <v>5.7077625570776253E-4</v>
      </c>
      <c r="AI22">
        <v>2.9680365296803654E-3</v>
      </c>
      <c r="AJ22">
        <v>8.3333333333333332E-3</v>
      </c>
      <c r="AK22">
        <v>4.1095890410958902E-2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</row>
    <row r="23" spans="2:44" x14ac:dyDescent="0.15">
      <c r="B23" t="str" cm="1">
        <f t="array" ref="B23">INDEX('Kirjasto (kaupungit)'!$D$4:$K$23,17,'Kirjasto (kaupungit)'!$B$4)</f>
        <v>GER - Berlin</v>
      </c>
      <c r="G23" s="567">
        <v>-21</v>
      </c>
      <c r="H23" s="566">
        <v>1.1415525114155251E-3</v>
      </c>
      <c r="I23" s="566">
        <v>4.5662100456621002E-3</v>
      </c>
      <c r="J23" s="566">
        <v>1.0616438356164383E-2</v>
      </c>
      <c r="K23" s="566">
        <v>4.8059360730593609E-2</v>
      </c>
      <c r="L23" s="566">
        <v>0</v>
      </c>
      <c r="M23" s="566">
        <v>0</v>
      </c>
      <c r="N23" s="566">
        <v>0</v>
      </c>
      <c r="O23" s="566">
        <v>0</v>
      </c>
      <c r="P23" s="566">
        <v>3.3105022831050228E-3</v>
      </c>
      <c r="Q23" s="566">
        <v>0</v>
      </c>
      <c r="R23" s="566">
        <v>0</v>
      </c>
      <c r="S23" s="566">
        <v>0</v>
      </c>
      <c r="T23" s="566">
        <v>0</v>
      </c>
      <c r="U23" s="566">
        <v>0</v>
      </c>
      <c r="V23" s="566">
        <v>0</v>
      </c>
      <c r="W23" s="566">
        <v>0</v>
      </c>
      <c r="X23" s="566">
        <v>0</v>
      </c>
      <c r="Z23" s="657" cm="1">
        <f t="array" ref="Z23">INDEX(H23:X23,1,$B$30)</f>
        <v>0</v>
      </c>
      <c r="AH23">
        <v>1.1415525114155251E-3</v>
      </c>
      <c r="AI23">
        <v>4.5662100456621002E-3</v>
      </c>
      <c r="AJ23">
        <v>1.0616438356164383E-2</v>
      </c>
      <c r="AK23">
        <v>4.8059360730593609E-2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</row>
    <row r="24" spans="2:44" x14ac:dyDescent="0.15">
      <c r="G24" s="567">
        <v>-20</v>
      </c>
      <c r="H24" s="566">
        <v>2.8538812785388126E-3</v>
      </c>
      <c r="I24" s="566">
        <v>5.8219178082191785E-3</v>
      </c>
      <c r="J24" s="566">
        <v>1.2671232876712329E-2</v>
      </c>
      <c r="K24" s="566">
        <v>5.5251141552511415E-2</v>
      </c>
      <c r="L24" s="566">
        <v>0</v>
      </c>
      <c r="M24" s="566">
        <v>0</v>
      </c>
      <c r="N24" s="566">
        <v>0</v>
      </c>
      <c r="O24" s="566">
        <v>0</v>
      </c>
      <c r="P24" s="566">
        <v>5.5936073059360729E-3</v>
      </c>
      <c r="Q24" s="566">
        <v>0</v>
      </c>
      <c r="R24" s="566">
        <v>0</v>
      </c>
      <c r="S24" s="566">
        <v>0</v>
      </c>
      <c r="T24" s="566">
        <v>0</v>
      </c>
      <c r="U24" s="566">
        <v>0</v>
      </c>
      <c r="V24" s="566">
        <v>0</v>
      </c>
      <c r="W24" s="566">
        <v>0</v>
      </c>
      <c r="X24" s="566">
        <v>0</v>
      </c>
      <c r="Z24" s="657" cm="1">
        <f t="array" ref="Z24">INDEX(H24:X24,1,$B$30)</f>
        <v>0</v>
      </c>
      <c r="AH24">
        <v>2.8538812785388126E-3</v>
      </c>
      <c r="AI24">
        <v>5.8219178082191785E-3</v>
      </c>
      <c r="AJ24">
        <v>1.2671232876712329E-2</v>
      </c>
      <c r="AK24">
        <v>5.5251141552511415E-2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</row>
    <row r="25" spans="2:44" x14ac:dyDescent="0.15">
      <c r="G25" s="567">
        <v>-19</v>
      </c>
      <c r="H25" s="566">
        <v>5.3652968036529683E-3</v>
      </c>
      <c r="I25" s="566">
        <v>7.7625570776255707E-3</v>
      </c>
      <c r="J25" s="566">
        <v>1.6552511415525113E-2</v>
      </c>
      <c r="K25" s="566">
        <v>6.2557077625570778E-2</v>
      </c>
      <c r="L25" s="566">
        <v>0</v>
      </c>
      <c r="M25" s="566">
        <v>0</v>
      </c>
      <c r="N25" s="566">
        <v>0</v>
      </c>
      <c r="O25" s="566">
        <v>3.4246575342465754E-4</v>
      </c>
      <c r="P25" s="566">
        <v>6.392694063926941E-3</v>
      </c>
      <c r="Q25" s="566">
        <v>0</v>
      </c>
      <c r="R25" s="566">
        <v>0</v>
      </c>
      <c r="S25" s="566">
        <v>0</v>
      </c>
      <c r="T25" s="566">
        <v>0</v>
      </c>
      <c r="U25" s="566">
        <v>0</v>
      </c>
      <c r="V25" s="566">
        <v>0</v>
      </c>
      <c r="W25" s="566">
        <v>0</v>
      </c>
      <c r="X25" s="566">
        <v>0</v>
      </c>
      <c r="Z25" s="657" cm="1">
        <f t="array" ref="Z25">INDEX(H25:X25,1,$B$30)</f>
        <v>0</v>
      </c>
      <c r="AH25">
        <v>5.3652968036529683E-3</v>
      </c>
      <c r="AI25">
        <v>7.7625570776255707E-3</v>
      </c>
      <c r="AJ25">
        <v>1.6552511415525113E-2</v>
      </c>
      <c r="AK25">
        <v>6.2557077625570778E-2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</row>
    <row r="26" spans="2:44" x14ac:dyDescent="0.15">
      <c r="G26" s="567">
        <v>-18</v>
      </c>
      <c r="H26" s="566">
        <v>7.0776255707762558E-3</v>
      </c>
      <c r="I26" s="566">
        <v>1.0045662100456621E-2</v>
      </c>
      <c r="J26" s="566">
        <v>1.8949771689497717E-2</v>
      </c>
      <c r="K26" s="566">
        <v>6.803652968036529E-2</v>
      </c>
      <c r="L26" s="566">
        <v>0</v>
      </c>
      <c r="M26" s="566">
        <v>0</v>
      </c>
      <c r="N26" s="566">
        <v>0</v>
      </c>
      <c r="O26" s="566">
        <v>2.5114155251141552E-3</v>
      </c>
      <c r="P26" s="566">
        <v>7.0776255707762558E-3</v>
      </c>
      <c r="Q26" s="566">
        <v>3.4246575342465754E-4</v>
      </c>
      <c r="R26" s="566">
        <v>0</v>
      </c>
      <c r="S26" s="566">
        <v>0</v>
      </c>
      <c r="T26" s="566">
        <v>0</v>
      </c>
      <c r="U26" s="566">
        <v>0</v>
      </c>
      <c r="V26" s="566">
        <v>4.5662100456621003E-4</v>
      </c>
      <c r="W26" s="566">
        <v>0</v>
      </c>
      <c r="X26" s="566">
        <v>0</v>
      </c>
      <c r="Z26" s="657" cm="1">
        <f t="array" ref="Z26">INDEX(H26:X26,1,$B$30)</f>
        <v>0</v>
      </c>
      <c r="AH26">
        <v>7.0776255707762558E-3</v>
      </c>
      <c r="AI26">
        <v>1.0045662100456621E-2</v>
      </c>
      <c r="AJ26">
        <v>1.8949771689497717E-2</v>
      </c>
      <c r="AK26">
        <v>6.803652968036529E-2</v>
      </c>
      <c r="AL26">
        <v>0</v>
      </c>
      <c r="AM26">
        <v>4.5662100456621003E-4</v>
      </c>
      <c r="AN26">
        <v>0</v>
      </c>
      <c r="AO26">
        <v>3.4246575342465754E-4</v>
      </c>
      <c r="AP26">
        <v>0</v>
      </c>
      <c r="AQ26">
        <v>0</v>
      </c>
      <c r="AR26">
        <v>0</v>
      </c>
    </row>
    <row r="27" spans="2:44" x14ac:dyDescent="0.15">
      <c r="B27">
        <v>1</v>
      </c>
      <c r="C27" t="s">
        <v>1182</v>
      </c>
      <c r="G27" s="567">
        <v>-17</v>
      </c>
      <c r="H27" s="566">
        <v>9.2465753424657536E-3</v>
      </c>
      <c r="I27" s="566">
        <v>1.3127853881278538E-2</v>
      </c>
      <c r="J27" s="566">
        <v>2.3287671232876714E-2</v>
      </c>
      <c r="K27" s="566">
        <v>7.4543378995433784E-2</v>
      </c>
      <c r="L27" s="566">
        <v>0</v>
      </c>
      <c r="M27" s="566">
        <v>0</v>
      </c>
      <c r="N27" s="566">
        <v>2.2831050228310502E-4</v>
      </c>
      <c r="O27" s="566">
        <v>3.6529680365296802E-3</v>
      </c>
      <c r="P27" s="566">
        <v>7.9908675799086754E-3</v>
      </c>
      <c r="Q27" s="566">
        <v>1.0273972602739725E-3</v>
      </c>
      <c r="R27" s="566">
        <v>1.1415525114155251E-4</v>
      </c>
      <c r="S27" s="566">
        <v>0</v>
      </c>
      <c r="T27" s="566">
        <v>0</v>
      </c>
      <c r="U27" s="566">
        <v>0</v>
      </c>
      <c r="V27" s="566">
        <v>1.8264840182648401E-3</v>
      </c>
      <c r="W27" s="566">
        <v>0</v>
      </c>
      <c r="X27" s="566">
        <v>0</v>
      </c>
      <c r="Z27" s="657" cm="1">
        <f t="array" ref="Z27">INDEX(H27:X27,1,$B$30)</f>
        <v>0</v>
      </c>
      <c r="AH27">
        <v>9.2465753424657536E-3</v>
      </c>
      <c r="AI27">
        <v>1.3127853881278538E-2</v>
      </c>
      <c r="AJ27">
        <v>2.3287671232876714E-2</v>
      </c>
      <c r="AK27">
        <v>7.4543378995433784E-2</v>
      </c>
      <c r="AL27">
        <v>2.2831050228310502E-4</v>
      </c>
      <c r="AM27">
        <v>1.8264840182648401E-3</v>
      </c>
      <c r="AN27">
        <v>0</v>
      </c>
      <c r="AO27">
        <v>1.0273972602739725E-3</v>
      </c>
      <c r="AP27">
        <v>0</v>
      </c>
      <c r="AQ27">
        <v>0</v>
      </c>
      <c r="AR27">
        <v>0</v>
      </c>
    </row>
    <row r="28" spans="2:44" x14ac:dyDescent="0.15">
      <c r="B28" s="278">
        <f>IF(AND(B2,B27&gt;E2),E2,B27)</f>
        <v>1</v>
      </c>
      <c r="C28" t="s">
        <v>1183</v>
      </c>
      <c r="G28" s="567">
        <v>-16</v>
      </c>
      <c r="H28" s="566">
        <v>1.1872146118721462E-2</v>
      </c>
      <c r="I28" s="566">
        <v>1.8264840182648401E-2</v>
      </c>
      <c r="J28" s="566">
        <v>2.8538812785388126E-2</v>
      </c>
      <c r="K28" s="566">
        <v>8.1621004566210048E-2</v>
      </c>
      <c r="L28" s="566">
        <v>0</v>
      </c>
      <c r="M28" s="566">
        <v>2.2831050228310502E-4</v>
      </c>
      <c r="N28" s="566">
        <v>1.2557077625570776E-3</v>
      </c>
      <c r="O28" s="566">
        <v>9.8173515981735161E-3</v>
      </c>
      <c r="P28" s="566">
        <v>1.1301369863013699E-2</v>
      </c>
      <c r="Q28" s="566">
        <v>2.054794520547945E-3</v>
      </c>
      <c r="R28" s="566">
        <v>1.8264840182648401E-3</v>
      </c>
      <c r="S28" s="566">
        <v>0</v>
      </c>
      <c r="T28" s="566">
        <v>0</v>
      </c>
      <c r="U28" s="566">
        <v>0</v>
      </c>
      <c r="V28" s="566">
        <v>3.767123287671233E-3</v>
      </c>
      <c r="W28" s="566">
        <v>0</v>
      </c>
      <c r="X28" s="566">
        <v>0</v>
      </c>
      <c r="Z28" s="657" cm="1">
        <f t="array" ref="Z28">INDEX(H28:X28,1,$B$30)</f>
        <v>0</v>
      </c>
      <c r="AH28">
        <v>1.1872146118721462E-2</v>
      </c>
      <c r="AI28">
        <v>1.8264840182648401E-2</v>
      </c>
      <c r="AJ28">
        <v>2.8538812785388126E-2</v>
      </c>
      <c r="AK28">
        <v>8.1621004566210048E-2</v>
      </c>
      <c r="AL28">
        <v>1.2557077625570776E-3</v>
      </c>
      <c r="AM28">
        <v>3.767123287671233E-3</v>
      </c>
      <c r="AN28">
        <v>0</v>
      </c>
      <c r="AO28">
        <v>2.054794520547945E-3</v>
      </c>
      <c r="AP28">
        <v>0</v>
      </c>
      <c r="AQ28">
        <v>0</v>
      </c>
      <c r="AR28">
        <v>0</v>
      </c>
    </row>
    <row r="29" spans="2:44" x14ac:dyDescent="0.15">
      <c r="G29" s="567">
        <v>-15</v>
      </c>
      <c r="H29" s="566">
        <v>1.632420091324201E-2</v>
      </c>
      <c r="I29" s="566">
        <v>2.3287671232876714E-2</v>
      </c>
      <c r="J29" s="566">
        <v>3.5844748858447489E-2</v>
      </c>
      <c r="K29" s="566">
        <v>9.0981735159817348E-2</v>
      </c>
      <c r="L29" s="566">
        <v>0</v>
      </c>
      <c r="M29" s="566">
        <v>2.1689497716894978E-3</v>
      </c>
      <c r="N29" s="566">
        <v>4.7945205479452057E-3</v>
      </c>
      <c r="O29" s="566">
        <v>1.2442922374429224E-2</v>
      </c>
      <c r="P29" s="566">
        <v>1.3470319634703196E-2</v>
      </c>
      <c r="Q29" s="566">
        <v>3.767123287671233E-3</v>
      </c>
      <c r="R29" s="566">
        <v>3.4246575342465752E-3</v>
      </c>
      <c r="S29" s="566">
        <v>0</v>
      </c>
      <c r="T29" s="566">
        <v>0</v>
      </c>
      <c r="U29" s="566">
        <v>0</v>
      </c>
      <c r="V29" s="566">
        <v>6.392694063926941E-3</v>
      </c>
      <c r="W29" s="566">
        <v>0</v>
      </c>
      <c r="X29" s="566">
        <v>1.1415525114155251E-4</v>
      </c>
      <c r="Z29" s="657" cm="1">
        <f t="array" ref="Z29">INDEX(H29:X29,1,$B$30)</f>
        <v>0</v>
      </c>
      <c r="AH29">
        <v>1.632420091324201E-2</v>
      </c>
      <c r="AI29">
        <v>2.3287671232876714E-2</v>
      </c>
      <c r="AJ29">
        <v>3.5844748858447489E-2</v>
      </c>
      <c r="AK29">
        <v>9.0981735159817348E-2</v>
      </c>
      <c r="AL29">
        <v>4.7945205479452057E-3</v>
      </c>
      <c r="AM29">
        <v>6.392694063926941E-3</v>
      </c>
      <c r="AN29">
        <v>0</v>
      </c>
      <c r="AO29">
        <v>3.767123287671233E-3</v>
      </c>
      <c r="AP29">
        <v>1.1415525114155251E-4</v>
      </c>
      <c r="AQ29">
        <v>0</v>
      </c>
      <c r="AR29">
        <v>0</v>
      </c>
    </row>
    <row r="30" spans="2:44" x14ac:dyDescent="0.15">
      <c r="B30">
        <f>IF($B$2,B28,B28+D3)</f>
        <v>5</v>
      </c>
      <c r="C30" t="s">
        <v>1184</v>
      </c>
      <c r="G30" s="567">
        <v>-14</v>
      </c>
      <c r="H30" s="566">
        <v>2.1917808219178082E-2</v>
      </c>
      <c r="I30" s="566">
        <v>2.9794520547945205E-2</v>
      </c>
      <c r="J30" s="566">
        <v>4.3493150684931509E-2</v>
      </c>
      <c r="K30" s="566">
        <v>0.10422374429223745</v>
      </c>
      <c r="L30" s="566">
        <v>0</v>
      </c>
      <c r="M30" s="566">
        <v>2.5114155251141552E-3</v>
      </c>
      <c r="N30" s="566">
        <v>6.8493150684931503E-3</v>
      </c>
      <c r="O30" s="566">
        <v>1.3926940639269407E-2</v>
      </c>
      <c r="P30" s="566">
        <v>1.5639269406392695E-2</v>
      </c>
      <c r="Q30" s="566">
        <v>4.7945205479452057E-3</v>
      </c>
      <c r="R30" s="566">
        <v>4.4520547945205479E-3</v>
      </c>
      <c r="S30" s="566">
        <v>0</v>
      </c>
      <c r="T30" s="566">
        <v>0</v>
      </c>
      <c r="U30" s="566">
        <v>0</v>
      </c>
      <c r="V30" s="566">
        <v>7.4200913242009128E-3</v>
      </c>
      <c r="W30" s="566">
        <v>0</v>
      </c>
      <c r="X30" s="566">
        <v>6.8493150684931507E-4</v>
      </c>
      <c r="Z30" s="657" cm="1">
        <f t="array" ref="Z30">INDEX(H30:X30,1,$B$30)</f>
        <v>0</v>
      </c>
      <c r="AH30">
        <v>2.1917808219178082E-2</v>
      </c>
      <c r="AI30">
        <v>2.9794520547945205E-2</v>
      </c>
      <c r="AJ30">
        <v>4.3493150684931509E-2</v>
      </c>
      <c r="AK30">
        <v>0.10422374429223745</v>
      </c>
      <c r="AL30">
        <v>6.8493150684931503E-3</v>
      </c>
      <c r="AM30">
        <v>7.4200913242009128E-3</v>
      </c>
      <c r="AN30">
        <v>0</v>
      </c>
      <c r="AO30">
        <v>4.7945205479452057E-3</v>
      </c>
      <c r="AP30">
        <v>6.8493150684931507E-4</v>
      </c>
      <c r="AQ30">
        <v>0</v>
      </c>
      <c r="AR30">
        <v>0</v>
      </c>
    </row>
    <row r="31" spans="2:44" x14ac:dyDescent="0.15">
      <c r="B31" t="str" cm="1">
        <f t="array" ref="B31">INDEX(H3:X3,1,B30)</f>
        <v>SWE - Stockholm</v>
      </c>
      <c r="C31" t="s">
        <v>1185</v>
      </c>
      <c r="G31" s="567">
        <v>-13</v>
      </c>
      <c r="H31" s="566">
        <v>2.8652968036529679E-2</v>
      </c>
      <c r="I31" s="566">
        <v>3.6529680365296802E-2</v>
      </c>
      <c r="J31" s="566">
        <v>5.1598173515981734E-2</v>
      </c>
      <c r="K31" s="566">
        <v>0.11746575342465754</v>
      </c>
      <c r="L31" s="566">
        <v>0</v>
      </c>
      <c r="M31" s="566">
        <v>3.5388127853881279E-3</v>
      </c>
      <c r="N31" s="566">
        <v>1.2557077625570776E-2</v>
      </c>
      <c r="O31" s="566">
        <v>1.6210045662100457E-2</v>
      </c>
      <c r="P31" s="566">
        <v>2.0205479452054795E-2</v>
      </c>
      <c r="Q31" s="566">
        <v>6.735159817351598E-3</v>
      </c>
      <c r="R31" s="566">
        <v>7.534246575342466E-3</v>
      </c>
      <c r="S31" s="566">
        <v>0</v>
      </c>
      <c r="T31" s="566">
        <v>0</v>
      </c>
      <c r="U31" s="566">
        <v>6.8493150684931507E-4</v>
      </c>
      <c r="V31" s="566">
        <v>1.1301369863013699E-2</v>
      </c>
      <c r="W31" s="566">
        <v>0</v>
      </c>
      <c r="X31" s="566">
        <v>1.5981735159817352E-3</v>
      </c>
      <c r="Z31" s="657" cm="1">
        <f t="array" ref="Z31">INDEX(H31:X31,1,$B$30)</f>
        <v>0</v>
      </c>
      <c r="AH31">
        <v>2.8652968036529679E-2</v>
      </c>
      <c r="AI31">
        <v>3.6529680365296802E-2</v>
      </c>
      <c r="AJ31">
        <v>5.1598173515981734E-2</v>
      </c>
      <c r="AK31">
        <v>0.11746575342465754</v>
      </c>
      <c r="AL31">
        <v>1.2557077625570776E-2</v>
      </c>
      <c r="AM31">
        <v>1.1301369863013699E-2</v>
      </c>
      <c r="AN31">
        <v>0</v>
      </c>
      <c r="AO31">
        <v>6.735159817351598E-3</v>
      </c>
      <c r="AP31">
        <v>1.5981735159817352E-3</v>
      </c>
      <c r="AQ31">
        <v>0</v>
      </c>
      <c r="AR31">
        <v>6.8493150684931507E-4</v>
      </c>
    </row>
    <row r="32" spans="2:44" x14ac:dyDescent="0.15">
      <c r="G32" s="567">
        <v>-12</v>
      </c>
      <c r="H32" s="566">
        <v>3.4589041095890408E-2</v>
      </c>
      <c r="I32" s="566">
        <v>4.1324200913242008E-2</v>
      </c>
      <c r="J32" s="566">
        <v>6.095890410958904E-2</v>
      </c>
      <c r="K32" s="566">
        <v>0.13344748858447489</v>
      </c>
      <c r="L32" s="566">
        <v>3.4246575342465754E-4</v>
      </c>
      <c r="M32" s="566">
        <v>7.3059360730593605E-3</v>
      </c>
      <c r="N32" s="566">
        <v>1.9748858447488585E-2</v>
      </c>
      <c r="O32" s="566">
        <v>1.9863013698630139E-2</v>
      </c>
      <c r="P32" s="566">
        <v>2.8995433789954339E-2</v>
      </c>
      <c r="Q32" s="566">
        <v>9.7031963470319629E-3</v>
      </c>
      <c r="R32" s="566">
        <v>1.0159817351598174E-2</v>
      </c>
      <c r="S32" s="566">
        <v>3.4246575342465754E-4</v>
      </c>
      <c r="T32" s="566">
        <v>0</v>
      </c>
      <c r="U32" s="566">
        <v>5.0228310502283104E-3</v>
      </c>
      <c r="V32" s="566">
        <v>1.4041095890410958E-2</v>
      </c>
      <c r="W32" s="566">
        <v>0</v>
      </c>
      <c r="X32" s="566">
        <v>3.767123287671233E-3</v>
      </c>
      <c r="Z32" s="657" cm="1">
        <f t="array" ref="Z32">INDEX(H32:X32,1,$B$30)</f>
        <v>3.4246575342465754E-4</v>
      </c>
      <c r="AH32">
        <v>3.4589041095890408E-2</v>
      </c>
      <c r="AI32">
        <v>4.1324200913242008E-2</v>
      </c>
      <c r="AJ32">
        <v>6.095890410958904E-2</v>
      </c>
      <c r="AK32">
        <v>0.13344748858447489</v>
      </c>
      <c r="AL32">
        <v>1.9748858447488585E-2</v>
      </c>
      <c r="AM32">
        <v>1.4041095890410958E-2</v>
      </c>
      <c r="AN32">
        <v>0</v>
      </c>
      <c r="AO32">
        <v>9.7031963470319629E-3</v>
      </c>
      <c r="AP32">
        <v>3.767123287671233E-3</v>
      </c>
      <c r="AQ32">
        <v>0</v>
      </c>
      <c r="AR32">
        <v>5.0228310502283104E-3</v>
      </c>
    </row>
    <row r="33" spans="7:44" x14ac:dyDescent="0.15">
      <c r="G33" s="567">
        <v>-11</v>
      </c>
      <c r="H33" s="566">
        <v>4.0639269406392696E-2</v>
      </c>
      <c r="I33" s="566">
        <v>4.8401826484018265E-2</v>
      </c>
      <c r="J33" s="566">
        <v>7.1575342465753422E-2</v>
      </c>
      <c r="K33" s="566">
        <v>0.15136986301369862</v>
      </c>
      <c r="L33" s="566">
        <v>1.3698630136986301E-3</v>
      </c>
      <c r="M33" s="566">
        <v>1.2671232876712329E-2</v>
      </c>
      <c r="N33" s="566">
        <v>2.9223744292237442E-2</v>
      </c>
      <c r="O33" s="566">
        <v>2.9109589041095889E-2</v>
      </c>
      <c r="P33" s="566">
        <v>3.6073059360730596E-2</v>
      </c>
      <c r="Q33" s="566">
        <v>1.3356164383561644E-2</v>
      </c>
      <c r="R33" s="566">
        <v>1.3812785388127854E-2</v>
      </c>
      <c r="S33" s="566">
        <v>1.3698630136986301E-3</v>
      </c>
      <c r="T33" s="566">
        <v>1.2557077625570776E-3</v>
      </c>
      <c r="U33" s="566">
        <v>1.0273972602739725E-2</v>
      </c>
      <c r="V33" s="566">
        <v>1.872146118721461E-2</v>
      </c>
      <c r="W33" s="566">
        <v>0</v>
      </c>
      <c r="X33" s="566">
        <v>5.4794520547945206E-3</v>
      </c>
      <c r="Z33" s="657" cm="1">
        <f t="array" ref="Z33">INDEX(H33:X33,1,$B$30)</f>
        <v>1.3698630136986301E-3</v>
      </c>
      <c r="AH33">
        <v>4.0639269406392696E-2</v>
      </c>
      <c r="AI33">
        <v>4.8401826484018265E-2</v>
      </c>
      <c r="AJ33">
        <v>7.1575342465753422E-2</v>
      </c>
      <c r="AK33">
        <v>0.15136986301369862</v>
      </c>
      <c r="AL33">
        <v>2.9223744292237442E-2</v>
      </c>
      <c r="AM33">
        <v>1.872146118721461E-2</v>
      </c>
      <c r="AN33">
        <v>0</v>
      </c>
      <c r="AO33">
        <v>1.3356164383561644E-2</v>
      </c>
      <c r="AP33">
        <v>5.4794520547945206E-3</v>
      </c>
      <c r="AQ33">
        <v>1.2557077625570776E-3</v>
      </c>
      <c r="AR33">
        <v>1.0273972602739725E-2</v>
      </c>
    </row>
    <row r="34" spans="7:44" x14ac:dyDescent="0.15">
      <c r="G34" s="567">
        <v>-10</v>
      </c>
      <c r="H34" s="566">
        <v>4.6575342465753428E-2</v>
      </c>
      <c r="I34" s="566">
        <v>5.6963470319634703E-2</v>
      </c>
      <c r="J34" s="566">
        <v>8.3105022831050229E-2</v>
      </c>
      <c r="K34" s="566">
        <v>0.16860730593607307</v>
      </c>
      <c r="L34" s="566">
        <v>4.9086757990867581E-3</v>
      </c>
      <c r="M34" s="566">
        <v>1.5753424657534248E-2</v>
      </c>
      <c r="N34" s="566">
        <v>4.029680365296804E-2</v>
      </c>
      <c r="O34" s="566">
        <v>3.6415525114155252E-2</v>
      </c>
      <c r="P34" s="566">
        <v>4.5890410958904108E-2</v>
      </c>
      <c r="Q34" s="566">
        <v>1.8036529680365298E-2</v>
      </c>
      <c r="R34" s="566">
        <v>1.6552511415525113E-2</v>
      </c>
      <c r="S34" s="566">
        <v>4.9086757990867581E-3</v>
      </c>
      <c r="T34" s="566">
        <v>3.6529680365296802E-3</v>
      </c>
      <c r="U34" s="566">
        <v>1.3584474885844749E-2</v>
      </c>
      <c r="V34" s="566">
        <v>2.1232876712328767E-2</v>
      </c>
      <c r="W34" s="566">
        <v>2.5114155251141552E-3</v>
      </c>
      <c r="X34" s="566">
        <v>8.1050228310502286E-3</v>
      </c>
      <c r="Z34" s="657" cm="1">
        <f t="array" ref="Z34">INDEX(H34:X34,1,$B$30)</f>
        <v>4.9086757990867581E-3</v>
      </c>
      <c r="AH34">
        <v>4.6575342465753428E-2</v>
      </c>
      <c r="AI34">
        <v>5.6963470319634703E-2</v>
      </c>
      <c r="AJ34">
        <v>8.3105022831050229E-2</v>
      </c>
      <c r="AK34">
        <v>0.16860730593607307</v>
      </c>
      <c r="AL34">
        <v>4.029680365296804E-2</v>
      </c>
      <c r="AM34">
        <v>2.1232876712328767E-2</v>
      </c>
      <c r="AN34">
        <v>2.5114155251141552E-3</v>
      </c>
      <c r="AO34">
        <v>1.8036529680365298E-2</v>
      </c>
      <c r="AP34">
        <v>8.1050228310502286E-3</v>
      </c>
      <c r="AQ34">
        <v>3.6529680365296802E-3</v>
      </c>
      <c r="AR34">
        <v>1.3584474885844749E-2</v>
      </c>
    </row>
    <row r="35" spans="7:44" x14ac:dyDescent="0.15">
      <c r="G35" s="567">
        <v>-9</v>
      </c>
      <c r="H35" s="566">
        <v>5.4680365296803653E-2</v>
      </c>
      <c r="I35" s="566">
        <v>6.7351598173515978E-2</v>
      </c>
      <c r="J35" s="566">
        <v>9.7945205479452055E-2</v>
      </c>
      <c r="K35" s="566">
        <v>0.18630136986301371</v>
      </c>
      <c r="L35" s="566">
        <v>6.735159817351598E-3</v>
      </c>
      <c r="M35" s="566">
        <v>1.7579908675799085E-2</v>
      </c>
      <c r="N35" s="566">
        <v>4.8744292237442921E-2</v>
      </c>
      <c r="O35" s="566">
        <v>3.9497716894977171E-2</v>
      </c>
      <c r="P35" s="566">
        <v>5.2054794520547946E-2</v>
      </c>
      <c r="Q35" s="566">
        <v>2.0547945205479451E-2</v>
      </c>
      <c r="R35" s="566">
        <v>1.872146118721461E-2</v>
      </c>
      <c r="S35" s="566">
        <v>6.735159817351598E-3</v>
      </c>
      <c r="T35" s="566">
        <v>4.7945205479452057E-3</v>
      </c>
      <c r="U35" s="566">
        <v>1.5068493150684932E-2</v>
      </c>
      <c r="V35" s="566">
        <v>2.3173515981735161E-2</v>
      </c>
      <c r="W35" s="566">
        <v>3.0821917808219177E-3</v>
      </c>
      <c r="X35" s="566">
        <v>9.2465753424657536E-3</v>
      </c>
      <c r="Z35" s="657" cm="1">
        <f t="array" ref="Z35">INDEX(H35:X35,1,$B$30)</f>
        <v>6.735159817351598E-3</v>
      </c>
      <c r="AH35">
        <v>5.4680365296803653E-2</v>
      </c>
      <c r="AI35">
        <v>6.7351598173515978E-2</v>
      </c>
      <c r="AJ35">
        <v>9.7945205479452055E-2</v>
      </c>
      <c r="AK35">
        <v>0.18630136986301371</v>
      </c>
      <c r="AL35">
        <v>4.8744292237442921E-2</v>
      </c>
      <c r="AM35">
        <v>2.3173515981735161E-2</v>
      </c>
      <c r="AN35">
        <v>3.0821917808219177E-3</v>
      </c>
      <c r="AO35">
        <v>2.0547945205479451E-2</v>
      </c>
      <c r="AP35">
        <v>9.2465753424657536E-3</v>
      </c>
      <c r="AQ35">
        <v>4.7945205479452057E-3</v>
      </c>
      <c r="AR35">
        <v>1.5068493150684932E-2</v>
      </c>
    </row>
    <row r="36" spans="7:44" x14ac:dyDescent="0.15">
      <c r="G36" s="567">
        <v>-8</v>
      </c>
      <c r="H36" s="566">
        <v>6.3356164383561647E-2</v>
      </c>
      <c r="I36" s="566">
        <v>7.6255707762557079E-2</v>
      </c>
      <c r="J36" s="566">
        <v>0.11666666666666667</v>
      </c>
      <c r="K36" s="566">
        <v>0.20091324200913241</v>
      </c>
      <c r="L36" s="566">
        <v>9.1324200913242004E-3</v>
      </c>
      <c r="M36" s="566">
        <v>2.363013698630137E-2</v>
      </c>
      <c r="N36" s="566">
        <v>6.2557077625570778E-2</v>
      </c>
      <c r="O36" s="566">
        <v>4.8401826484018265E-2</v>
      </c>
      <c r="P36" s="566">
        <v>6.7009132420091322E-2</v>
      </c>
      <c r="Q36" s="566">
        <v>2.5228310502283104E-2</v>
      </c>
      <c r="R36" s="566">
        <v>2.5684931506849314E-2</v>
      </c>
      <c r="S36" s="566">
        <v>9.1324200913242004E-3</v>
      </c>
      <c r="T36" s="566">
        <v>9.0182648401826489E-3</v>
      </c>
      <c r="U36" s="566">
        <v>2.0319634703196348E-2</v>
      </c>
      <c r="V36" s="566">
        <v>3.0365296803652967E-2</v>
      </c>
      <c r="W36" s="566">
        <v>5.0228310502283104E-3</v>
      </c>
      <c r="X36" s="566">
        <v>1.2785388127853882E-2</v>
      </c>
      <c r="Z36" s="657" cm="1">
        <f t="array" ref="Z36">INDEX(H36:X36,1,$B$30)</f>
        <v>9.1324200913242004E-3</v>
      </c>
      <c r="AH36">
        <v>6.3356164383561647E-2</v>
      </c>
      <c r="AI36">
        <v>7.6255707762557079E-2</v>
      </c>
      <c r="AJ36">
        <v>0.11666666666666667</v>
      </c>
      <c r="AK36">
        <v>0.20091324200913241</v>
      </c>
      <c r="AL36">
        <v>6.2557077625570778E-2</v>
      </c>
      <c r="AM36">
        <v>3.0365296803652967E-2</v>
      </c>
      <c r="AN36">
        <v>5.0228310502283104E-3</v>
      </c>
      <c r="AO36">
        <v>2.5228310502283104E-2</v>
      </c>
      <c r="AP36">
        <v>1.2785388127853882E-2</v>
      </c>
      <c r="AQ36">
        <v>9.0182648401826489E-3</v>
      </c>
      <c r="AR36">
        <v>2.0319634703196348E-2</v>
      </c>
    </row>
    <row r="37" spans="7:44" x14ac:dyDescent="0.15">
      <c r="G37" s="567">
        <v>-7</v>
      </c>
      <c r="H37" s="566">
        <v>7.4999999999999997E-2</v>
      </c>
      <c r="I37" s="566">
        <v>8.7785388127853886E-2</v>
      </c>
      <c r="J37" s="566">
        <v>0.13698630136986301</v>
      </c>
      <c r="K37" s="566">
        <v>0.22237442922374429</v>
      </c>
      <c r="L37" s="566">
        <v>1.1301369863013699E-2</v>
      </c>
      <c r="M37" s="566">
        <v>3.1849315068493152E-2</v>
      </c>
      <c r="N37" s="566">
        <v>8.4474885844748854E-2</v>
      </c>
      <c r="O37" s="566">
        <v>6.837899543378996E-2</v>
      </c>
      <c r="P37" s="566">
        <v>8.2762557077625573E-2</v>
      </c>
      <c r="Q37" s="566">
        <v>3.4018264840182645E-2</v>
      </c>
      <c r="R37" s="566">
        <v>3.8698630136986302E-2</v>
      </c>
      <c r="S37" s="566">
        <v>1.1301369863013699E-2</v>
      </c>
      <c r="T37" s="566">
        <v>1.3356164383561644E-2</v>
      </c>
      <c r="U37" s="566">
        <v>2.8310502283105023E-2</v>
      </c>
      <c r="V37" s="566">
        <v>3.9041095890410958E-2</v>
      </c>
      <c r="W37" s="566">
        <v>8.6757990867579911E-3</v>
      </c>
      <c r="X37" s="566">
        <v>1.6552511415525113E-2</v>
      </c>
      <c r="Z37" s="657" cm="1">
        <f t="array" ref="Z37">INDEX(H37:X37,1,$B$30)</f>
        <v>1.1301369863013699E-2</v>
      </c>
      <c r="AH37">
        <v>7.4999999999999997E-2</v>
      </c>
      <c r="AI37">
        <v>8.7785388127853886E-2</v>
      </c>
      <c r="AJ37">
        <v>0.13698630136986301</v>
      </c>
      <c r="AK37">
        <v>0.22237442922374429</v>
      </c>
      <c r="AL37">
        <v>8.4474885844748854E-2</v>
      </c>
      <c r="AM37">
        <v>3.9041095890410958E-2</v>
      </c>
      <c r="AN37">
        <v>8.6757990867579911E-3</v>
      </c>
      <c r="AO37">
        <v>3.4018264840182645E-2</v>
      </c>
      <c r="AP37">
        <v>1.6552511415525113E-2</v>
      </c>
      <c r="AQ37">
        <v>1.3356164383561644E-2</v>
      </c>
      <c r="AR37">
        <v>2.8310502283105023E-2</v>
      </c>
    </row>
    <row r="38" spans="7:44" x14ac:dyDescent="0.15">
      <c r="G38" s="567">
        <v>-6</v>
      </c>
      <c r="H38" s="566">
        <v>8.8470319634703198E-2</v>
      </c>
      <c r="I38" s="566">
        <v>0.1021689497716895</v>
      </c>
      <c r="J38" s="566">
        <v>0.16095890410958905</v>
      </c>
      <c r="K38" s="566">
        <v>0.24121004566210047</v>
      </c>
      <c r="L38" s="566">
        <v>2.3858447488584476E-2</v>
      </c>
      <c r="M38" s="566">
        <v>4.2808219178082189E-2</v>
      </c>
      <c r="N38" s="566">
        <v>0.10616438356164383</v>
      </c>
      <c r="O38" s="566">
        <v>8.7899543378995429E-2</v>
      </c>
      <c r="P38" s="566">
        <v>0.10582191780821917</v>
      </c>
      <c r="Q38" s="566">
        <v>4.9086757990867577E-2</v>
      </c>
      <c r="R38" s="566">
        <v>5.4337899543378997E-2</v>
      </c>
      <c r="S38" s="566">
        <v>2.3858447488584476E-2</v>
      </c>
      <c r="T38" s="566">
        <v>2.2716894977168951E-2</v>
      </c>
      <c r="U38" s="566">
        <v>3.9954337899543377E-2</v>
      </c>
      <c r="V38" s="566">
        <v>5.3538812785388128E-2</v>
      </c>
      <c r="W38" s="566">
        <v>1.4041095890410958E-2</v>
      </c>
      <c r="X38" s="566">
        <v>2.1803652968036529E-2</v>
      </c>
      <c r="Z38" s="657" cm="1">
        <f t="array" ref="Z38">INDEX(H38:X38,1,$B$30)</f>
        <v>2.3858447488584476E-2</v>
      </c>
      <c r="AH38">
        <v>8.8470319634703198E-2</v>
      </c>
      <c r="AI38">
        <v>0.1021689497716895</v>
      </c>
      <c r="AJ38">
        <v>0.16095890410958905</v>
      </c>
      <c r="AK38">
        <v>0.24121004566210047</v>
      </c>
      <c r="AL38">
        <v>0.10616438356164383</v>
      </c>
      <c r="AM38">
        <v>5.3538812785388128E-2</v>
      </c>
      <c r="AN38">
        <v>1.4041095890410958E-2</v>
      </c>
      <c r="AO38">
        <v>4.9086757990867577E-2</v>
      </c>
      <c r="AP38">
        <v>2.1803652968036529E-2</v>
      </c>
      <c r="AQ38">
        <v>2.2716894977168951E-2</v>
      </c>
      <c r="AR38">
        <v>3.9954337899543377E-2</v>
      </c>
    </row>
    <row r="39" spans="7:44" x14ac:dyDescent="0.15">
      <c r="G39" s="567">
        <v>-5</v>
      </c>
      <c r="H39" s="566">
        <v>0.10547945205479452</v>
      </c>
      <c r="I39" s="566">
        <v>0.12317351598173516</v>
      </c>
      <c r="J39" s="566">
        <v>0.18801369863013698</v>
      </c>
      <c r="K39" s="566">
        <v>0.27180365296803655</v>
      </c>
      <c r="L39" s="566">
        <v>4.2922374429223746E-2</v>
      </c>
      <c r="M39" s="566">
        <v>5.9018264840182647E-2</v>
      </c>
      <c r="N39" s="566">
        <v>0.13070776255707764</v>
      </c>
      <c r="O39" s="566">
        <v>0.11347031963470319</v>
      </c>
      <c r="P39" s="566">
        <v>0.13070776255707764</v>
      </c>
      <c r="Q39" s="566">
        <v>6.9977168949771684E-2</v>
      </c>
      <c r="R39" s="566">
        <v>7.0205479452054798E-2</v>
      </c>
      <c r="S39" s="566">
        <v>4.2922374429223746E-2</v>
      </c>
      <c r="T39" s="566">
        <v>4.1894977168949771E-2</v>
      </c>
      <c r="U39" s="566">
        <v>5.399543378995434E-2</v>
      </c>
      <c r="V39" s="566">
        <v>7.4543378995433784E-2</v>
      </c>
      <c r="W39" s="566">
        <v>2.0662100456621004E-2</v>
      </c>
      <c r="X39" s="566">
        <v>2.8767123287671233E-2</v>
      </c>
      <c r="Z39" s="657" cm="1">
        <f t="array" ref="Z39">INDEX(H39:X39,1,$B$30)</f>
        <v>4.2922374429223746E-2</v>
      </c>
      <c r="AH39">
        <v>0.10547945205479452</v>
      </c>
      <c r="AI39">
        <v>0.12317351598173516</v>
      </c>
      <c r="AJ39">
        <v>0.18801369863013698</v>
      </c>
      <c r="AK39">
        <v>0.27180365296803655</v>
      </c>
      <c r="AL39">
        <v>0.13070776255707764</v>
      </c>
      <c r="AM39">
        <v>7.4543378995433784E-2</v>
      </c>
      <c r="AN39">
        <v>2.0662100456621004E-2</v>
      </c>
      <c r="AO39">
        <v>6.9977168949771684E-2</v>
      </c>
      <c r="AP39">
        <v>2.8767123287671233E-2</v>
      </c>
      <c r="AQ39">
        <v>4.1894977168949771E-2</v>
      </c>
      <c r="AR39">
        <v>5.399543378995434E-2</v>
      </c>
    </row>
    <row r="40" spans="7:44" x14ac:dyDescent="0.15">
      <c r="G40" s="567">
        <v>-4</v>
      </c>
      <c r="H40" s="566">
        <v>0.12888127853881279</v>
      </c>
      <c r="I40" s="566">
        <v>0.14452054794520547</v>
      </c>
      <c r="J40" s="566">
        <v>0.2139269406392694</v>
      </c>
      <c r="K40" s="566">
        <v>0.3065068493150685</v>
      </c>
      <c r="L40" s="566">
        <v>5.6849315068493153E-2</v>
      </c>
      <c r="M40" s="566">
        <v>7.031963470319634E-2</v>
      </c>
      <c r="N40" s="566">
        <v>0.14771689497716894</v>
      </c>
      <c r="O40" s="566">
        <v>0.1291095890410959</v>
      </c>
      <c r="P40" s="566">
        <v>0.14874429223744293</v>
      </c>
      <c r="Q40" s="566">
        <v>8.3447488584474885E-2</v>
      </c>
      <c r="R40" s="566">
        <v>8.1735159817351605E-2</v>
      </c>
      <c r="S40" s="566">
        <v>5.6849315068493153E-2</v>
      </c>
      <c r="T40" s="566">
        <v>4.942922374429224E-2</v>
      </c>
      <c r="U40" s="566">
        <v>6.3698630136986303E-2</v>
      </c>
      <c r="V40" s="566">
        <v>8.6872146118721461E-2</v>
      </c>
      <c r="W40" s="566">
        <v>2.8767123287671233E-2</v>
      </c>
      <c r="X40" s="566">
        <v>3.515981735159817E-2</v>
      </c>
      <c r="Z40" s="657" cm="1">
        <f t="array" ref="Z40">INDEX(H40:X40,1,$B$30)</f>
        <v>5.6849315068493153E-2</v>
      </c>
      <c r="AH40">
        <v>0.12888127853881279</v>
      </c>
      <c r="AI40">
        <v>0.14452054794520547</v>
      </c>
      <c r="AJ40">
        <v>0.2139269406392694</v>
      </c>
      <c r="AK40">
        <v>0.3065068493150685</v>
      </c>
      <c r="AL40">
        <v>0.14771689497716894</v>
      </c>
      <c r="AM40">
        <v>8.6872146118721461E-2</v>
      </c>
      <c r="AN40">
        <v>2.8767123287671233E-2</v>
      </c>
      <c r="AO40">
        <v>8.3447488584474885E-2</v>
      </c>
      <c r="AP40">
        <v>3.515981735159817E-2</v>
      </c>
      <c r="AQ40">
        <v>4.942922374429224E-2</v>
      </c>
      <c r="AR40">
        <v>6.3698630136986303E-2</v>
      </c>
    </row>
    <row r="41" spans="7:44" x14ac:dyDescent="0.15">
      <c r="G41" s="567">
        <v>-3</v>
      </c>
      <c r="H41" s="566">
        <v>0.15570776255707763</v>
      </c>
      <c r="I41" s="566">
        <v>0.16849315068493151</v>
      </c>
      <c r="J41" s="566">
        <v>0.24406392694063928</v>
      </c>
      <c r="K41" s="566">
        <v>0.34178082191780823</v>
      </c>
      <c r="L41" s="566">
        <v>8.0936073059360736E-2</v>
      </c>
      <c r="M41" s="566">
        <v>0.10148401826484019</v>
      </c>
      <c r="N41" s="566">
        <v>0.17340182648401825</v>
      </c>
      <c r="O41" s="566">
        <v>0.16598173515981735</v>
      </c>
      <c r="P41" s="566">
        <v>0.19075342465753425</v>
      </c>
      <c r="Q41" s="566">
        <v>0.11529680365296803</v>
      </c>
      <c r="R41" s="566">
        <v>0.10251141552511416</v>
      </c>
      <c r="S41" s="566">
        <v>8.0936073059360736E-2</v>
      </c>
      <c r="T41" s="566">
        <v>7.8538812785388129E-2</v>
      </c>
      <c r="U41" s="566">
        <v>8.4931506849315067E-2</v>
      </c>
      <c r="V41" s="566">
        <v>0.11780821917808219</v>
      </c>
      <c r="W41" s="566">
        <v>4.4292237442922378E-2</v>
      </c>
      <c r="X41" s="566">
        <v>4.8858447488584478E-2</v>
      </c>
      <c r="Z41" s="657" cm="1">
        <f t="array" ref="Z41">INDEX(H41:X41,1,$B$30)</f>
        <v>8.0936073059360736E-2</v>
      </c>
      <c r="AH41">
        <v>0.15570776255707763</v>
      </c>
      <c r="AI41">
        <v>0.16849315068493151</v>
      </c>
      <c r="AJ41">
        <v>0.24406392694063928</v>
      </c>
      <c r="AK41">
        <v>0.34178082191780823</v>
      </c>
      <c r="AL41">
        <v>0.17340182648401825</v>
      </c>
      <c r="AM41">
        <v>0.11780821917808219</v>
      </c>
      <c r="AN41">
        <v>4.4292237442922378E-2</v>
      </c>
      <c r="AO41">
        <v>0.11529680365296803</v>
      </c>
      <c r="AP41">
        <v>4.8858447488584478E-2</v>
      </c>
      <c r="AQ41">
        <v>7.8538812785388129E-2</v>
      </c>
      <c r="AR41">
        <v>8.4931506849315067E-2</v>
      </c>
    </row>
    <row r="42" spans="7:44" x14ac:dyDescent="0.15">
      <c r="G42" s="567">
        <v>-2</v>
      </c>
      <c r="H42" s="566">
        <v>0.18424657534246575</v>
      </c>
      <c r="I42" s="566">
        <v>0.19337899543378995</v>
      </c>
      <c r="J42" s="566">
        <v>0.27728310502283104</v>
      </c>
      <c r="K42" s="566">
        <v>0.37648401826484018</v>
      </c>
      <c r="L42" s="566">
        <v>0.1110730593607306</v>
      </c>
      <c r="M42" s="566">
        <v>0.13515981735159818</v>
      </c>
      <c r="N42" s="566">
        <v>0.20468036529680364</v>
      </c>
      <c r="O42" s="566">
        <v>0.20228310502283106</v>
      </c>
      <c r="P42" s="566">
        <v>0.22910958904109588</v>
      </c>
      <c r="Q42" s="566">
        <v>0.15376712328767123</v>
      </c>
      <c r="R42" s="566">
        <v>0.13390410958904109</v>
      </c>
      <c r="S42" s="566">
        <v>0.1110730593607306</v>
      </c>
      <c r="T42" s="566">
        <v>0.11723744292237442</v>
      </c>
      <c r="U42" s="566">
        <v>0.11015981735159817</v>
      </c>
      <c r="V42" s="566">
        <v>0.16244292237442923</v>
      </c>
      <c r="W42" s="566">
        <v>7.1689497716894979E-2</v>
      </c>
      <c r="X42" s="566">
        <v>6.632420091324201E-2</v>
      </c>
      <c r="Z42" s="657" cm="1">
        <f t="array" ref="Z42">INDEX(H42:X42,1,$B$30)</f>
        <v>0.1110730593607306</v>
      </c>
      <c r="AH42">
        <v>0.18424657534246575</v>
      </c>
      <c r="AI42">
        <v>0.19337899543378995</v>
      </c>
      <c r="AJ42">
        <v>0.27728310502283104</v>
      </c>
      <c r="AK42">
        <v>0.37648401826484018</v>
      </c>
      <c r="AL42">
        <v>0.20468036529680364</v>
      </c>
      <c r="AM42">
        <v>0.16244292237442923</v>
      </c>
      <c r="AN42">
        <v>7.1689497716894979E-2</v>
      </c>
      <c r="AO42">
        <v>0.15376712328767123</v>
      </c>
      <c r="AP42">
        <v>6.632420091324201E-2</v>
      </c>
      <c r="AQ42">
        <v>0.11723744292237442</v>
      </c>
      <c r="AR42">
        <v>0.11015981735159817</v>
      </c>
    </row>
    <row r="43" spans="7:44" x14ac:dyDescent="0.15">
      <c r="G43" s="567">
        <v>-1</v>
      </c>
      <c r="H43" s="566">
        <v>0.20924657534246574</v>
      </c>
      <c r="I43" s="566">
        <v>0.22340182648401827</v>
      </c>
      <c r="J43" s="566">
        <v>0.31210045662100455</v>
      </c>
      <c r="K43" s="566">
        <v>0.41678082191780824</v>
      </c>
      <c r="L43" s="566">
        <v>0.15719178082191781</v>
      </c>
      <c r="M43" s="566">
        <v>0.16666666666666666</v>
      </c>
      <c r="N43" s="566">
        <v>0.23184931506849316</v>
      </c>
      <c r="O43" s="566">
        <v>0.24463470319634703</v>
      </c>
      <c r="P43" s="566">
        <v>0.27100456621004565</v>
      </c>
      <c r="Q43" s="566">
        <v>0.19121004566210045</v>
      </c>
      <c r="R43" s="566">
        <v>0.16929223744292238</v>
      </c>
      <c r="S43" s="566">
        <v>0.15719178082191781</v>
      </c>
      <c r="T43" s="566">
        <v>0.15570776255707763</v>
      </c>
      <c r="U43" s="566">
        <v>0.13470319634703196</v>
      </c>
      <c r="V43" s="566">
        <v>0.21118721461187215</v>
      </c>
      <c r="W43" s="566">
        <v>0.10148401826484019</v>
      </c>
      <c r="X43" s="566">
        <v>0.10091324200913242</v>
      </c>
      <c r="Z43" s="657" cm="1">
        <f t="array" ref="Z43">INDEX(H43:X43,1,$B$30)</f>
        <v>0.15719178082191781</v>
      </c>
      <c r="AH43">
        <v>0.20924657534246574</v>
      </c>
      <c r="AI43">
        <v>0.22340182648401827</v>
      </c>
      <c r="AJ43">
        <v>0.31210045662100455</v>
      </c>
      <c r="AK43">
        <v>0.41678082191780824</v>
      </c>
      <c r="AL43">
        <v>0.23184931506849316</v>
      </c>
      <c r="AM43">
        <v>0.21118721461187215</v>
      </c>
      <c r="AN43">
        <v>0.10148401826484019</v>
      </c>
      <c r="AO43">
        <v>0.19121004566210045</v>
      </c>
      <c r="AP43">
        <v>0.10091324200913242</v>
      </c>
      <c r="AQ43">
        <v>0.15570776255707763</v>
      </c>
      <c r="AR43">
        <v>0.13470319634703196</v>
      </c>
    </row>
    <row r="44" spans="7:44" x14ac:dyDescent="0.15">
      <c r="G44" s="567">
        <v>0</v>
      </c>
      <c r="H44" s="566">
        <v>0.24920091324200913</v>
      </c>
      <c r="I44" s="566">
        <v>0.27089041095890409</v>
      </c>
      <c r="J44" s="566">
        <v>0.36792237442922376</v>
      </c>
      <c r="K44" s="566">
        <v>0.46027397260273972</v>
      </c>
      <c r="L44" s="566">
        <v>0.21255707762557077</v>
      </c>
      <c r="M44" s="566">
        <v>0.20468036529680364</v>
      </c>
      <c r="N44" s="566">
        <v>0.27363013698630134</v>
      </c>
      <c r="O44" s="566">
        <v>0.28938356164383561</v>
      </c>
      <c r="P44" s="566">
        <v>0.30810502283105023</v>
      </c>
      <c r="Q44" s="566">
        <v>0.22979452054794522</v>
      </c>
      <c r="R44" s="566">
        <v>0.20833333333333334</v>
      </c>
      <c r="S44" s="566">
        <v>0.21255707762557077</v>
      </c>
      <c r="T44" s="566">
        <v>0.20273972602739726</v>
      </c>
      <c r="U44" s="566">
        <v>0.16381278538812785</v>
      </c>
      <c r="V44" s="566">
        <v>0.25753424657534246</v>
      </c>
      <c r="W44" s="566">
        <v>0.14212328767123289</v>
      </c>
      <c r="X44" s="566">
        <v>0.13904109589041097</v>
      </c>
      <c r="Z44" s="657" cm="1">
        <f t="array" ref="Z44">INDEX(H44:X44,1,$B$30)</f>
        <v>0.21255707762557077</v>
      </c>
      <c r="AH44">
        <v>0.24920091324200913</v>
      </c>
      <c r="AI44">
        <v>0.27089041095890409</v>
      </c>
      <c r="AJ44">
        <v>0.36792237442922376</v>
      </c>
      <c r="AK44">
        <v>0.46027397260273972</v>
      </c>
      <c r="AL44">
        <v>0.27363013698630134</v>
      </c>
      <c r="AM44">
        <v>0.25753424657534246</v>
      </c>
      <c r="AN44">
        <v>0.14212328767123289</v>
      </c>
      <c r="AO44">
        <v>0.22979452054794522</v>
      </c>
      <c r="AP44">
        <v>0.13904109589041097</v>
      </c>
      <c r="AQ44">
        <v>0.20273972602739726</v>
      </c>
      <c r="AR44">
        <v>0.16381278538812785</v>
      </c>
    </row>
    <row r="45" spans="7:44" x14ac:dyDescent="0.15">
      <c r="G45" s="567">
        <v>1</v>
      </c>
      <c r="H45" s="566">
        <v>0.30993150684931509</v>
      </c>
      <c r="I45" s="566">
        <v>0.3422374429223744</v>
      </c>
      <c r="J45" s="566">
        <v>0.41004566210045662</v>
      </c>
      <c r="K45" s="566">
        <v>0.51118721461187211</v>
      </c>
      <c r="L45" s="566">
        <v>0.24155251141552511</v>
      </c>
      <c r="M45" s="566">
        <v>0.22500000000000001</v>
      </c>
      <c r="N45" s="566">
        <v>0.30490867579908676</v>
      </c>
      <c r="O45" s="566">
        <v>0.31050228310502281</v>
      </c>
      <c r="P45" s="566">
        <v>0.32968036529680367</v>
      </c>
      <c r="Q45" s="566">
        <v>0.24520547945205479</v>
      </c>
      <c r="R45" s="566">
        <v>0.22888127853881279</v>
      </c>
      <c r="S45" s="566">
        <v>0.24155251141552511</v>
      </c>
      <c r="T45" s="566">
        <v>0.23378995433789954</v>
      </c>
      <c r="U45" s="566">
        <v>0.18013698630136987</v>
      </c>
      <c r="V45" s="566">
        <v>0.28150684931506847</v>
      </c>
      <c r="W45" s="566">
        <v>0.1636986301369863</v>
      </c>
      <c r="X45" s="566">
        <v>0.16232876712328767</v>
      </c>
      <c r="Z45" s="657" cm="1">
        <f t="array" ref="Z45">INDEX(H45:X45,1,$B$30)</f>
        <v>0.24155251141552511</v>
      </c>
      <c r="AH45">
        <v>0.30993150684931509</v>
      </c>
      <c r="AI45">
        <v>0.3422374429223744</v>
      </c>
      <c r="AJ45">
        <v>0.41004566210045662</v>
      </c>
      <c r="AK45">
        <v>0.51118721461187211</v>
      </c>
      <c r="AL45">
        <v>0.30490867579908676</v>
      </c>
      <c r="AM45">
        <v>0.28150684931506847</v>
      </c>
      <c r="AN45">
        <v>0.1636986301369863</v>
      </c>
      <c r="AO45">
        <v>0.24520547945205479</v>
      </c>
      <c r="AP45">
        <v>0.16232876712328767</v>
      </c>
      <c r="AQ45">
        <v>0.23378995433789954</v>
      </c>
      <c r="AR45">
        <v>0.18013698630136987</v>
      </c>
    </row>
    <row r="46" spans="7:44" x14ac:dyDescent="0.15">
      <c r="G46" s="567">
        <v>2</v>
      </c>
      <c r="H46" s="566">
        <v>0.36917808219178083</v>
      </c>
      <c r="I46" s="566">
        <v>0.40136986301369865</v>
      </c>
      <c r="J46" s="566">
        <v>0.45171232876712331</v>
      </c>
      <c r="K46" s="566">
        <v>0.54372146118721465</v>
      </c>
      <c r="L46" s="566">
        <v>0.30034246575342466</v>
      </c>
      <c r="M46" s="566">
        <v>0.27111872146118721</v>
      </c>
      <c r="N46" s="566">
        <v>0.36506849315068496</v>
      </c>
      <c r="O46" s="566">
        <v>0.35239726027397261</v>
      </c>
      <c r="P46" s="566">
        <v>0.36723744292237442</v>
      </c>
      <c r="Q46" s="566">
        <v>0.27716894977168949</v>
      </c>
      <c r="R46" s="566">
        <v>0.26529680365296804</v>
      </c>
      <c r="S46" s="566">
        <v>0.30034246575342466</v>
      </c>
      <c r="T46" s="566">
        <v>0.29497716894977166</v>
      </c>
      <c r="U46" s="566">
        <v>0.21107305936073059</v>
      </c>
      <c r="V46" s="566">
        <v>0.33550228310502284</v>
      </c>
      <c r="W46" s="566">
        <v>0.20742009132420092</v>
      </c>
      <c r="X46" s="566">
        <v>0.1980593607305936</v>
      </c>
      <c r="Z46" s="657" cm="1">
        <f t="array" ref="Z46">INDEX(H46:X46,1,$B$30)</f>
        <v>0.30034246575342466</v>
      </c>
      <c r="AH46">
        <v>0.36917808219178083</v>
      </c>
      <c r="AI46">
        <v>0.40136986301369865</v>
      </c>
      <c r="AJ46">
        <v>0.45171232876712331</v>
      </c>
      <c r="AK46">
        <v>0.54372146118721465</v>
      </c>
      <c r="AL46">
        <v>0.36506849315068496</v>
      </c>
      <c r="AM46">
        <v>0.33550228310502284</v>
      </c>
      <c r="AN46">
        <v>0.20742009132420092</v>
      </c>
      <c r="AO46">
        <v>0.27716894977168949</v>
      </c>
      <c r="AP46">
        <v>0.1980593607305936</v>
      </c>
      <c r="AQ46">
        <v>0.29497716894977166</v>
      </c>
      <c r="AR46">
        <v>0.21107305936073059</v>
      </c>
    </row>
    <row r="47" spans="7:44" x14ac:dyDescent="0.15">
      <c r="G47" s="567">
        <v>3</v>
      </c>
      <c r="H47" s="566">
        <v>0.41598173515981735</v>
      </c>
      <c r="I47" s="566">
        <v>0.44018264840182647</v>
      </c>
      <c r="J47" s="566">
        <v>0.48652968036529681</v>
      </c>
      <c r="K47" s="566">
        <v>0.57363013698630139</v>
      </c>
      <c r="L47" s="566">
        <v>0.3485159817351598</v>
      </c>
      <c r="M47" s="566">
        <v>0.32522831050228312</v>
      </c>
      <c r="N47" s="566">
        <v>0.40559360730593608</v>
      </c>
      <c r="O47" s="566">
        <v>0.39063926940639271</v>
      </c>
      <c r="P47" s="566">
        <v>0.40273972602739727</v>
      </c>
      <c r="Q47" s="566">
        <v>0.31324200913242012</v>
      </c>
      <c r="R47" s="566">
        <v>0.30445205479452053</v>
      </c>
      <c r="S47" s="566">
        <v>0.3485159817351598</v>
      </c>
      <c r="T47" s="566">
        <v>0.35856164383561645</v>
      </c>
      <c r="U47" s="566">
        <v>0.24611872146118721</v>
      </c>
      <c r="V47" s="566">
        <v>0.38824200913242007</v>
      </c>
      <c r="W47" s="566">
        <v>0.26221461187214612</v>
      </c>
      <c r="X47" s="566">
        <v>0.24200913242009131</v>
      </c>
      <c r="Z47" s="657" cm="1">
        <f t="array" ref="Z47">INDEX(H47:X47,1,$B$30)</f>
        <v>0.3485159817351598</v>
      </c>
      <c r="AH47">
        <v>0.41598173515981735</v>
      </c>
      <c r="AI47">
        <v>0.44018264840182647</v>
      </c>
      <c r="AJ47">
        <v>0.48652968036529681</v>
      </c>
      <c r="AK47">
        <v>0.57363013698630139</v>
      </c>
      <c r="AL47">
        <v>0.40559360730593608</v>
      </c>
      <c r="AM47">
        <v>0.38824200913242007</v>
      </c>
      <c r="AN47">
        <v>0.26221461187214612</v>
      </c>
      <c r="AO47">
        <v>0.31324200913242012</v>
      </c>
      <c r="AP47">
        <v>0.24200913242009131</v>
      </c>
      <c r="AQ47">
        <v>0.35856164383561645</v>
      </c>
      <c r="AR47">
        <v>0.24611872146118721</v>
      </c>
    </row>
    <row r="48" spans="7:44" x14ac:dyDescent="0.15">
      <c r="G48" s="567">
        <v>4</v>
      </c>
      <c r="H48" s="566">
        <v>0.45079908675799085</v>
      </c>
      <c r="I48" s="566">
        <v>0.4771689497716895</v>
      </c>
      <c r="J48" s="566">
        <v>0.51837899543378996</v>
      </c>
      <c r="K48" s="566">
        <v>0.61015981735159819</v>
      </c>
      <c r="L48" s="566">
        <v>0.40251141552511416</v>
      </c>
      <c r="M48" s="566">
        <v>0.36780821917808221</v>
      </c>
      <c r="N48" s="566">
        <v>0.4534246575342466</v>
      </c>
      <c r="O48" s="566">
        <v>0.42659817351598173</v>
      </c>
      <c r="P48" s="566">
        <v>0.4343607305936073</v>
      </c>
      <c r="Q48" s="566">
        <v>0.3476027397260274</v>
      </c>
      <c r="R48" s="566">
        <v>0.3393835616438356</v>
      </c>
      <c r="S48" s="566">
        <v>0.40251141552511416</v>
      </c>
      <c r="T48" s="566">
        <v>0.41586757990867579</v>
      </c>
      <c r="U48" s="566">
        <v>0.28127853881278536</v>
      </c>
      <c r="V48" s="566">
        <v>0.44189497716894977</v>
      </c>
      <c r="W48" s="566">
        <v>0.31358447488584473</v>
      </c>
      <c r="X48" s="566">
        <v>0.29486301369863016</v>
      </c>
      <c r="Z48" s="657" cm="1">
        <f t="array" ref="Z48">INDEX(H48:X48,1,$B$30)</f>
        <v>0.40251141552511416</v>
      </c>
      <c r="AH48">
        <v>0.45079908675799085</v>
      </c>
      <c r="AI48">
        <v>0.4771689497716895</v>
      </c>
      <c r="AJ48">
        <v>0.51837899543378996</v>
      </c>
      <c r="AK48">
        <v>0.61015981735159819</v>
      </c>
      <c r="AL48">
        <v>0.4534246575342466</v>
      </c>
      <c r="AM48">
        <v>0.44189497716894977</v>
      </c>
      <c r="AN48">
        <v>0.31358447488584473</v>
      </c>
      <c r="AO48">
        <v>0.3476027397260274</v>
      </c>
      <c r="AP48">
        <v>0.29486301369863016</v>
      </c>
      <c r="AQ48">
        <v>0.41586757990867579</v>
      </c>
      <c r="AR48">
        <v>0.28127853881278536</v>
      </c>
    </row>
    <row r="49" spans="7:44" x14ac:dyDescent="0.15">
      <c r="G49" s="567">
        <v>5</v>
      </c>
      <c r="H49" s="566">
        <v>0.48413242009132418</v>
      </c>
      <c r="I49" s="566">
        <v>0.50776255707762552</v>
      </c>
      <c r="J49" s="566">
        <v>0.54885844748858448</v>
      </c>
      <c r="K49" s="566">
        <v>0.63641552511415522</v>
      </c>
      <c r="L49" s="566">
        <v>0.44121004566210048</v>
      </c>
      <c r="M49" s="566">
        <v>0.41746575342465753</v>
      </c>
      <c r="N49" s="566">
        <v>0.49874429223744293</v>
      </c>
      <c r="O49" s="566">
        <v>0.46575342465753422</v>
      </c>
      <c r="P49" s="566">
        <v>0.46700913242009134</v>
      </c>
      <c r="Q49" s="566">
        <v>0.38367579908675797</v>
      </c>
      <c r="R49" s="566">
        <v>0.37614155251141551</v>
      </c>
      <c r="S49" s="566">
        <v>0.44121004566210048</v>
      </c>
      <c r="T49" s="566">
        <v>0.48139269406392693</v>
      </c>
      <c r="U49" s="566">
        <v>0.32260273972602738</v>
      </c>
      <c r="V49" s="566">
        <v>0.48162100456621004</v>
      </c>
      <c r="W49" s="566">
        <v>0.36598173515981736</v>
      </c>
      <c r="X49" s="566">
        <v>0.34166666666666667</v>
      </c>
      <c r="Z49" s="657" cm="1">
        <f t="array" ref="Z49">INDEX(H49:X49,1,$B$30)</f>
        <v>0.44121004566210048</v>
      </c>
      <c r="AH49">
        <v>0.48413242009132418</v>
      </c>
      <c r="AI49">
        <v>0.50776255707762552</v>
      </c>
      <c r="AJ49">
        <v>0.54885844748858448</v>
      </c>
      <c r="AK49">
        <v>0.63641552511415522</v>
      </c>
      <c r="AL49">
        <v>0.49874429223744293</v>
      </c>
      <c r="AM49">
        <v>0.48162100456621004</v>
      </c>
      <c r="AN49">
        <v>0.36598173515981736</v>
      </c>
      <c r="AO49">
        <v>0.38367579908675797</v>
      </c>
      <c r="AP49">
        <v>0.34166666666666667</v>
      </c>
      <c r="AQ49">
        <v>0.48139269406392693</v>
      </c>
      <c r="AR49">
        <v>0.32260273972602738</v>
      </c>
    </row>
    <row r="50" spans="7:44" x14ac:dyDescent="0.15">
      <c r="G50" s="567">
        <v>6</v>
      </c>
      <c r="H50" s="566">
        <v>0.51586757990867582</v>
      </c>
      <c r="I50" s="566">
        <v>0.54166666666666663</v>
      </c>
      <c r="J50" s="566">
        <v>0.58139269406392691</v>
      </c>
      <c r="K50" s="566">
        <v>0.66415525114155249</v>
      </c>
      <c r="L50" s="566">
        <v>0.46187214611872146</v>
      </c>
      <c r="M50" s="566">
        <v>0.43938356164383563</v>
      </c>
      <c r="N50" s="566">
        <v>0.51609589041095894</v>
      </c>
      <c r="O50" s="566">
        <v>0.47979452054794519</v>
      </c>
      <c r="P50" s="566">
        <v>0.48881278538812784</v>
      </c>
      <c r="Q50" s="566">
        <v>0.40742009132420093</v>
      </c>
      <c r="R50" s="566">
        <v>0.39474885844748858</v>
      </c>
      <c r="S50" s="566">
        <v>0.46187214611872146</v>
      </c>
      <c r="T50" s="566">
        <v>0.51940639269406397</v>
      </c>
      <c r="U50" s="566">
        <v>0.34121004566210045</v>
      </c>
      <c r="V50" s="566">
        <v>0.49771689497716892</v>
      </c>
      <c r="W50" s="566">
        <v>0.39086757990867582</v>
      </c>
      <c r="X50" s="566">
        <v>0.36552511415525113</v>
      </c>
      <c r="Z50" s="657" cm="1">
        <f t="array" ref="Z50">INDEX(H50:X50,1,$B$30)</f>
        <v>0.46187214611872146</v>
      </c>
      <c r="AH50">
        <v>0.51586757990867582</v>
      </c>
      <c r="AI50">
        <v>0.54166666666666663</v>
      </c>
      <c r="AJ50">
        <v>0.58139269406392691</v>
      </c>
      <c r="AK50">
        <v>0.66415525114155249</v>
      </c>
      <c r="AL50">
        <v>0.51609589041095894</v>
      </c>
      <c r="AM50">
        <v>0.49771689497716892</v>
      </c>
      <c r="AN50">
        <v>0.39086757990867582</v>
      </c>
      <c r="AO50">
        <v>0.40742009132420093</v>
      </c>
      <c r="AP50">
        <v>0.36552511415525113</v>
      </c>
      <c r="AQ50">
        <v>0.51940639269406397</v>
      </c>
      <c r="AR50">
        <v>0.34121004566210045</v>
      </c>
    </row>
    <row r="51" spans="7:44" x14ac:dyDescent="0.15">
      <c r="G51" s="567">
        <v>7</v>
      </c>
      <c r="H51" s="566">
        <v>0.55331050228310508</v>
      </c>
      <c r="I51" s="566">
        <v>0.58744292237442919</v>
      </c>
      <c r="J51" s="566">
        <v>0.60719178082191783</v>
      </c>
      <c r="K51" s="566">
        <v>0.6905251141552512</v>
      </c>
      <c r="L51" s="566">
        <v>0.5044520547945206</v>
      </c>
      <c r="M51" s="566">
        <v>0.48276255707762555</v>
      </c>
      <c r="N51" s="566">
        <v>0.5501141552511416</v>
      </c>
      <c r="O51" s="566">
        <v>0.51598173515981738</v>
      </c>
      <c r="P51" s="566">
        <v>0.52465753424657535</v>
      </c>
      <c r="Q51" s="566">
        <v>0.4480593607305936</v>
      </c>
      <c r="R51" s="566">
        <v>0.43378995433789952</v>
      </c>
      <c r="S51" s="566">
        <v>0.5044520547945206</v>
      </c>
      <c r="T51" s="566">
        <v>0.59178082191780823</v>
      </c>
      <c r="U51" s="566">
        <v>0.36860730593607305</v>
      </c>
      <c r="V51" s="566">
        <v>0.53230593607305932</v>
      </c>
      <c r="W51" s="566">
        <v>0.44315068493150683</v>
      </c>
      <c r="X51" s="566">
        <v>0.41495433789954339</v>
      </c>
      <c r="Z51" s="657" cm="1">
        <f t="array" ref="Z51">INDEX(H51:X51,1,$B$30)</f>
        <v>0.5044520547945206</v>
      </c>
      <c r="AH51">
        <v>0.55331050228310508</v>
      </c>
      <c r="AI51">
        <v>0.58744292237442919</v>
      </c>
      <c r="AJ51">
        <v>0.60719178082191783</v>
      </c>
      <c r="AK51">
        <v>0.6905251141552512</v>
      </c>
      <c r="AL51">
        <v>0.5501141552511416</v>
      </c>
      <c r="AM51">
        <v>0.53230593607305932</v>
      </c>
      <c r="AN51">
        <v>0.44315068493150683</v>
      </c>
      <c r="AO51">
        <v>0.4480593607305936</v>
      </c>
      <c r="AP51">
        <v>0.41495433789954339</v>
      </c>
      <c r="AQ51">
        <v>0.59178082191780823</v>
      </c>
      <c r="AR51">
        <v>0.36860730593607305</v>
      </c>
    </row>
    <row r="52" spans="7:44" x14ac:dyDescent="0.15">
      <c r="G52" s="567">
        <v>8</v>
      </c>
      <c r="H52" s="566">
        <v>0.58984018264840188</v>
      </c>
      <c r="I52" s="566">
        <v>0.62123287671232874</v>
      </c>
      <c r="J52" s="566">
        <v>0.63162100456621006</v>
      </c>
      <c r="K52" s="566">
        <v>0.71872146118721458</v>
      </c>
      <c r="L52" s="566">
        <v>0.54589041095890412</v>
      </c>
      <c r="M52" s="566">
        <v>0.53139269406392697</v>
      </c>
      <c r="N52" s="566">
        <v>0.58858447488584476</v>
      </c>
      <c r="O52" s="566">
        <v>0.5474885844748858</v>
      </c>
      <c r="P52" s="566">
        <v>0.5592465753424658</v>
      </c>
      <c r="Q52" s="566">
        <v>0.48413242009132418</v>
      </c>
      <c r="R52" s="566">
        <v>0.47066210045662099</v>
      </c>
      <c r="S52" s="566">
        <v>0.54589041095890412</v>
      </c>
      <c r="T52" s="566">
        <v>0.66038812785388123</v>
      </c>
      <c r="U52" s="566">
        <v>0.39920091324200913</v>
      </c>
      <c r="V52" s="566">
        <v>0.56666666666666665</v>
      </c>
      <c r="W52" s="566">
        <v>0.49166666666666664</v>
      </c>
      <c r="X52" s="566">
        <v>0.45878995433789954</v>
      </c>
      <c r="Z52" s="657" cm="1">
        <f t="array" ref="Z52">INDEX(H52:X52,1,$B$30)</f>
        <v>0.54589041095890412</v>
      </c>
      <c r="AH52">
        <v>0.58984018264840188</v>
      </c>
      <c r="AI52">
        <v>0.62123287671232874</v>
      </c>
      <c r="AJ52">
        <v>0.63162100456621006</v>
      </c>
      <c r="AK52">
        <v>0.71872146118721458</v>
      </c>
      <c r="AL52">
        <v>0.58858447488584476</v>
      </c>
      <c r="AM52">
        <v>0.56666666666666665</v>
      </c>
      <c r="AN52">
        <v>0.49166666666666664</v>
      </c>
      <c r="AO52">
        <v>0.48413242009132418</v>
      </c>
      <c r="AP52">
        <v>0.45878995433789954</v>
      </c>
      <c r="AQ52">
        <v>0.66038812785388123</v>
      </c>
      <c r="AR52">
        <v>0.39920091324200913</v>
      </c>
    </row>
    <row r="53" spans="7:44" x14ac:dyDescent="0.15">
      <c r="G53" s="567">
        <v>9</v>
      </c>
      <c r="H53" s="566">
        <v>0.61746575342465748</v>
      </c>
      <c r="I53" s="566">
        <v>0.65399543378995428</v>
      </c>
      <c r="J53" s="566">
        <v>0.6623287671232877</v>
      </c>
      <c r="K53" s="566">
        <v>0.74885844748858443</v>
      </c>
      <c r="L53" s="566">
        <v>0.58036529680365301</v>
      </c>
      <c r="M53" s="566">
        <v>0.58150684931506846</v>
      </c>
      <c r="N53" s="566">
        <v>0.6205479452054794</v>
      </c>
      <c r="O53" s="566">
        <v>0.58287671232876714</v>
      </c>
      <c r="P53" s="566">
        <v>0.59509132420091326</v>
      </c>
      <c r="Q53" s="566">
        <v>0.52465753424657535</v>
      </c>
      <c r="R53" s="566">
        <v>0.50924657534246576</v>
      </c>
      <c r="S53" s="566">
        <v>0.58036529680365301</v>
      </c>
      <c r="T53" s="566">
        <v>0.73002283105022836</v>
      </c>
      <c r="U53" s="566">
        <v>0.43333333333333335</v>
      </c>
      <c r="V53" s="566">
        <v>0.60136986301369866</v>
      </c>
      <c r="W53" s="566">
        <v>0.54166666666666663</v>
      </c>
      <c r="X53" s="566">
        <v>0.50376712328767126</v>
      </c>
      <c r="Z53" s="657" cm="1">
        <f t="array" ref="Z53">INDEX(H53:X53,1,$B$30)</f>
        <v>0.58036529680365301</v>
      </c>
      <c r="AH53">
        <v>0.61746575342465748</v>
      </c>
      <c r="AI53">
        <v>0.65399543378995428</v>
      </c>
      <c r="AJ53">
        <v>0.6623287671232877</v>
      </c>
      <c r="AK53">
        <v>0.74885844748858443</v>
      </c>
      <c r="AL53">
        <v>0.6205479452054794</v>
      </c>
      <c r="AM53">
        <v>0.60136986301369866</v>
      </c>
      <c r="AN53">
        <v>0.54166666666666663</v>
      </c>
      <c r="AO53">
        <v>0.52465753424657535</v>
      </c>
      <c r="AP53">
        <v>0.50376712328767126</v>
      </c>
      <c r="AQ53">
        <v>0.73002283105022836</v>
      </c>
      <c r="AR53">
        <v>0.43333333333333335</v>
      </c>
    </row>
    <row r="54" spans="7:44" x14ac:dyDescent="0.15">
      <c r="G54" s="567">
        <v>10</v>
      </c>
      <c r="H54" s="566">
        <v>0.64394977168949774</v>
      </c>
      <c r="I54" s="566">
        <v>0.68835616438356162</v>
      </c>
      <c r="J54" s="566">
        <v>0.69623287671232881</v>
      </c>
      <c r="K54" s="566">
        <v>0.78527397260273968</v>
      </c>
      <c r="L54" s="566">
        <v>0.62180365296803652</v>
      </c>
      <c r="M54" s="566">
        <v>0.62408675799086755</v>
      </c>
      <c r="N54" s="566">
        <v>0.65936073059360734</v>
      </c>
      <c r="O54" s="566">
        <v>0.6257990867579909</v>
      </c>
      <c r="P54" s="566">
        <v>0.63401826484018264</v>
      </c>
      <c r="Q54" s="566">
        <v>0.5639269406392694</v>
      </c>
      <c r="R54" s="566">
        <v>0.55251141552511418</v>
      </c>
      <c r="S54" s="566">
        <v>0.62180365296803652</v>
      </c>
      <c r="T54" s="566">
        <v>0.79885844748858448</v>
      </c>
      <c r="U54" s="566">
        <v>0.46849315068493153</v>
      </c>
      <c r="V54" s="566">
        <v>0.64577625570776254</v>
      </c>
      <c r="W54" s="566">
        <v>0.59041095890410955</v>
      </c>
      <c r="X54" s="566">
        <v>0.54908675799086759</v>
      </c>
      <c r="Z54" s="657" cm="1">
        <f t="array" ref="Z54">INDEX(H54:X54,1,$B$30)</f>
        <v>0.62180365296803652</v>
      </c>
      <c r="AH54">
        <v>0.64394977168949774</v>
      </c>
      <c r="AI54">
        <v>0.68835616438356162</v>
      </c>
      <c r="AJ54">
        <v>0.69623287671232881</v>
      </c>
      <c r="AK54">
        <v>0.78527397260273968</v>
      </c>
      <c r="AL54">
        <v>0.65936073059360734</v>
      </c>
      <c r="AM54">
        <v>0.64577625570776254</v>
      </c>
      <c r="AN54">
        <v>0.59041095890410955</v>
      </c>
      <c r="AO54">
        <v>0.5639269406392694</v>
      </c>
      <c r="AP54">
        <v>0.54908675799086759</v>
      </c>
      <c r="AQ54">
        <v>0.79885844748858448</v>
      </c>
      <c r="AR54">
        <v>0.46849315068493153</v>
      </c>
    </row>
    <row r="55" spans="7:44" x14ac:dyDescent="0.15">
      <c r="G55" s="567">
        <v>11</v>
      </c>
      <c r="H55" s="566">
        <v>0.67625570776255706</v>
      </c>
      <c r="I55" s="566">
        <v>0.72168949771689495</v>
      </c>
      <c r="J55" s="566">
        <v>0.73105022831050226</v>
      </c>
      <c r="K55" s="566">
        <v>0.82283105022831049</v>
      </c>
      <c r="L55" s="566">
        <v>0.64634703196347032</v>
      </c>
      <c r="M55" s="566">
        <v>0.64566210045662098</v>
      </c>
      <c r="N55" s="566">
        <v>0.68093607305936077</v>
      </c>
      <c r="O55" s="566">
        <v>0.64840182648401823</v>
      </c>
      <c r="P55" s="566">
        <v>0.65228310502283104</v>
      </c>
      <c r="Q55" s="566">
        <v>0.58424657534246571</v>
      </c>
      <c r="R55" s="566">
        <v>0.57043378995433791</v>
      </c>
      <c r="S55" s="566">
        <v>0.64634703196347032</v>
      </c>
      <c r="T55" s="566">
        <v>0.8348173515981735</v>
      </c>
      <c r="U55" s="566">
        <v>0.48664383561643837</v>
      </c>
      <c r="V55" s="566">
        <v>0.67168949771689501</v>
      </c>
      <c r="W55" s="566">
        <v>0.61289954337899544</v>
      </c>
      <c r="X55" s="566">
        <v>0.57066210045662102</v>
      </c>
      <c r="Z55" s="657" cm="1">
        <f t="array" ref="Z55">INDEX(H55:X55,1,$B$30)</f>
        <v>0.64634703196347032</v>
      </c>
      <c r="AH55">
        <v>0.67625570776255706</v>
      </c>
      <c r="AI55">
        <v>0.72168949771689495</v>
      </c>
      <c r="AJ55">
        <v>0.73105022831050226</v>
      </c>
      <c r="AK55">
        <v>0.82283105022831049</v>
      </c>
      <c r="AL55">
        <v>0.68093607305936077</v>
      </c>
      <c r="AM55">
        <v>0.67168949771689501</v>
      </c>
      <c r="AN55">
        <v>0.61289954337899544</v>
      </c>
      <c r="AO55">
        <v>0.58424657534246571</v>
      </c>
      <c r="AP55">
        <v>0.57066210045662102</v>
      </c>
      <c r="AQ55">
        <v>0.8348173515981735</v>
      </c>
      <c r="AR55">
        <v>0.48664383561643837</v>
      </c>
    </row>
    <row r="56" spans="7:44" x14ac:dyDescent="0.15">
      <c r="G56" s="567">
        <v>12</v>
      </c>
      <c r="H56" s="566">
        <v>0.71415525114155254</v>
      </c>
      <c r="I56" s="566">
        <v>0.75296803652968036</v>
      </c>
      <c r="J56" s="566">
        <v>0.76780821917808217</v>
      </c>
      <c r="K56" s="566">
        <v>0.85114155251141554</v>
      </c>
      <c r="L56" s="566">
        <v>0.69668949771689492</v>
      </c>
      <c r="M56" s="566">
        <v>0.69372146118721456</v>
      </c>
      <c r="N56" s="566">
        <v>0.71860730593607303</v>
      </c>
      <c r="O56" s="566">
        <v>0.69326484018264845</v>
      </c>
      <c r="P56" s="566">
        <v>0.68949771689497719</v>
      </c>
      <c r="Q56" s="566">
        <v>0.62785388127853881</v>
      </c>
      <c r="R56" s="566">
        <v>0.60696347031963471</v>
      </c>
      <c r="S56" s="566">
        <v>0.69668949771689492</v>
      </c>
      <c r="T56" s="566">
        <v>0.89908675799086757</v>
      </c>
      <c r="U56" s="566">
        <v>0.51894977168949774</v>
      </c>
      <c r="V56" s="566">
        <v>0.72568493150684932</v>
      </c>
      <c r="W56" s="566">
        <v>0.65890410958904111</v>
      </c>
      <c r="X56" s="566">
        <v>0.61963470319634706</v>
      </c>
      <c r="Z56" s="657" cm="1">
        <f t="array" ref="Z56">INDEX(H56:X56,1,$B$30)</f>
        <v>0.69668949771689492</v>
      </c>
      <c r="AH56">
        <v>0.71415525114155254</v>
      </c>
      <c r="AI56">
        <v>0.75296803652968036</v>
      </c>
      <c r="AJ56">
        <v>0.76780821917808217</v>
      </c>
      <c r="AK56">
        <v>0.85114155251141554</v>
      </c>
      <c r="AL56">
        <v>0.71860730593607303</v>
      </c>
      <c r="AM56">
        <v>0.72568493150684932</v>
      </c>
      <c r="AN56">
        <v>0.65890410958904111</v>
      </c>
      <c r="AO56">
        <v>0.62785388127853881</v>
      </c>
      <c r="AP56">
        <v>0.61963470319634706</v>
      </c>
      <c r="AQ56">
        <v>0.89908675799086757</v>
      </c>
      <c r="AR56">
        <v>0.51894977168949774</v>
      </c>
    </row>
    <row r="57" spans="7:44" x14ac:dyDescent="0.15">
      <c r="G57" s="567">
        <v>13</v>
      </c>
      <c r="H57" s="566">
        <v>0.75433789954337904</v>
      </c>
      <c r="I57" s="566">
        <v>0.78493150684931512</v>
      </c>
      <c r="J57" s="566">
        <v>0.80593607305936077</v>
      </c>
      <c r="K57" s="566">
        <v>0.87602739726027401</v>
      </c>
      <c r="L57" s="566">
        <v>0.74589041095890407</v>
      </c>
      <c r="M57" s="566">
        <v>0.74257990867579904</v>
      </c>
      <c r="N57" s="566">
        <v>0.76404109589041092</v>
      </c>
      <c r="O57" s="566">
        <v>0.73390410958904106</v>
      </c>
      <c r="P57" s="566">
        <v>0.72397260273972608</v>
      </c>
      <c r="Q57" s="566">
        <v>0.66997716894977166</v>
      </c>
      <c r="R57" s="566">
        <v>0.65228310502283104</v>
      </c>
      <c r="S57" s="566">
        <v>0.74589041095890407</v>
      </c>
      <c r="T57" s="566">
        <v>0.94417808219178079</v>
      </c>
      <c r="U57" s="566">
        <v>0.55468036529680365</v>
      </c>
      <c r="V57" s="566">
        <v>0.77579908675799092</v>
      </c>
      <c r="W57" s="566">
        <v>0.70742009132420092</v>
      </c>
      <c r="X57" s="566">
        <v>0.67043378995433789</v>
      </c>
      <c r="Z57" s="657" cm="1">
        <f t="array" ref="Z57">INDEX(H57:X57,1,$B$30)</f>
        <v>0.74589041095890407</v>
      </c>
      <c r="AH57">
        <v>0.75433789954337904</v>
      </c>
      <c r="AI57">
        <v>0.78493150684931512</v>
      </c>
      <c r="AJ57">
        <v>0.80593607305936077</v>
      </c>
      <c r="AK57">
        <v>0.87602739726027401</v>
      </c>
      <c r="AL57">
        <v>0.76404109589041092</v>
      </c>
      <c r="AM57">
        <v>0.77579908675799092</v>
      </c>
      <c r="AN57">
        <v>0.70742009132420092</v>
      </c>
      <c r="AO57">
        <v>0.66997716894977166</v>
      </c>
      <c r="AP57">
        <v>0.67043378995433789</v>
      </c>
      <c r="AQ57">
        <v>0.94417808219178079</v>
      </c>
      <c r="AR57">
        <v>0.55468036529680365</v>
      </c>
    </row>
    <row r="58" spans="7:44" x14ac:dyDescent="0.15">
      <c r="G58" s="567">
        <v>14</v>
      </c>
      <c r="H58" s="566">
        <v>0.7873287671232877</v>
      </c>
      <c r="I58" s="566">
        <v>0.81974885844748857</v>
      </c>
      <c r="J58" s="566">
        <v>0.84509132420091326</v>
      </c>
      <c r="K58" s="566">
        <v>0.89577625570776254</v>
      </c>
      <c r="L58" s="566">
        <v>0.79063926940639273</v>
      </c>
      <c r="M58" s="566">
        <v>0.7909817351598174</v>
      </c>
      <c r="N58" s="566">
        <v>0.80936073059360736</v>
      </c>
      <c r="O58" s="566">
        <v>0.77214611872146122</v>
      </c>
      <c r="P58" s="566">
        <v>0.75821917808219175</v>
      </c>
      <c r="Q58" s="566">
        <v>0.7179223744292238</v>
      </c>
      <c r="R58" s="566">
        <v>0.69086757990867576</v>
      </c>
      <c r="S58" s="566">
        <v>0.79063926940639273</v>
      </c>
      <c r="T58" s="566">
        <v>0.97648401826484021</v>
      </c>
      <c r="U58" s="566">
        <v>0.59063926940639266</v>
      </c>
      <c r="V58" s="566">
        <v>0.82248858447488582</v>
      </c>
      <c r="W58" s="566">
        <v>0.75582191780821917</v>
      </c>
      <c r="X58" s="566">
        <v>0.72328767123287674</v>
      </c>
      <c r="Z58" s="657" cm="1">
        <f t="array" ref="Z58">INDEX(H58:X58,1,$B$30)</f>
        <v>0.79063926940639273</v>
      </c>
      <c r="AH58">
        <v>0.7873287671232877</v>
      </c>
      <c r="AI58">
        <v>0.81974885844748857</v>
      </c>
      <c r="AJ58">
        <v>0.84509132420091326</v>
      </c>
      <c r="AK58">
        <v>0.89577625570776254</v>
      </c>
      <c r="AL58">
        <v>0.80936073059360736</v>
      </c>
      <c r="AM58">
        <v>0.82248858447488582</v>
      </c>
      <c r="AN58">
        <v>0.75582191780821917</v>
      </c>
      <c r="AO58">
        <v>0.7179223744292238</v>
      </c>
      <c r="AP58">
        <v>0.72328767123287674</v>
      </c>
      <c r="AQ58">
        <v>0.97648401826484021</v>
      </c>
      <c r="AR58">
        <v>0.59063926940639266</v>
      </c>
    </row>
    <row r="59" spans="7:44" x14ac:dyDescent="0.15">
      <c r="G59" s="567">
        <v>15</v>
      </c>
      <c r="H59" s="566">
        <v>0.82625570776255708</v>
      </c>
      <c r="I59" s="566">
        <v>0.85468036529680369</v>
      </c>
      <c r="J59" s="566">
        <v>0.87568493150684934</v>
      </c>
      <c r="K59" s="566">
        <v>0.91803652968036531</v>
      </c>
      <c r="L59" s="566">
        <v>0.83755707762557075</v>
      </c>
      <c r="M59" s="566">
        <v>0.8392694063926941</v>
      </c>
      <c r="N59" s="566">
        <v>0.84531963470319638</v>
      </c>
      <c r="O59" s="566">
        <v>0.81084474885844748</v>
      </c>
      <c r="P59" s="566">
        <v>0.79429223744292232</v>
      </c>
      <c r="Q59" s="566">
        <v>0.76210045662100456</v>
      </c>
      <c r="R59" s="566">
        <v>0.72910958904109591</v>
      </c>
      <c r="S59" s="566">
        <v>0.83755707762557075</v>
      </c>
      <c r="T59" s="566">
        <v>0.99235159817351604</v>
      </c>
      <c r="U59" s="566">
        <v>0.63036529680365294</v>
      </c>
      <c r="V59" s="566">
        <v>0.86130136986301364</v>
      </c>
      <c r="W59" s="566">
        <v>0.79965753424657537</v>
      </c>
      <c r="X59" s="566">
        <v>0.77203196347031966</v>
      </c>
      <c r="Z59" s="657" cm="1">
        <f t="array" ref="Z59">INDEX(H59:X59,1,$B$30)</f>
        <v>0.83755707762557075</v>
      </c>
      <c r="AH59">
        <v>0.82625570776255708</v>
      </c>
      <c r="AI59">
        <v>0.85468036529680369</v>
      </c>
      <c r="AJ59">
        <v>0.87568493150684934</v>
      </c>
      <c r="AK59">
        <v>0.91803652968036531</v>
      </c>
      <c r="AL59">
        <v>0.84531963470319638</v>
      </c>
      <c r="AM59">
        <v>0.86130136986301364</v>
      </c>
      <c r="AN59">
        <v>0.79965753424657537</v>
      </c>
      <c r="AO59">
        <v>0.76210045662100456</v>
      </c>
      <c r="AP59">
        <v>0.77203196347031966</v>
      </c>
      <c r="AQ59">
        <v>0.99235159817351604</v>
      </c>
      <c r="AR59">
        <v>0.63036529680365294</v>
      </c>
    </row>
    <row r="60" spans="7:44" x14ac:dyDescent="0.15">
      <c r="G60" s="567">
        <v>16</v>
      </c>
      <c r="H60" s="566">
        <v>0.86187214611872143</v>
      </c>
      <c r="I60" s="566">
        <v>0.88059360730593605</v>
      </c>
      <c r="J60" s="566">
        <v>0.89908675799086757</v>
      </c>
      <c r="K60" s="566">
        <v>0.93550228310502281</v>
      </c>
      <c r="L60" s="566">
        <v>0.86472602739726023</v>
      </c>
      <c r="M60" s="566">
        <v>0.86073059360730597</v>
      </c>
      <c r="N60" s="566">
        <v>0.86312785388127855</v>
      </c>
      <c r="O60" s="566">
        <v>0.83116438356164379</v>
      </c>
      <c r="P60" s="566">
        <v>0.81198630136986305</v>
      </c>
      <c r="Q60" s="566">
        <v>0.78047945205479452</v>
      </c>
      <c r="R60" s="566">
        <v>0.75102739726027401</v>
      </c>
      <c r="S60" s="566">
        <v>0.86472602739726023</v>
      </c>
      <c r="T60" s="566">
        <v>0.99509132420091329</v>
      </c>
      <c r="U60" s="566">
        <v>0.647716894977169</v>
      </c>
      <c r="V60" s="566">
        <v>0.88299086757990863</v>
      </c>
      <c r="W60" s="566">
        <v>0.8238584474885845</v>
      </c>
      <c r="X60" s="566">
        <v>0.79349315068493154</v>
      </c>
      <c r="Z60" s="657" cm="1">
        <f t="array" ref="Z60">INDEX(H60:X60,1,$B$30)</f>
        <v>0.86472602739726023</v>
      </c>
      <c r="AH60">
        <v>0.86187214611872143</v>
      </c>
      <c r="AI60">
        <v>0.88059360730593605</v>
      </c>
      <c r="AJ60">
        <v>0.89908675799086757</v>
      </c>
      <c r="AK60">
        <v>0.93550228310502281</v>
      </c>
      <c r="AL60">
        <v>0.86312785388127855</v>
      </c>
      <c r="AM60">
        <v>0.88299086757990863</v>
      </c>
      <c r="AN60">
        <v>0.8238584474885845</v>
      </c>
      <c r="AO60">
        <v>0.78047945205479452</v>
      </c>
      <c r="AP60">
        <v>0.79349315068493154</v>
      </c>
      <c r="AQ60">
        <v>0.99509132420091329</v>
      </c>
      <c r="AR60">
        <v>0.647716894977169</v>
      </c>
    </row>
    <row r="61" spans="7:44" x14ac:dyDescent="0.15">
      <c r="G61" s="567">
        <v>17</v>
      </c>
      <c r="H61" s="566">
        <v>0.88995433789954337</v>
      </c>
      <c r="I61" s="566">
        <v>0.90388127853881284</v>
      </c>
      <c r="J61" s="566">
        <v>0.92100456621004567</v>
      </c>
      <c r="K61" s="566">
        <v>0.95273972602739732</v>
      </c>
      <c r="L61" s="566">
        <v>0.90559360730593608</v>
      </c>
      <c r="M61" s="566">
        <v>0.89223744292237439</v>
      </c>
      <c r="N61" s="566">
        <v>0.88949771689497714</v>
      </c>
      <c r="O61" s="566">
        <v>0.86906392694063928</v>
      </c>
      <c r="P61" s="566">
        <v>0.8504566210045662</v>
      </c>
      <c r="Q61" s="566">
        <v>0.82351598173515983</v>
      </c>
      <c r="R61" s="566">
        <v>0.7901826484018265</v>
      </c>
      <c r="S61" s="566">
        <v>0.90559360730593608</v>
      </c>
      <c r="T61" s="566">
        <v>0.99840182648401832</v>
      </c>
      <c r="U61" s="566">
        <v>0.68196347031963467</v>
      </c>
      <c r="V61" s="566">
        <v>0.9178082191780822</v>
      </c>
      <c r="W61" s="566">
        <v>0.86335616438356166</v>
      </c>
      <c r="X61" s="566">
        <v>0.83253424657534247</v>
      </c>
      <c r="Z61" s="657" cm="1">
        <f t="array" ref="Z61">INDEX(H61:X61,1,$B$30)</f>
        <v>0.90559360730593608</v>
      </c>
      <c r="AH61">
        <v>0.88995433789954337</v>
      </c>
      <c r="AI61">
        <v>0.90388127853881284</v>
      </c>
      <c r="AJ61">
        <v>0.92100456621004567</v>
      </c>
      <c r="AK61">
        <v>0.95273972602739732</v>
      </c>
      <c r="AL61">
        <v>0.88949771689497714</v>
      </c>
      <c r="AM61">
        <v>0.9178082191780822</v>
      </c>
      <c r="AN61">
        <v>0.86335616438356166</v>
      </c>
      <c r="AO61">
        <v>0.82351598173515983</v>
      </c>
      <c r="AP61">
        <v>0.83253424657534247</v>
      </c>
      <c r="AQ61">
        <v>0.99840182648401832</v>
      </c>
      <c r="AR61">
        <v>0.68196347031963467</v>
      </c>
    </row>
    <row r="62" spans="7:44" x14ac:dyDescent="0.15">
      <c r="G62" s="567">
        <v>18</v>
      </c>
      <c r="H62" s="566">
        <v>0.91358447488584471</v>
      </c>
      <c r="I62" s="566">
        <v>0.92260273972602735</v>
      </c>
      <c r="J62" s="566">
        <v>0.9389269406392694</v>
      </c>
      <c r="K62" s="566">
        <v>0.9671232876712329</v>
      </c>
      <c r="L62" s="566">
        <v>0.93618721461187215</v>
      </c>
      <c r="M62" s="566">
        <v>0.92682648401826484</v>
      </c>
      <c r="N62" s="566">
        <v>0.91461187214611872</v>
      </c>
      <c r="O62" s="566">
        <v>0.90148401826484015</v>
      </c>
      <c r="P62" s="566">
        <v>0.88789954337899546</v>
      </c>
      <c r="Q62" s="566">
        <v>0.86461187214611868</v>
      </c>
      <c r="R62" s="566">
        <v>0.82773972602739732</v>
      </c>
      <c r="S62" s="566">
        <v>0.93618721461187215</v>
      </c>
      <c r="T62" s="566">
        <v>1</v>
      </c>
      <c r="U62" s="566">
        <v>0.71826484018264836</v>
      </c>
      <c r="V62" s="566">
        <v>0.94509132420091324</v>
      </c>
      <c r="W62" s="566">
        <v>0.8987442922374429</v>
      </c>
      <c r="X62" s="566">
        <v>0.86906392694063928</v>
      </c>
      <c r="Z62" s="657" cm="1">
        <f t="array" ref="Z62">INDEX(H62:X62,1,$B$30)</f>
        <v>0.93618721461187215</v>
      </c>
      <c r="AH62">
        <v>0.91358447488584471</v>
      </c>
      <c r="AI62">
        <v>0.92260273972602735</v>
      </c>
      <c r="AJ62">
        <v>0.9389269406392694</v>
      </c>
      <c r="AK62">
        <v>0.9671232876712329</v>
      </c>
      <c r="AL62">
        <v>0.91461187214611872</v>
      </c>
      <c r="AM62">
        <v>0.94509132420091324</v>
      </c>
      <c r="AN62">
        <v>0.8987442922374429</v>
      </c>
      <c r="AO62">
        <v>0.86461187214611868</v>
      </c>
      <c r="AP62">
        <v>0.86906392694063928</v>
      </c>
      <c r="AQ62">
        <v>1</v>
      </c>
      <c r="AR62">
        <v>0.71826484018264836</v>
      </c>
    </row>
    <row r="63" spans="7:44" x14ac:dyDescent="0.15">
      <c r="G63" s="567">
        <v>19</v>
      </c>
      <c r="H63" s="566">
        <v>0.93219178082191778</v>
      </c>
      <c r="I63" s="566">
        <v>0.93835616438356162</v>
      </c>
      <c r="J63" s="566">
        <v>0.95490867579908678</v>
      </c>
      <c r="K63" s="566">
        <v>0.97602739726027399</v>
      </c>
      <c r="L63" s="566">
        <v>0.96175799086757996</v>
      </c>
      <c r="M63" s="566">
        <v>0.9488584474885845</v>
      </c>
      <c r="N63" s="566">
        <v>0.93641552511415527</v>
      </c>
      <c r="O63" s="566">
        <v>0.92625570776255706</v>
      </c>
      <c r="P63" s="566">
        <v>0.91837899543378998</v>
      </c>
      <c r="Q63" s="566">
        <v>0.89452054794520552</v>
      </c>
      <c r="R63" s="566">
        <v>0.86472602739726023</v>
      </c>
      <c r="S63" s="566">
        <v>0.96175799086757996</v>
      </c>
      <c r="T63" s="566">
        <v>1</v>
      </c>
      <c r="U63" s="566">
        <v>0.75205479452054791</v>
      </c>
      <c r="V63" s="566">
        <v>0.96369863013698631</v>
      </c>
      <c r="W63" s="566">
        <v>0.92625570776255706</v>
      </c>
      <c r="X63" s="566">
        <v>0.9031963470319635</v>
      </c>
      <c r="Z63" s="657" cm="1">
        <f t="array" ref="Z63">INDEX(H63:X63,1,$B$30)</f>
        <v>0.96175799086757996</v>
      </c>
      <c r="AH63">
        <v>0.93219178082191778</v>
      </c>
      <c r="AI63">
        <v>0.93835616438356162</v>
      </c>
      <c r="AJ63">
        <v>0.95490867579908678</v>
      </c>
      <c r="AK63">
        <v>0.97602739726027399</v>
      </c>
      <c r="AL63">
        <v>0.93641552511415527</v>
      </c>
      <c r="AM63">
        <v>0.96369863013698631</v>
      </c>
      <c r="AN63">
        <v>0.92625570776255706</v>
      </c>
      <c r="AO63">
        <v>0.89452054794520552</v>
      </c>
      <c r="AP63">
        <v>0.9031963470319635</v>
      </c>
      <c r="AQ63">
        <v>1</v>
      </c>
      <c r="AR63">
        <v>0.75205479452054791</v>
      </c>
    </row>
    <row r="64" spans="7:44" x14ac:dyDescent="0.15">
      <c r="G64" s="567">
        <v>20</v>
      </c>
      <c r="H64" s="566">
        <v>0.94783105022831049</v>
      </c>
      <c r="I64" s="566">
        <v>0.95490867579908678</v>
      </c>
      <c r="J64" s="566">
        <v>0.96700913242009134</v>
      </c>
      <c r="K64" s="566">
        <v>0.98264840182648405</v>
      </c>
      <c r="L64" s="566">
        <v>0.97636986301369866</v>
      </c>
      <c r="M64" s="566">
        <v>0.966324200913242</v>
      </c>
      <c r="N64" s="566">
        <v>0.95399543378995433</v>
      </c>
      <c r="O64" s="566">
        <v>0.95079908675799085</v>
      </c>
      <c r="P64" s="566">
        <v>0.94200913242009132</v>
      </c>
      <c r="Q64" s="566">
        <v>0.92123287671232879</v>
      </c>
      <c r="R64" s="566">
        <v>0.8969178082191781</v>
      </c>
      <c r="S64" s="566">
        <v>0.97636986301369866</v>
      </c>
      <c r="T64" s="566">
        <v>1</v>
      </c>
      <c r="U64" s="566">
        <v>0.78436073059360734</v>
      </c>
      <c r="V64" s="566">
        <v>0.97659817351598177</v>
      </c>
      <c r="W64" s="566">
        <v>0.9480593607305936</v>
      </c>
      <c r="X64" s="566">
        <v>0.92842465753424652</v>
      </c>
      <c r="Z64" s="657" cm="1">
        <f t="array" ref="Z64">INDEX(H64:X64,1,$B$30)</f>
        <v>0.97636986301369866</v>
      </c>
      <c r="AH64">
        <v>0.94783105022831049</v>
      </c>
      <c r="AI64">
        <v>0.95490867579908678</v>
      </c>
      <c r="AJ64">
        <v>0.96700913242009134</v>
      </c>
      <c r="AK64">
        <v>0.98264840182648405</v>
      </c>
      <c r="AL64">
        <v>0.95399543378995433</v>
      </c>
      <c r="AM64">
        <v>0.97659817351598177</v>
      </c>
      <c r="AN64">
        <v>0.9480593607305936</v>
      </c>
      <c r="AO64">
        <v>0.92123287671232879</v>
      </c>
      <c r="AP64">
        <v>0.92842465753424652</v>
      </c>
      <c r="AQ64">
        <v>1</v>
      </c>
      <c r="AR64">
        <v>0.78436073059360734</v>
      </c>
    </row>
    <row r="65" spans="7:44" x14ac:dyDescent="0.15">
      <c r="G65" s="567">
        <v>21</v>
      </c>
      <c r="H65" s="566">
        <v>0.96324200913242009</v>
      </c>
      <c r="I65" s="566">
        <v>0.96757990867579913</v>
      </c>
      <c r="J65" s="566">
        <v>0.9780821917808219</v>
      </c>
      <c r="K65" s="566">
        <v>0.98789954337899544</v>
      </c>
      <c r="L65" s="566">
        <v>0.98344748858447484</v>
      </c>
      <c r="M65" s="566">
        <v>0.97328767123287674</v>
      </c>
      <c r="N65" s="566">
        <v>0.96107305936073062</v>
      </c>
      <c r="O65" s="566">
        <v>0.96198630136986296</v>
      </c>
      <c r="P65" s="566">
        <v>0.95125570776255708</v>
      </c>
      <c r="Q65" s="566">
        <v>0.93287671232876712</v>
      </c>
      <c r="R65" s="566">
        <v>0.91255707762557081</v>
      </c>
      <c r="S65" s="566">
        <v>0.98344748858447484</v>
      </c>
      <c r="T65" s="566">
        <v>1</v>
      </c>
      <c r="U65" s="566">
        <v>0.80136986301369861</v>
      </c>
      <c r="V65" s="566">
        <v>0.9817351598173516</v>
      </c>
      <c r="W65" s="566">
        <v>0.95913242009132416</v>
      </c>
      <c r="X65" s="566">
        <v>0.9397260273972603</v>
      </c>
      <c r="Z65" s="657" cm="1">
        <f t="array" ref="Z65">INDEX(H65:X65,1,$B$30)</f>
        <v>0.98344748858447484</v>
      </c>
      <c r="AH65">
        <v>0.96324200913242009</v>
      </c>
      <c r="AI65">
        <v>0.96757990867579913</v>
      </c>
      <c r="AJ65">
        <v>0.9780821917808219</v>
      </c>
      <c r="AK65">
        <v>0.98789954337899544</v>
      </c>
      <c r="AL65">
        <v>0.96107305936073062</v>
      </c>
      <c r="AM65">
        <v>0.9817351598173516</v>
      </c>
      <c r="AN65">
        <v>0.95913242009132416</v>
      </c>
      <c r="AO65">
        <v>0.93287671232876712</v>
      </c>
      <c r="AP65">
        <v>0.9397260273972603</v>
      </c>
      <c r="AQ65">
        <v>1</v>
      </c>
      <c r="AR65">
        <v>0.80136986301369861</v>
      </c>
    </row>
    <row r="66" spans="7:44" x14ac:dyDescent="0.15">
      <c r="G66" s="567">
        <v>22</v>
      </c>
      <c r="H66" s="566">
        <v>0.97283105022831051</v>
      </c>
      <c r="I66" s="566">
        <v>0.97751141552511411</v>
      </c>
      <c r="J66" s="566">
        <v>0.98652968036529676</v>
      </c>
      <c r="K66" s="566">
        <v>0.9916666666666667</v>
      </c>
      <c r="L66" s="566">
        <v>0.99155251141552514</v>
      </c>
      <c r="M66" s="566">
        <v>0.98436073059360729</v>
      </c>
      <c r="N66" s="566">
        <v>0.97305936073059363</v>
      </c>
      <c r="O66" s="566">
        <v>0.97408675799086752</v>
      </c>
      <c r="P66" s="566">
        <v>0.96643835616438356</v>
      </c>
      <c r="Q66" s="566">
        <v>0.95091324200913241</v>
      </c>
      <c r="R66" s="566">
        <v>0.93515981735159814</v>
      </c>
      <c r="S66" s="566">
        <v>0.99155251141552514</v>
      </c>
      <c r="T66" s="566">
        <v>1</v>
      </c>
      <c r="U66" s="566">
        <v>0.83105022831050224</v>
      </c>
      <c r="V66" s="566">
        <v>0.98847031963470322</v>
      </c>
      <c r="W66" s="566">
        <v>0.97454337899543375</v>
      </c>
      <c r="X66" s="566">
        <v>0.95684931506849313</v>
      </c>
      <c r="Z66" s="657" cm="1">
        <f t="array" ref="Z66">INDEX(H66:X66,1,$B$30)</f>
        <v>0.99155251141552514</v>
      </c>
      <c r="AH66">
        <v>0.97283105022831051</v>
      </c>
      <c r="AI66">
        <v>0.97751141552511411</v>
      </c>
      <c r="AJ66">
        <v>0.98652968036529676</v>
      </c>
      <c r="AK66">
        <v>0.9916666666666667</v>
      </c>
      <c r="AL66">
        <v>0.97305936073059363</v>
      </c>
      <c r="AM66">
        <v>0.98847031963470322</v>
      </c>
      <c r="AN66">
        <v>0.97454337899543375</v>
      </c>
      <c r="AO66">
        <v>0.95091324200913241</v>
      </c>
      <c r="AP66">
        <v>0.95684931506849313</v>
      </c>
      <c r="AQ66">
        <v>1</v>
      </c>
      <c r="AR66">
        <v>0.83105022831050224</v>
      </c>
    </row>
    <row r="67" spans="7:44" x14ac:dyDescent="0.15">
      <c r="G67" s="567">
        <v>23</v>
      </c>
      <c r="H67" s="566">
        <v>0.98082191780821915</v>
      </c>
      <c r="I67" s="566">
        <v>0.9853881278538813</v>
      </c>
      <c r="J67" s="566">
        <v>0.99303652968036527</v>
      </c>
      <c r="K67" s="566">
        <v>0.99497716894977173</v>
      </c>
      <c r="L67" s="566">
        <v>0.99691780821917808</v>
      </c>
      <c r="M67" s="566">
        <v>0.9926940639269406</v>
      </c>
      <c r="N67" s="566">
        <v>0.98264840182648405</v>
      </c>
      <c r="O67" s="566">
        <v>0.98413242009132418</v>
      </c>
      <c r="P67" s="566">
        <v>0.97785388127853878</v>
      </c>
      <c r="Q67" s="566">
        <v>0.9671232876712329</v>
      </c>
      <c r="R67" s="566">
        <v>0.95525114155251145</v>
      </c>
      <c r="S67" s="566">
        <v>0.99691780821917808</v>
      </c>
      <c r="T67" s="566">
        <v>1</v>
      </c>
      <c r="U67" s="566">
        <v>0.86107305936073064</v>
      </c>
      <c r="V67" s="566">
        <v>0.99372146118721461</v>
      </c>
      <c r="W67" s="566">
        <v>0.98561643835616441</v>
      </c>
      <c r="X67" s="566">
        <v>0.96986301369863015</v>
      </c>
      <c r="Z67" s="657" cm="1">
        <f t="array" ref="Z67">INDEX(H67:X67,1,$B$30)</f>
        <v>0.99691780821917808</v>
      </c>
      <c r="AH67">
        <v>0.98082191780821915</v>
      </c>
      <c r="AI67">
        <v>0.9853881278538813</v>
      </c>
      <c r="AJ67">
        <v>0.99303652968036527</v>
      </c>
      <c r="AK67">
        <v>0.99497716894977173</v>
      </c>
      <c r="AL67">
        <v>0.98264840182648405</v>
      </c>
      <c r="AM67">
        <v>0.99372146118721461</v>
      </c>
      <c r="AN67">
        <v>0.98561643835616441</v>
      </c>
      <c r="AO67">
        <v>0.9671232876712329</v>
      </c>
      <c r="AP67">
        <v>0.96986301369863015</v>
      </c>
      <c r="AQ67">
        <v>1</v>
      </c>
      <c r="AR67">
        <v>0.86107305936073064</v>
      </c>
    </row>
    <row r="68" spans="7:44" x14ac:dyDescent="0.15">
      <c r="G68" s="567">
        <v>24</v>
      </c>
      <c r="H68" s="566">
        <v>0.98550228310502286</v>
      </c>
      <c r="I68" s="566">
        <v>0.99098173515981736</v>
      </c>
      <c r="J68" s="566">
        <v>0.99760273972602742</v>
      </c>
      <c r="K68" s="566">
        <v>0.99748858447488586</v>
      </c>
      <c r="L68" s="566">
        <v>0.99977168949771689</v>
      </c>
      <c r="M68" s="566">
        <v>0.99760273972602742</v>
      </c>
      <c r="N68" s="566">
        <v>0.99041095890410957</v>
      </c>
      <c r="O68" s="566">
        <v>0.99132420091324203</v>
      </c>
      <c r="P68" s="566">
        <v>0.98732876712328765</v>
      </c>
      <c r="Q68" s="566">
        <v>0.97819634703196345</v>
      </c>
      <c r="R68" s="566">
        <v>0.97111872146118716</v>
      </c>
      <c r="S68" s="566">
        <v>0.99977168949771689</v>
      </c>
      <c r="T68" s="566">
        <v>1</v>
      </c>
      <c r="U68" s="566">
        <v>0.89109589041095894</v>
      </c>
      <c r="V68" s="566">
        <v>0.9963470319634703</v>
      </c>
      <c r="W68" s="566">
        <v>0.99257990867579904</v>
      </c>
      <c r="X68" s="566">
        <v>0.98036529680365292</v>
      </c>
      <c r="Z68" s="657" cm="1">
        <f t="array" ref="Z68">INDEX(H68:X68,1,$B$30)</f>
        <v>0.99977168949771689</v>
      </c>
      <c r="AH68">
        <v>0.98550228310502286</v>
      </c>
      <c r="AI68">
        <v>0.99098173515981736</v>
      </c>
      <c r="AJ68">
        <v>0.99760273972602742</v>
      </c>
      <c r="AK68">
        <v>0.99748858447488586</v>
      </c>
      <c r="AL68">
        <v>0.99041095890410957</v>
      </c>
      <c r="AM68">
        <v>0.9963470319634703</v>
      </c>
      <c r="AN68">
        <v>0.99257990867579904</v>
      </c>
      <c r="AO68">
        <v>0.97819634703196345</v>
      </c>
      <c r="AP68">
        <v>0.98036529680365292</v>
      </c>
      <c r="AQ68">
        <v>1</v>
      </c>
      <c r="AR68">
        <v>0.89109589041095894</v>
      </c>
    </row>
    <row r="69" spans="7:44" x14ac:dyDescent="0.15">
      <c r="G69" s="567">
        <v>25</v>
      </c>
      <c r="H69" s="566">
        <v>0.98949771689497712</v>
      </c>
      <c r="I69" s="566">
        <v>0.99520547945205484</v>
      </c>
      <c r="J69" s="566">
        <v>0.9992009132420091</v>
      </c>
      <c r="K69" s="566">
        <v>0.99851598173515976</v>
      </c>
      <c r="L69" s="566">
        <v>1</v>
      </c>
      <c r="M69" s="566">
        <v>0.99977168949771689</v>
      </c>
      <c r="N69" s="566">
        <v>0.99566210045662096</v>
      </c>
      <c r="O69" s="566">
        <v>0.99566210045662096</v>
      </c>
      <c r="P69" s="566">
        <v>0.99326484018264838</v>
      </c>
      <c r="Q69" s="566">
        <v>0.98732876712328765</v>
      </c>
      <c r="R69" s="566">
        <v>0.98344748858447484</v>
      </c>
      <c r="S69" s="566">
        <v>1</v>
      </c>
      <c r="T69" s="566">
        <v>1</v>
      </c>
      <c r="U69" s="566">
        <v>0.91792237442922375</v>
      </c>
      <c r="V69" s="566">
        <v>0.99840182648401832</v>
      </c>
      <c r="W69" s="566">
        <v>0.99589041095890407</v>
      </c>
      <c r="X69" s="566">
        <v>0.98710045662100454</v>
      </c>
      <c r="Z69" s="657" cm="1">
        <f t="array" ref="Z69">INDEX(H69:X69,1,$B$30)</f>
        <v>1</v>
      </c>
      <c r="AH69">
        <v>0.98949771689497712</v>
      </c>
      <c r="AI69">
        <v>0.99520547945205484</v>
      </c>
      <c r="AJ69">
        <v>0.9992009132420091</v>
      </c>
      <c r="AK69">
        <v>0.99851598173515976</v>
      </c>
      <c r="AL69">
        <v>0.99566210045662096</v>
      </c>
      <c r="AM69">
        <v>0.99840182648401832</v>
      </c>
      <c r="AN69">
        <v>0.99589041095890407</v>
      </c>
      <c r="AO69">
        <v>0.98732876712328765</v>
      </c>
      <c r="AP69">
        <v>0.98710045662100454</v>
      </c>
      <c r="AQ69">
        <v>1</v>
      </c>
      <c r="AR69">
        <v>0.91792237442922375</v>
      </c>
    </row>
    <row r="70" spans="7:44" x14ac:dyDescent="0.15">
      <c r="G70" s="567">
        <v>26</v>
      </c>
      <c r="H70" s="566">
        <v>0.99372146118721461</v>
      </c>
      <c r="I70" s="566">
        <v>0.99691780821917808</v>
      </c>
      <c r="J70" s="566">
        <v>0.99965753424657533</v>
      </c>
      <c r="K70" s="566">
        <v>0.99954337899543377</v>
      </c>
      <c r="L70" s="566">
        <v>1</v>
      </c>
      <c r="M70" s="566">
        <v>1</v>
      </c>
      <c r="N70" s="566">
        <v>0.9981735159817352</v>
      </c>
      <c r="O70" s="566">
        <v>0.99760273972602742</v>
      </c>
      <c r="P70" s="566">
        <v>0.9953196347031964</v>
      </c>
      <c r="Q70" s="566">
        <v>0.99018264840182646</v>
      </c>
      <c r="R70" s="566">
        <v>0.98755707762557077</v>
      </c>
      <c r="S70" s="566">
        <v>1</v>
      </c>
      <c r="T70" s="566">
        <v>1</v>
      </c>
      <c r="U70" s="566">
        <v>0.92968036529680365</v>
      </c>
      <c r="V70" s="566">
        <v>0.99908675799086755</v>
      </c>
      <c r="W70" s="566">
        <v>0.99714611872146119</v>
      </c>
      <c r="X70" s="566">
        <v>0.99075342465753424</v>
      </c>
      <c r="Z70" s="657" cm="1">
        <f t="array" ref="Z70">INDEX(H70:X70,1,$B$30)</f>
        <v>1</v>
      </c>
      <c r="AH70">
        <v>0.99372146118721461</v>
      </c>
      <c r="AI70">
        <v>0.99691780821917808</v>
      </c>
      <c r="AJ70">
        <v>0.99965753424657533</v>
      </c>
      <c r="AK70">
        <v>0.99954337899543377</v>
      </c>
      <c r="AL70">
        <v>0.9981735159817352</v>
      </c>
      <c r="AM70">
        <v>0.99908675799086755</v>
      </c>
      <c r="AN70">
        <v>0.99714611872146119</v>
      </c>
      <c r="AO70">
        <v>0.99018264840182646</v>
      </c>
      <c r="AP70">
        <v>0.99075342465753424</v>
      </c>
      <c r="AQ70">
        <v>1</v>
      </c>
      <c r="AR70">
        <v>0.92968036529680365</v>
      </c>
    </row>
    <row r="71" spans="7:44" x14ac:dyDescent="0.15">
      <c r="G71" s="567">
        <v>27</v>
      </c>
      <c r="H71" s="566">
        <v>0.99668949771689497</v>
      </c>
      <c r="I71" s="566">
        <v>0.99840182648401832</v>
      </c>
      <c r="J71" s="566">
        <v>1</v>
      </c>
      <c r="K71" s="566">
        <v>1</v>
      </c>
      <c r="L71" s="566">
        <v>1</v>
      </c>
      <c r="M71" s="566">
        <v>1</v>
      </c>
      <c r="N71" s="566">
        <v>0.9992009132420091</v>
      </c>
      <c r="O71" s="566">
        <v>0.99931506849315066</v>
      </c>
      <c r="P71" s="566">
        <v>0.99805936073059365</v>
      </c>
      <c r="Q71" s="566">
        <v>0.99543378995433784</v>
      </c>
      <c r="R71" s="566">
        <v>0.99337899543378994</v>
      </c>
      <c r="S71" s="566">
        <v>1</v>
      </c>
      <c r="T71" s="566">
        <v>1</v>
      </c>
      <c r="U71" s="566">
        <v>0.94897260273972606</v>
      </c>
      <c r="V71" s="566">
        <v>0.99965753424657533</v>
      </c>
      <c r="W71" s="566">
        <v>0.99885844748858443</v>
      </c>
      <c r="X71" s="566">
        <v>0.99429223744292239</v>
      </c>
      <c r="Z71" s="657" cm="1">
        <f t="array" ref="Z71">INDEX(H71:X71,1,$B$30)</f>
        <v>1</v>
      </c>
      <c r="AH71">
        <v>0.99668949771689497</v>
      </c>
      <c r="AI71">
        <v>0.99840182648401832</v>
      </c>
      <c r="AJ71">
        <v>1</v>
      </c>
      <c r="AK71">
        <v>1</v>
      </c>
      <c r="AL71">
        <v>0.9992009132420091</v>
      </c>
      <c r="AM71">
        <v>0.99965753424657533</v>
      </c>
      <c r="AN71">
        <v>0.99885844748858443</v>
      </c>
      <c r="AO71">
        <v>0.99543378995433784</v>
      </c>
      <c r="AP71">
        <v>0.99429223744292239</v>
      </c>
      <c r="AQ71">
        <v>1</v>
      </c>
      <c r="AR71">
        <v>0.94897260273972606</v>
      </c>
    </row>
    <row r="72" spans="7:44" x14ac:dyDescent="0.15">
      <c r="G72" s="567">
        <v>28</v>
      </c>
      <c r="H72" s="566">
        <v>0.99874429223744288</v>
      </c>
      <c r="I72" s="566">
        <v>0.9992009132420091</v>
      </c>
      <c r="J72" s="566">
        <v>1</v>
      </c>
      <c r="K72" s="566">
        <v>1</v>
      </c>
      <c r="L72" s="566">
        <v>1</v>
      </c>
      <c r="M72" s="566">
        <v>1</v>
      </c>
      <c r="N72" s="566">
        <v>1</v>
      </c>
      <c r="O72" s="566">
        <v>0.99988584474885844</v>
      </c>
      <c r="P72" s="566">
        <v>0.99931506849315066</v>
      </c>
      <c r="Q72" s="566">
        <v>0.99760273972602742</v>
      </c>
      <c r="R72" s="566">
        <v>0.99726027397260275</v>
      </c>
      <c r="S72" s="566">
        <v>1</v>
      </c>
      <c r="T72" s="566">
        <v>1</v>
      </c>
      <c r="U72" s="566">
        <v>0.96461187214611877</v>
      </c>
      <c r="V72" s="566">
        <v>1</v>
      </c>
      <c r="W72" s="566">
        <v>0.99965753424657533</v>
      </c>
      <c r="X72" s="566">
        <v>0.99657534246575341</v>
      </c>
      <c r="Z72" s="657" cm="1">
        <f t="array" ref="Z72">INDEX(H72:X72,1,$B$30)</f>
        <v>1</v>
      </c>
      <c r="AH72">
        <v>0.99874429223744288</v>
      </c>
      <c r="AI72">
        <v>0.9992009132420091</v>
      </c>
      <c r="AJ72">
        <v>1</v>
      </c>
      <c r="AK72">
        <v>1</v>
      </c>
      <c r="AL72">
        <v>1</v>
      </c>
      <c r="AM72">
        <v>1</v>
      </c>
      <c r="AN72">
        <v>0.99965753424657533</v>
      </c>
      <c r="AO72">
        <v>0.99760273972602742</v>
      </c>
      <c r="AP72">
        <v>0.99657534246575341</v>
      </c>
      <c r="AQ72">
        <v>1</v>
      </c>
      <c r="AR72">
        <v>0.96461187214611877</v>
      </c>
    </row>
    <row r="73" spans="7:44" x14ac:dyDescent="0.15">
      <c r="G73" s="567">
        <v>29</v>
      </c>
      <c r="H73" s="566">
        <v>0.99965753424657533</v>
      </c>
      <c r="I73" s="566">
        <v>0.99977168949771689</v>
      </c>
      <c r="J73" s="566">
        <v>1</v>
      </c>
      <c r="K73" s="566">
        <v>1</v>
      </c>
      <c r="L73" s="566">
        <v>1</v>
      </c>
      <c r="M73" s="566">
        <v>1</v>
      </c>
      <c r="N73" s="566">
        <v>1</v>
      </c>
      <c r="O73" s="566">
        <v>1</v>
      </c>
      <c r="P73" s="566">
        <v>1</v>
      </c>
      <c r="Q73" s="566">
        <v>0.9992009132420091</v>
      </c>
      <c r="R73" s="566">
        <v>0.99863013698630132</v>
      </c>
      <c r="S73" s="566">
        <v>1</v>
      </c>
      <c r="T73" s="566">
        <v>1</v>
      </c>
      <c r="U73" s="566">
        <v>0.97671232876712333</v>
      </c>
      <c r="V73" s="566">
        <v>1</v>
      </c>
      <c r="W73" s="566">
        <v>1</v>
      </c>
      <c r="X73" s="566">
        <v>0.99885844748858443</v>
      </c>
      <c r="Z73" s="657" cm="1">
        <f t="array" ref="Z73">INDEX(H73:X73,1,$B$30)</f>
        <v>1</v>
      </c>
      <c r="AH73">
        <v>0.99965753424657533</v>
      </c>
      <c r="AI73">
        <v>0.99977168949771689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0.9992009132420091</v>
      </c>
      <c r="AP73">
        <v>0.99885844748858443</v>
      </c>
      <c r="AQ73">
        <v>1</v>
      </c>
      <c r="AR73">
        <v>0.97671232876712333</v>
      </c>
    </row>
    <row r="74" spans="7:44" x14ac:dyDescent="0.15">
      <c r="G74" s="567">
        <v>30</v>
      </c>
      <c r="H74" s="566">
        <v>1</v>
      </c>
      <c r="I74" s="566">
        <v>1</v>
      </c>
      <c r="J74" s="566">
        <v>1</v>
      </c>
      <c r="K74" s="566">
        <v>1</v>
      </c>
      <c r="L74" s="566">
        <v>1</v>
      </c>
      <c r="M74" s="566">
        <v>1</v>
      </c>
      <c r="N74" s="566">
        <v>1</v>
      </c>
      <c r="O74" s="566">
        <v>1</v>
      </c>
      <c r="P74" s="566">
        <v>1</v>
      </c>
      <c r="Q74" s="566">
        <v>1</v>
      </c>
      <c r="R74" s="566">
        <v>0.99977168949771689</v>
      </c>
      <c r="S74" s="566">
        <v>1</v>
      </c>
      <c r="T74" s="566">
        <v>1</v>
      </c>
      <c r="U74" s="566">
        <v>0.98527397260273974</v>
      </c>
      <c r="V74" s="566">
        <v>1</v>
      </c>
      <c r="W74" s="566">
        <v>1</v>
      </c>
      <c r="X74" s="566">
        <v>0.99988584474885844</v>
      </c>
      <c r="Z74" s="657" cm="1">
        <f t="array" ref="Z74">INDEX(H74:X74,1,$B$30)</f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0.99988584474885844</v>
      </c>
      <c r="AQ74">
        <v>1</v>
      </c>
      <c r="AR74">
        <v>0.98527397260273974</v>
      </c>
    </row>
    <row r="75" spans="7:44" x14ac:dyDescent="0.15">
      <c r="G75" s="567">
        <v>31</v>
      </c>
      <c r="H75" s="566">
        <v>1</v>
      </c>
      <c r="I75" s="566">
        <v>1</v>
      </c>
      <c r="J75" s="566">
        <v>1</v>
      </c>
      <c r="K75" s="566">
        <v>1</v>
      </c>
      <c r="L75" s="566">
        <v>1</v>
      </c>
      <c r="M75" s="566">
        <v>1</v>
      </c>
      <c r="N75" s="566">
        <v>1</v>
      </c>
      <c r="O75" s="566">
        <v>1</v>
      </c>
      <c r="P75" s="566">
        <v>1</v>
      </c>
      <c r="Q75" s="566">
        <v>1</v>
      </c>
      <c r="R75" s="566">
        <v>1</v>
      </c>
      <c r="S75" s="566">
        <v>1</v>
      </c>
      <c r="T75" s="566">
        <v>1</v>
      </c>
      <c r="U75" s="566">
        <v>0.98892694063926945</v>
      </c>
      <c r="V75" s="566">
        <v>1</v>
      </c>
      <c r="W75" s="566">
        <v>1</v>
      </c>
      <c r="X75" s="566">
        <v>1</v>
      </c>
      <c r="Z75" s="657" cm="1">
        <f t="array" ref="Z75">INDEX(H75:X75,1,$B$30)</f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0.98892694063926945</v>
      </c>
    </row>
    <row r="76" spans="7:44" x14ac:dyDescent="0.15">
      <c r="G76" s="567">
        <v>32</v>
      </c>
      <c r="H76" s="566">
        <v>1</v>
      </c>
      <c r="I76" s="566">
        <v>1</v>
      </c>
      <c r="J76" s="566">
        <v>1</v>
      </c>
      <c r="K76" s="566">
        <v>1</v>
      </c>
      <c r="L76" s="566">
        <v>1</v>
      </c>
      <c r="M76" s="566">
        <v>1</v>
      </c>
      <c r="N76" s="566">
        <v>1</v>
      </c>
      <c r="O76" s="566">
        <v>1</v>
      </c>
      <c r="P76" s="566">
        <v>1</v>
      </c>
      <c r="Q76" s="566">
        <v>1</v>
      </c>
      <c r="R76" s="566">
        <v>1</v>
      </c>
      <c r="S76" s="566">
        <v>1</v>
      </c>
      <c r="T76" s="566">
        <v>1</v>
      </c>
      <c r="U76" s="566">
        <v>0.99417808219178083</v>
      </c>
      <c r="V76" s="566">
        <v>1</v>
      </c>
      <c r="W76" s="566">
        <v>1</v>
      </c>
      <c r="X76" s="566">
        <v>1</v>
      </c>
      <c r="Z76" s="657" cm="1">
        <f t="array" ref="Z76">INDEX(H76:X76,1,$B$30)</f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0.99417808219178083</v>
      </c>
    </row>
    <row r="77" spans="7:44" x14ac:dyDescent="0.15">
      <c r="G77" s="567">
        <v>33</v>
      </c>
      <c r="H77" s="566">
        <v>1</v>
      </c>
      <c r="I77" s="566">
        <v>1</v>
      </c>
      <c r="J77" s="566">
        <v>1</v>
      </c>
      <c r="K77" s="566">
        <v>1</v>
      </c>
      <c r="L77" s="566">
        <v>1</v>
      </c>
      <c r="M77" s="566">
        <v>1</v>
      </c>
      <c r="N77" s="566">
        <v>1</v>
      </c>
      <c r="O77" s="566">
        <v>1</v>
      </c>
      <c r="P77" s="566">
        <v>1</v>
      </c>
      <c r="Q77" s="566">
        <v>1</v>
      </c>
      <c r="R77" s="566">
        <v>1</v>
      </c>
      <c r="S77" s="566">
        <v>1</v>
      </c>
      <c r="T77" s="566">
        <v>1</v>
      </c>
      <c r="U77" s="566">
        <v>0.99714611872146119</v>
      </c>
      <c r="V77" s="566">
        <v>1</v>
      </c>
      <c r="W77" s="566">
        <v>1</v>
      </c>
      <c r="X77" s="566">
        <v>1</v>
      </c>
      <c r="Z77" s="657" cm="1">
        <f t="array" ref="Z77">INDEX(H77:X77,1,$B$30)</f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0.99714611872146119</v>
      </c>
    </row>
    <row r="78" spans="7:44" x14ac:dyDescent="0.15">
      <c r="G78" s="567">
        <v>34</v>
      </c>
      <c r="H78" s="566">
        <v>1</v>
      </c>
      <c r="I78" s="566">
        <v>1</v>
      </c>
      <c r="J78" s="566">
        <v>1</v>
      </c>
      <c r="K78" s="566">
        <v>1</v>
      </c>
      <c r="L78" s="566">
        <v>1</v>
      </c>
      <c r="M78" s="566">
        <v>1</v>
      </c>
      <c r="N78" s="566">
        <v>1</v>
      </c>
      <c r="O78" s="566">
        <v>1</v>
      </c>
      <c r="P78" s="566">
        <v>1</v>
      </c>
      <c r="Q78" s="566">
        <v>1</v>
      </c>
      <c r="R78" s="566">
        <v>1</v>
      </c>
      <c r="S78" s="566">
        <v>1</v>
      </c>
      <c r="T78" s="566">
        <v>1</v>
      </c>
      <c r="U78" s="566">
        <v>0.99908675799086755</v>
      </c>
      <c r="V78" s="566">
        <v>1</v>
      </c>
      <c r="W78" s="566">
        <v>1</v>
      </c>
      <c r="X78" s="566">
        <v>1</v>
      </c>
      <c r="Z78" s="657" cm="1">
        <f t="array" ref="Z78">INDEX(H78:X78,1,$B$30)</f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0.99908675799086755</v>
      </c>
    </row>
    <row r="79" spans="7:44" x14ac:dyDescent="0.15">
      <c r="G79" s="567">
        <v>35</v>
      </c>
      <c r="H79" s="566">
        <v>1</v>
      </c>
      <c r="I79" s="566">
        <v>1</v>
      </c>
      <c r="J79" s="566">
        <v>1</v>
      </c>
      <c r="K79" s="566">
        <v>1</v>
      </c>
      <c r="L79" s="566">
        <v>1</v>
      </c>
      <c r="M79" s="566">
        <v>1</v>
      </c>
      <c r="N79" s="566">
        <v>1</v>
      </c>
      <c r="O79" s="566">
        <v>1</v>
      </c>
      <c r="P79" s="566">
        <v>1</v>
      </c>
      <c r="Q79" s="566">
        <v>1</v>
      </c>
      <c r="R79" s="566">
        <v>1</v>
      </c>
      <c r="S79" s="566">
        <v>1</v>
      </c>
      <c r="T79" s="566">
        <v>1</v>
      </c>
      <c r="U79" s="566">
        <v>0.99942922374429222</v>
      </c>
      <c r="V79" s="566">
        <v>1</v>
      </c>
      <c r="W79" s="566">
        <v>1</v>
      </c>
      <c r="X79" s="566">
        <v>1</v>
      </c>
      <c r="Z79" s="657" cm="1">
        <f t="array" ref="Z79">INDEX(H79:X79,1,$B$30)</f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0.99942922374429222</v>
      </c>
    </row>
    <row r="80" spans="7:44" x14ac:dyDescent="0.15">
      <c r="G80" s="567">
        <v>36</v>
      </c>
      <c r="H80" s="566">
        <v>1</v>
      </c>
      <c r="I80" s="566">
        <v>1</v>
      </c>
      <c r="J80" s="566">
        <v>1</v>
      </c>
      <c r="K80" s="566">
        <v>1</v>
      </c>
      <c r="L80" s="566">
        <v>1</v>
      </c>
      <c r="M80" s="566">
        <v>1</v>
      </c>
      <c r="N80" s="566">
        <v>1</v>
      </c>
      <c r="O80" s="566">
        <v>1</v>
      </c>
      <c r="P80" s="566">
        <v>1</v>
      </c>
      <c r="Q80" s="566">
        <v>1</v>
      </c>
      <c r="R80" s="566">
        <v>1</v>
      </c>
      <c r="S80" s="566">
        <v>1</v>
      </c>
      <c r="T80" s="566">
        <v>1</v>
      </c>
      <c r="U80" s="566">
        <v>0.99942922374429222</v>
      </c>
      <c r="V80" s="566">
        <v>1</v>
      </c>
      <c r="W80" s="566">
        <v>1</v>
      </c>
      <c r="X80" s="566">
        <v>1</v>
      </c>
      <c r="Z80" s="657" cm="1">
        <f t="array" ref="Z80">INDEX(H80:X80,1,$B$30)</f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0.99942922374429222</v>
      </c>
    </row>
    <row r="81" spans="7:44" x14ac:dyDescent="0.15">
      <c r="G81" s="567">
        <v>37</v>
      </c>
      <c r="H81" s="566">
        <v>1</v>
      </c>
      <c r="I81" s="566">
        <v>1</v>
      </c>
      <c r="J81" s="566">
        <v>1</v>
      </c>
      <c r="K81" s="566">
        <v>1</v>
      </c>
      <c r="L81" s="566">
        <v>1</v>
      </c>
      <c r="M81" s="566">
        <v>1</v>
      </c>
      <c r="N81" s="566">
        <v>1</v>
      </c>
      <c r="O81" s="566">
        <v>1</v>
      </c>
      <c r="P81" s="566">
        <v>1</v>
      </c>
      <c r="Q81" s="566">
        <v>1</v>
      </c>
      <c r="R81" s="566">
        <v>1</v>
      </c>
      <c r="S81" s="566">
        <v>1</v>
      </c>
      <c r="T81" s="566">
        <v>1</v>
      </c>
      <c r="U81" s="566">
        <v>1</v>
      </c>
      <c r="V81" s="566">
        <v>1</v>
      </c>
      <c r="W81" s="566">
        <v>1</v>
      </c>
      <c r="X81" s="566">
        <v>1</v>
      </c>
      <c r="Z81" s="657" cm="1">
        <f t="array" ref="Z81">INDEX(H81:X81,1,$B$30)</f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</row>
    <row r="82" spans="7:44" x14ac:dyDescent="0.15">
      <c r="G82" s="567">
        <v>38</v>
      </c>
      <c r="H82" s="566">
        <v>1</v>
      </c>
      <c r="I82" s="566">
        <v>1</v>
      </c>
      <c r="J82" s="566">
        <v>1</v>
      </c>
      <c r="K82" s="566">
        <v>1</v>
      </c>
      <c r="L82" s="566">
        <v>1</v>
      </c>
      <c r="M82" s="566">
        <v>1</v>
      </c>
      <c r="N82" s="566">
        <v>1</v>
      </c>
      <c r="O82" s="566">
        <v>1</v>
      </c>
      <c r="P82" s="566">
        <v>1</v>
      </c>
      <c r="Q82" s="566">
        <v>1</v>
      </c>
      <c r="R82" s="566">
        <v>1</v>
      </c>
      <c r="S82" s="566">
        <v>1</v>
      </c>
      <c r="T82" s="566">
        <v>1</v>
      </c>
      <c r="U82" s="566">
        <v>1</v>
      </c>
      <c r="V82" s="566">
        <v>1</v>
      </c>
      <c r="W82" s="566">
        <v>1</v>
      </c>
      <c r="X82" s="566">
        <v>1</v>
      </c>
      <c r="Z82" s="657" cm="1">
        <f t="array" ref="Z82">INDEX(H82:X82,1,$B$30)</f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</row>
    <row r="83" spans="7:44" x14ac:dyDescent="0.15">
      <c r="G83" s="567">
        <v>39</v>
      </c>
      <c r="H83" s="566">
        <v>1</v>
      </c>
      <c r="I83" s="566">
        <v>1</v>
      </c>
      <c r="J83" s="566">
        <v>1</v>
      </c>
      <c r="K83" s="566">
        <v>1</v>
      </c>
      <c r="L83" s="566">
        <v>1</v>
      </c>
      <c r="M83" s="566">
        <v>1</v>
      </c>
      <c r="N83" s="566">
        <v>1</v>
      </c>
      <c r="O83" s="566">
        <v>1</v>
      </c>
      <c r="P83" s="566">
        <v>1</v>
      </c>
      <c r="Q83" s="566">
        <v>1</v>
      </c>
      <c r="R83" s="566">
        <v>1</v>
      </c>
      <c r="S83" s="566">
        <v>1</v>
      </c>
      <c r="T83" s="566">
        <v>1</v>
      </c>
      <c r="U83" s="566">
        <v>1</v>
      </c>
      <c r="V83" s="566">
        <v>1</v>
      </c>
      <c r="W83" s="566">
        <v>1</v>
      </c>
      <c r="X83" s="566">
        <v>1</v>
      </c>
      <c r="Z83" s="657" cm="1">
        <f t="array" ref="Z83">INDEX(H83:X83,1,$B$30)</f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</row>
    <row r="84" spans="7:44" x14ac:dyDescent="0.15">
      <c r="G84" s="568">
        <v>40</v>
      </c>
      <c r="H84" s="566">
        <v>1</v>
      </c>
      <c r="I84" s="566">
        <v>1</v>
      </c>
      <c r="J84" s="566">
        <v>1</v>
      </c>
      <c r="K84" s="566">
        <v>1</v>
      </c>
      <c r="L84" s="566">
        <v>1</v>
      </c>
      <c r="M84" s="566">
        <v>1</v>
      </c>
      <c r="N84" s="566">
        <v>1</v>
      </c>
      <c r="O84" s="566">
        <v>1</v>
      </c>
      <c r="P84" s="566">
        <v>1</v>
      </c>
      <c r="Q84" s="566">
        <v>1</v>
      </c>
      <c r="R84" s="566">
        <v>1</v>
      </c>
      <c r="S84" s="566">
        <v>1</v>
      </c>
      <c r="T84" s="566">
        <v>1</v>
      </c>
      <c r="U84" s="566">
        <v>1</v>
      </c>
      <c r="V84" s="566">
        <v>1</v>
      </c>
      <c r="W84" s="566">
        <v>1</v>
      </c>
      <c r="X84" s="566">
        <v>1</v>
      </c>
      <c r="Z84" s="657" cm="1">
        <f t="array" ref="Z84">INDEX(H84:X84,1,$B$30)</f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</row>
  </sheetData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3" name="Drop Down 1">
              <controlPr defaultSize="0" autoLine="0" autoPict="0">
                <anchor moveWithCells="1">
                  <from>
                    <xdr:col>1</xdr:col>
                    <xdr:colOff>12700</xdr:colOff>
                    <xdr:row>24</xdr:row>
                    <xdr:rowOff>0</xdr:rowOff>
                  </from>
                  <to>
                    <xdr:col>1</xdr:col>
                    <xdr:colOff>1041400</xdr:colOff>
                    <xdr:row>24</xdr:row>
                    <xdr:rowOff>165100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AB8F-B811-4243-84C1-FFD6BC453E1F}">
  <dimension ref="A3:AK57"/>
  <sheetViews>
    <sheetView zoomScaleNormal="100" workbookViewId="0">
      <selection activeCell="K13" sqref="K13"/>
    </sheetView>
  </sheetViews>
  <sheetFormatPr baseColWidth="10" defaultColWidth="8.83203125" defaultRowHeight="13" x14ac:dyDescent="0.15"/>
  <cols>
    <col min="1" max="1" width="15.1640625" customWidth="1"/>
    <col min="2" max="2" width="22.6640625" customWidth="1"/>
    <col min="3" max="3" width="12.5" customWidth="1"/>
    <col min="5" max="5" width="8.83203125" customWidth="1"/>
    <col min="6" max="6" width="8.1640625" style="182" customWidth="1"/>
    <col min="7" max="7" width="16.5" style="182" customWidth="1"/>
    <col min="8" max="8" width="10.6640625" style="182" bestFit="1" customWidth="1"/>
    <col min="9" max="9" width="10.6640625" style="182" customWidth="1"/>
    <col min="10" max="11" width="8.1640625" style="182" customWidth="1"/>
    <col min="12" max="12" width="12.33203125" style="182" customWidth="1"/>
    <col min="13" max="13" width="8.1640625" style="182" customWidth="1"/>
    <col min="14" max="14" width="11.5" style="182" customWidth="1"/>
    <col min="15" max="15" width="15.6640625" style="182" customWidth="1"/>
    <col min="19" max="19" width="13.5" customWidth="1"/>
    <col min="20" max="20" width="12" customWidth="1"/>
  </cols>
  <sheetData>
    <row r="3" spans="1:37" x14ac:dyDescent="0.15">
      <c r="B3" s="2" t="s">
        <v>240</v>
      </c>
      <c r="F3" s="179">
        <f ca="1">C19</f>
        <v>-26</v>
      </c>
      <c r="G3" s="183"/>
      <c r="H3" s="179">
        <f>$C$12</f>
        <v>21</v>
      </c>
      <c r="I3" s="184">
        <f ca="1">MAX(J3:K3)</f>
        <v>-6.5</v>
      </c>
      <c r="J3" s="185">
        <f ca="1">IF(M3-$C$8*$C$10*(M3-F3)&lt;$C$11,$C$11,M3-$C$8*$C$10*(M3-F3))</f>
        <v>-6.5</v>
      </c>
      <c r="K3" s="185">
        <f ca="1">M3-P3*Q3*(M3-F3)</f>
        <v>-6.5</v>
      </c>
      <c r="L3" s="185">
        <f ca="1">M3-T3*(M3-F3)</f>
        <v>21</v>
      </c>
      <c r="M3" s="185">
        <f>$C$5</f>
        <v>21</v>
      </c>
      <c r="N3" s="185">
        <f ca="1">MIN(F3+R3/P3*(M3-F3),H3)</f>
        <v>1.5</v>
      </c>
      <c r="O3" s="186"/>
      <c r="P3" s="187">
        <f>$C$8</f>
        <v>1</v>
      </c>
      <c r="Q3" s="188">
        <f ca="1">MIN(R3/P3,(H3-F3)/(M3-F3))</f>
        <v>0.58510638297872342</v>
      </c>
      <c r="R3" s="189">
        <f ca="1">(M3-J3)/(M3-F3)</f>
        <v>0.58510638297872342</v>
      </c>
    </row>
    <row r="4" spans="1:37" ht="14" x14ac:dyDescent="0.15">
      <c r="B4" s="2" t="s">
        <v>241</v>
      </c>
      <c r="T4" s="190" t="s">
        <v>121</v>
      </c>
      <c r="U4" s="191">
        <f>SUM(U6:U50)</f>
        <v>4410.75</v>
      </c>
      <c r="V4" s="191">
        <f>SUM(V6:V50)</f>
        <v>3510.2651176470581</v>
      </c>
      <c r="W4" s="191">
        <f>SUM(W6:W50)</f>
        <v>3510.2651176470581</v>
      </c>
    </row>
    <row r="5" spans="1:37" ht="17" x14ac:dyDescent="0.15">
      <c r="B5" s="10" t="s">
        <v>228</v>
      </c>
      <c r="C5" s="248">
        <f>Tulostus!T26</f>
        <v>21</v>
      </c>
      <c r="D5" s="21" t="s">
        <v>230</v>
      </c>
      <c r="F5" s="192" t="s">
        <v>242</v>
      </c>
      <c r="G5" s="151" t="s">
        <v>208</v>
      </c>
      <c r="H5" s="192" t="s">
        <v>243</v>
      </c>
      <c r="I5" s="150" t="s">
        <v>244</v>
      </c>
      <c r="J5" s="150" t="s">
        <v>232</v>
      </c>
      <c r="K5" s="150" t="s">
        <v>245</v>
      </c>
      <c r="L5" s="150" t="s">
        <v>246</v>
      </c>
      <c r="M5" s="150" t="s">
        <v>247</v>
      </c>
      <c r="N5" s="150" t="s">
        <v>248</v>
      </c>
      <c r="O5" s="152" t="s">
        <v>249</v>
      </c>
      <c r="P5" s="150" t="s">
        <v>219</v>
      </c>
      <c r="Q5" s="192" t="s">
        <v>250</v>
      </c>
      <c r="R5" s="150" t="s">
        <v>251</v>
      </c>
      <c r="S5" s="192" t="s">
        <v>252</v>
      </c>
      <c r="T5" s="152" t="s">
        <v>253</v>
      </c>
      <c r="U5" s="150" t="s">
        <v>211</v>
      </c>
      <c r="V5" s="150" t="s">
        <v>212</v>
      </c>
      <c r="W5" s="152" t="s">
        <v>213</v>
      </c>
    </row>
    <row r="6" spans="1:37" x14ac:dyDescent="0.15">
      <c r="B6" s="12" t="s">
        <v>254</v>
      </c>
      <c r="C6" s="249">
        <f>Tulostus!T10</f>
        <v>40</v>
      </c>
      <c r="D6" s="24" t="s">
        <v>13</v>
      </c>
      <c r="F6" s="194">
        <v>-32</v>
      </c>
      <c r="G6" s="561">
        <f>Säädata!Z12</f>
        <v>0</v>
      </c>
      <c r="H6" s="194">
        <f t="shared" ref="H6:H17" si="0">$C$12</f>
        <v>21</v>
      </c>
      <c r="I6" s="195">
        <f t="shared" ref="I6:I17" si="1">MAX(J6:K6)</f>
        <v>-6.5</v>
      </c>
      <c r="J6" s="196">
        <f t="shared" ref="J6:J50" si="2">IF(M6-$C$8*$C$10*(M6-F6)&lt;$C$11,$C$11,M6-$C$8*$C$10*(M6-F6))</f>
        <v>-6.5</v>
      </c>
      <c r="K6" s="196">
        <f t="shared" ref="K6:K17" si="3">M6-P6*Q6*(M6-F6)</f>
        <v>-6.5</v>
      </c>
      <c r="L6" s="196">
        <f t="shared" ref="L6:L17" si="4">M6-T6*(M6-F6)</f>
        <v>-21.179686274509798</v>
      </c>
      <c r="M6" s="182">
        <f t="shared" ref="M6:M50" si="5">$C$5</f>
        <v>21</v>
      </c>
      <c r="N6" s="196">
        <f>MIN(F6+R6/P6*(M6-F6),H6)</f>
        <v>-4.5</v>
      </c>
      <c r="O6" s="197">
        <f t="shared" ref="O6:O28" si="6">F6+S6/P6*(M6-F6)</f>
        <v>10.179686274509798</v>
      </c>
      <c r="P6" s="32">
        <f t="shared" ref="P6:P50" si="7">$C$8</f>
        <v>1</v>
      </c>
      <c r="Q6" s="198">
        <f t="shared" ref="Q6:Q20" si="8">MIN(R6/P6,(H6-F6)/(M6-F6))</f>
        <v>0.51886792452830188</v>
      </c>
      <c r="R6" s="199">
        <f t="shared" ref="R6:R20" si="9">(M6-J6)/(M6-F6)</f>
        <v>0.51886792452830188</v>
      </c>
      <c r="S6" s="198">
        <f t="shared" ref="S6:S50" si="10">$C$10</f>
        <v>0.79584313725490186</v>
      </c>
      <c r="T6" s="200">
        <f>S6*$C$8</f>
        <v>0.79584313725490186</v>
      </c>
      <c r="U6" s="201">
        <f>G6*(M6-F6)*365</f>
        <v>0</v>
      </c>
      <c r="V6" s="201">
        <f>G6*(N6-F6)*365</f>
        <v>0</v>
      </c>
      <c r="W6" s="202">
        <f>G6*(M6-J6)*365</f>
        <v>0</v>
      </c>
      <c r="Y6" s="5" t="e">
        <f t="shared" ref="Y6:Y49" si="11">$C$7/1000*1.2*1006*(M6-F6)*8760*(G6-G5)/1000</f>
        <v>#VALUE!</v>
      </c>
      <c r="Z6" s="5" t="e">
        <f t="shared" ref="Z6:Z49" si="12">1.2*1006*$C$7/1000*(M6-I6)/1000*(G6-G5)*8760</f>
        <v>#VALUE!</v>
      </c>
      <c r="AB6" t="s">
        <v>236</v>
      </c>
      <c r="AG6" s="110">
        <f>Y51</f>
        <v>5111.6711039999991</v>
      </c>
      <c r="AH6" t="s">
        <v>237</v>
      </c>
    </row>
    <row r="7" spans="1:37" x14ac:dyDescent="0.15">
      <c r="B7" s="12" t="s">
        <v>255</v>
      </c>
      <c r="C7" s="249">
        <f>Tulostus!T11</f>
        <v>40</v>
      </c>
      <c r="D7" s="24" t="s">
        <v>13</v>
      </c>
      <c r="F7" s="194">
        <v>-31</v>
      </c>
      <c r="G7" s="561">
        <f>Säädata!Z13</f>
        <v>0</v>
      </c>
      <c r="H7" s="194">
        <f t="shared" si="0"/>
        <v>21</v>
      </c>
      <c r="I7" s="195">
        <f t="shared" si="1"/>
        <v>-6.5</v>
      </c>
      <c r="J7" s="196">
        <f t="shared" si="2"/>
        <v>-6.5</v>
      </c>
      <c r="K7" s="196">
        <f t="shared" si="3"/>
        <v>-6.5</v>
      </c>
      <c r="L7" s="196">
        <f t="shared" si="4"/>
        <v>-20.3838431372549</v>
      </c>
      <c r="M7" s="182">
        <f t="shared" si="5"/>
        <v>21</v>
      </c>
      <c r="N7" s="196">
        <f t="shared" ref="N7:N50" si="13">MIN(F7+R7/P7*(M7-F7),H7)</f>
        <v>-3.5</v>
      </c>
      <c r="O7" s="197">
        <f t="shared" si="6"/>
        <v>10.3838431372549</v>
      </c>
      <c r="P7" s="32">
        <f t="shared" si="7"/>
        <v>1</v>
      </c>
      <c r="Q7" s="198">
        <f t="shared" si="8"/>
        <v>0.52884615384615385</v>
      </c>
      <c r="R7" s="199">
        <f t="shared" si="9"/>
        <v>0.52884615384615385</v>
      </c>
      <c r="S7" s="198">
        <f t="shared" si="10"/>
        <v>0.79584313725490186</v>
      </c>
      <c r="T7" s="200">
        <f t="shared" ref="T7:T50" si="14">S7*$C$8</f>
        <v>0.79584313725490186</v>
      </c>
      <c r="U7" s="108">
        <f>(G7-G6)*(M7-F7)*365</f>
        <v>0</v>
      </c>
      <c r="V7" s="108">
        <f>(G7-G6)*(N7-F7)*365</f>
        <v>0</v>
      </c>
      <c r="W7" s="203">
        <f>(G7-G6)*(M7-I7)*365</f>
        <v>0</v>
      </c>
      <c r="Y7" s="5">
        <f>$C$7/1000*1.2*1006*(M7-F7)*8760*(G7-G6)/1000</f>
        <v>0</v>
      </c>
      <c r="Z7" s="5">
        <f t="shared" si="12"/>
        <v>0</v>
      </c>
      <c r="AB7" t="s">
        <v>238</v>
      </c>
      <c r="AG7" s="110">
        <f>Z51</f>
        <v>4068.0883680225875</v>
      </c>
      <c r="AH7" t="s">
        <v>237</v>
      </c>
      <c r="AJ7" t="s">
        <v>1271</v>
      </c>
    </row>
    <row r="8" spans="1:37" ht="17" x14ac:dyDescent="0.25">
      <c r="B8" s="12" t="s">
        <v>256</v>
      </c>
      <c r="C8" s="204">
        <f>Tulostus!T13</f>
        <v>1</v>
      </c>
      <c r="D8" s="24"/>
      <c r="F8" s="194">
        <v>-30</v>
      </c>
      <c r="G8" s="561">
        <f>Säädata!Z14</f>
        <v>0</v>
      </c>
      <c r="H8" s="194">
        <f t="shared" si="0"/>
        <v>21</v>
      </c>
      <c r="I8" s="195">
        <f t="shared" si="1"/>
        <v>-6.5</v>
      </c>
      <c r="J8" s="196">
        <f t="shared" si="2"/>
        <v>-6.5</v>
      </c>
      <c r="K8" s="196">
        <f t="shared" si="3"/>
        <v>-6.5</v>
      </c>
      <c r="L8" s="196">
        <f t="shared" si="4"/>
        <v>-19.587999999999994</v>
      </c>
      <c r="M8" s="182">
        <f t="shared" si="5"/>
        <v>21</v>
      </c>
      <c r="N8" s="196">
        <f t="shared" si="13"/>
        <v>-2.5</v>
      </c>
      <c r="O8" s="197">
        <f t="shared" si="6"/>
        <v>10.587999999999994</v>
      </c>
      <c r="P8" s="32">
        <f t="shared" si="7"/>
        <v>1</v>
      </c>
      <c r="Q8" s="198">
        <f t="shared" si="8"/>
        <v>0.53921568627450978</v>
      </c>
      <c r="R8" s="199">
        <f t="shared" si="9"/>
        <v>0.53921568627450978</v>
      </c>
      <c r="S8" s="198">
        <f t="shared" si="10"/>
        <v>0.79584313725490186</v>
      </c>
      <c r="T8" s="200">
        <f t="shared" si="14"/>
        <v>0.79584313725490186</v>
      </c>
      <c r="U8" s="108">
        <f t="shared" ref="U8:U20" si="15">(G8-G7)*(M8-F8)*365</f>
        <v>0</v>
      </c>
      <c r="V8" s="108">
        <f t="shared" ref="V8:V50" si="16">(G8-G7)*(N8-F8)*365</f>
        <v>0</v>
      </c>
      <c r="W8" s="203">
        <f t="shared" ref="W8:W50" si="17">(G8-G7)*(M8-I8)*365</f>
        <v>0</v>
      </c>
      <c r="Y8" s="5">
        <f t="shared" si="11"/>
        <v>0</v>
      </c>
      <c r="Z8" s="5">
        <f t="shared" si="12"/>
        <v>0</v>
      </c>
      <c r="AB8" t="s">
        <v>1270</v>
      </c>
      <c r="AG8" s="110">
        <f>IF(ISNUMBER(AJ8),AJ8*8760/1000,"-")</f>
        <v>319.05838038482716</v>
      </c>
      <c r="AH8" t="s">
        <v>237</v>
      </c>
      <c r="AJ8">
        <f>Tulostus!D45</f>
        <v>36.422189541646937</v>
      </c>
      <c r="AK8" t="s">
        <v>49</v>
      </c>
    </row>
    <row r="9" spans="1:37" x14ac:dyDescent="0.15">
      <c r="B9" s="12" t="s">
        <v>257</v>
      </c>
      <c r="C9" s="250">
        <f>Tulostus!T22</f>
        <v>0.79584313725490186</v>
      </c>
      <c r="D9" s="24"/>
      <c r="F9" s="194">
        <v>-29</v>
      </c>
      <c r="G9" s="561">
        <f>Säädata!Z15</f>
        <v>0</v>
      </c>
      <c r="H9" s="194">
        <f t="shared" si="0"/>
        <v>21</v>
      </c>
      <c r="I9" s="195">
        <f t="shared" si="1"/>
        <v>-6.5</v>
      </c>
      <c r="J9" s="196">
        <f t="shared" si="2"/>
        <v>-6.5</v>
      </c>
      <c r="K9" s="196">
        <f t="shared" si="3"/>
        <v>-6.5000000000000036</v>
      </c>
      <c r="L9" s="196">
        <f t="shared" si="4"/>
        <v>-18.792156862745095</v>
      </c>
      <c r="M9" s="182">
        <f t="shared" si="5"/>
        <v>21</v>
      </c>
      <c r="N9" s="196">
        <f t="shared" si="13"/>
        <v>-1.4999999999999964</v>
      </c>
      <c r="O9" s="197">
        <f t="shared" si="6"/>
        <v>10.792156862745095</v>
      </c>
      <c r="P9" s="32">
        <f t="shared" si="7"/>
        <v>1</v>
      </c>
      <c r="Q9" s="198">
        <f t="shared" si="8"/>
        <v>0.55000000000000004</v>
      </c>
      <c r="R9" s="199">
        <f t="shared" si="9"/>
        <v>0.55000000000000004</v>
      </c>
      <c r="S9" s="198">
        <f t="shared" si="10"/>
        <v>0.79584313725490186</v>
      </c>
      <c r="T9" s="200">
        <f t="shared" si="14"/>
        <v>0.79584313725490186</v>
      </c>
      <c r="U9" s="108">
        <f t="shared" si="15"/>
        <v>0</v>
      </c>
      <c r="V9" s="108">
        <f t="shared" si="16"/>
        <v>0</v>
      </c>
      <c r="W9" s="203">
        <f t="shared" si="17"/>
        <v>0</v>
      </c>
      <c r="Y9" s="5">
        <f t="shared" si="11"/>
        <v>0</v>
      </c>
      <c r="Z9" s="5">
        <f t="shared" si="12"/>
        <v>0</v>
      </c>
    </row>
    <row r="10" spans="1:37" x14ac:dyDescent="0.15">
      <c r="B10" s="12" t="s">
        <v>258</v>
      </c>
      <c r="C10" s="205">
        <f>Tulostus!T23</f>
        <v>0.79584313725490186</v>
      </c>
      <c r="D10" s="24"/>
      <c r="F10" s="194">
        <v>-28</v>
      </c>
      <c r="G10" s="561">
        <f>Säädata!Z16</f>
        <v>0</v>
      </c>
      <c r="H10" s="194">
        <f t="shared" si="0"/>
        <v>21</v>
      </c>
      <c r="I10" s="195">
        <f t="shared" si="1"/>
        <v>-6.4999999999999964</v>
      </c>
      <c r="J10" s="196">
        <f t="shared" si="2"/>
        <v>-6.5</v>
      </c>
      <c r="K10" s="196">
        <f t="shared" si="3"/>
        <v>-6.4999999999999964</v>
      </c>
      <c r="L10" s="196">
        <f t="shared" si="4"/>
        <v>-17.996313725490189</v>
      </c>
      <c r="M10" s="182">
        <f t="shared" si="5"/>
        <v>21</v>
      </c>
      <c r="N10" s="196">
        <f t="shared" si="13"/>
        <v>-0.50000000000000355</v>
      </c>
      <c r="O10" s="197">
        <f t="shared" si="6"/>
        <v>10.996313725490189</v>
      </c>
      <c r="P10" s="32">
        <f t="shared" si="7"/>
        <v>1</v>
      </c>
      <c r="Q10" s="198">
        <f t="shared" si="8"/>
        <v>0.56122448979591832</v>
      </c>
      <c r="R10" s="199">
        <f t="shared" si="9"/>
        <v>0.56122448979591832</v>
      </c>
      <c r="S10" s="198">
        <f t="shared" si="10"/>
        <v>0.79584313725490186</v>
      </c>
      <c r="T10" s="200">
        <f t="shared" si="14"/>
        <v>0.79584313725490186</v>
      </c>
      <c r="U10" s="108">
        <f t="shared" si="15"/>
        <v>0</v>
      </c>
      <c r="V10" s="108">
        <f t="shared" si="16"/>
        <v>0</v>
      </c>
      <c r="W10" s="203">
        <f t="shared" si="17"/>
        <v>0</v>
      </c>
      <c r="Y10" s="5">
        <f t="shared" si="11"/>
        <v>0</v>
      </c>
      <c r="Z10" s="5">
        <f t="shared" si="12"/>
        <v>0</v>
      </c>
    </row>
    <row r="11" spans="1:37" x14ac:dyDescent="0.15">
      <c r="B11" s="12" t="s">
        <v>259</v>
      </c>
      <c r="C11" s="193">
        <f>Tulostus!T27</f>
        <v>-6.5</v>
      </c>
      <c r="D11" s="24" t="s">
        <v>230</v>
      </c>
      <c r="F11" s="194">
        <v>-27</v>
      </c>
      <c r="G11" s="561">
        <f>Säädata!Z17</f>
        <v>0</v>
      </c>
      <c r="H11" s="194">
        <f t="shared" si="0"/>
        <v>21</v>
      </c>
      <c r="I11" s="195">
        <f t="shared" si="1"/>
        <v>-6.5</v>
      </c>
      <c r="J11" s="196">
        <f t="shared" si="2"/>
        <v>-6.5</v>
      </c>
      <c r="K11" s="196">
        <f t="shared" si="3"/>
        <v>-6.5</v>
      </c>
      <c r="L11" s="196">
        <f t="shared" si="4"/>
        <v>-17.200470588235291</v>
      </c>
      <c r="M11" s="182">
        <f t="shared" si="5"/>
        <v>21</v>
      </c>
      <c r="N11" s="196">
        <f t="shared" si="13"/>
        <v>0.5</v>
      </c>
      <c r="O11" s="197">
        <f t="shared" si="6"/>
        <v>11.200470588235291</v>
      </c>
      <c r="P11" s="32">
        <f t="shared" si="7"/>
        <v>1</v>
      </c>
      <c r="Q11" s="198">
        <f t="shared" si="8"/>
        <v>0.57291666666666663</v>
      </c>
      <c r="R11" s="199">
        <f t="shared" si="9"/>
        <v>0.57291666666666663</v>
      </c>
      <c r="S11" s="198">
        <f t="shared" si="10"/>
        <v>0.79584313725490186</v>
      </c>
      <c r="T11" s="200">
        <f t="shared" si="14"/>
        <v>0.79584313725490186</v>
      </c>
      <c r="U11" s="108">
        <f t="shared" si="15"/>
        <v>0</v>
      </c>
      <c r="V11" s="108">
        <f t="shared" si="16"/>
        <v>0</v>
      </c>
      <c r="W11" s="203">
        <f t="shared" si="17"/>
        <v>0</v>
      </c>
      <c r="Y11" s="5">
        <f t="shared" si="11"/>
        <v>0</v>
      </c>
      <c r="Z11" s="5">
        <f t="shared" si="12"/>
        <v>0</v>
      </c>
      <c r="AB11" t="s">
        <v>1278</v>
      </c>
      <c r="AG11">
        <f>Tulostus!T37</f>
        <v>0</v>
      </c>
    </row>
    <row r="12" spans="1:37" x14ac:dyDescent="0.15">
      <c r="B12" s="12" t="s">
        <v>260</v>
      </c>
      <c r="C12" s="193">
        <f>C42</f>
        <v>21</v>
      </c>
      <c r="D12" s="24" t="s">
        <v>230</v>
      </c>
      <c r="F12" s="194">
        <v>-26</v>
      </c>
      <c r="G12" s="561">
        <f>Säädata!Z18</f>
        <v>0</v>
      </c>
      <c r="H12" s="194">
        <f t="shared" si="0"/>
        <v>21</v>
      </c>
      <c r="I12" s="195">
        <f t="shared" si="1"/>
        <v>-6.5</v>
      </c>
      <c r="J12" s="196">
        <f t="shared" si="2"/>
        <v>-6.5</v>
      </c>
      <c r="K12" s="196">
        <f t="shared" si="3"/>
        <v>-6.5</v>
      </c>
      <c r="L12" s="196">
        <f t="shared" si="4"/>
        <v>-16.404627450980385</v>
      </c>
      <c r="M12" s="182">
        <f t="shared" si="5"/>
        <v>21</v>
      </c>
      <c r="N12" s="196">
        <f t="shared" si="13"/>
        <v>1.5</v>
      </c>
      <c r="O12" s="197">
        <f t="shared" si="6"/>
        <v>11.404627450980385</v>
      </c>
      <c r="P12" s="32">
        <f t="shared" si="7"/>
        <v>1</v>
      </c>
      <c r="Q12" s="198">
        <f t="shared" si="8"/>
        <v>0.58510638297872342</v>
      </c>
      <c r="R12" s="199">
        <f t="shared" si="9"/>
        <v>0.58510638297872342</v>
      </c>
      <c r="S12" s="198">
        <f t="shared" si="10"/>
        <v>0.79584313725490186</v>
      </c>
      <c r="T12" s="200">
        <f t="shared" si="14"/>
        <v>0.79584313725490186</v>
      </c>
      <c r="U12" s="108">
        <f t="shared" si="15"/>
        <v>0</v>
      </c>
      <c r="V12" s="108">
        <f t="shared" si="16"/>
        <v>0</v>
      </c>
      <c r="W12" s="203">
        <f t="shared" si="17"/>
        <v>0</v>
      </c>
      <c r="Y12" s="5">
        <f t="shared" si="11"/>
        <v>0</v>
      </c>
      <c r="Z12" s="5">
        <f t="shared" si="12"/>
        <v>0</v>
      </c>
      <c r="AB12" t="s">
        <v>1287</v>
      </c>
      <c r="AG12" s="3">
        <f>N54</f>
        <v>16.712705882352942</v>
      </c>
    </row>
    <row r="13" spans="1:37" x14ac:dyDescent="0.15">
      <c r="A13" s="2" t="s">
        <v>1191</v>
      </c>
      <c r="B13" s="660" t="s">
        <v>986</v>
      </c>
      <c r="C13" s="661">
        <f>E13</f>
        <v>1</v>
      </c>
      <c r="D13" s="662"/>
      <c r="E13" s="663">
        <v>1</v>
      </c>
      <c r="F13" s="194">
        <v>-25</v>
      </c>
      <c r="G13" s="561">
        <f>Säädata!Z19</f>
        <v>0</v>
      </c>
      <c r="H13" s="194">
        <f t="shared" si="0"/>
        <v>21</v>
      </c>
      <c r="I13" s="195">
        <f t="shared" si="1"/>
        <v>-6.5</v>
      </c>
      <c r="J13" s="196">
        <f t="shared" si="2"/>
        <v>-6.5</v>
      </c>
      <c r="K13" s="196">
        <f t="shared" si="3"/>
        <v>-6.5</v>
      </c>
      <c r="L13" s="196">
        <f t="shared" si="4"/>
        <v>-15.608784313725486</v>
      </c>
      <c r="M13" s="182">
        <f t="shared" si="5"/>
        <v>21</v>
      </c>
      <c r="N13" s="196">
        <f t="shared" si="13"/>
        <v>2.5</v>
      </c>
      <c r="O13" s="197">
        <f t="shared" si="6"/>
        <v>11.608784313725486</v>
      </c>
      <c r="P13" s="32">
        <f t="shared" si="7"/>
        <v>1</v>
      </c>
      <c r="Q13" s="198">
        <f t="shared" si="8"/>
        <v>0.59782608695652173</v>
      </c>
      <c r="R13" s="199">
        <f t="shared" si="9"/>
        <v>0.59782608695652173</v>
      </c>
      <c r="S13" s="198">
        <f t="shared" si="10"/>
        <v>0.79584313725490186</v>
      </c>
      <c r="T13" s="200">
        <f t="shared" si="14"/>
        <v>0.79584313725490186</v>
      </c>
      <c r="U13" s="108">
        <f t="shared" si="15"/>
        <v>0</v>
      </c>
      <c r="V13" s="108">
        <f t="shared" si="16"/>
        <v>0</v>
      </c>
      <c r="W13" s="203">
        <f t="shared" si="17"/>
        <v>0</v>
      </c>
      <c r="Y13" s="5">
        <f t="shared" si="11"/>
        <v>0</v>
      </c>
      <c r="Z13" s="5">
        <f t="shared" si="12"/>
        <v>0</v>
      </c>
    </row>
    <row r="14" spans="1:37" x14ac:dyDescent="0.15">
      <c r="A14" s="2" t="s">
        <v>1190</v>
      </c>
      <c r="B14" s="660" t="s">
        <v>261</v>
      </c>
      <c r="C14" s="661">
        <f ca="1">IF(E14&lt;=COUNTA(Kuntalistaus),E14,COUNTA(Kuntalistaus))</f>
        <v>1</v>
      </c>
      <c r="D14" s="662"/>
      <c r="E14" s="664">
        <v>1</v>
      </c>
      <c r="F14" s="194">
        <v>-24</v>
      </c>
      <c r="G14" s="561">
        <f>Säädata!Z20</f>
        <v>0</v>
      </c>
      <c r="H14" s="194">
        <f t="shared" si="0"/>
        <v>21</v>
      </c>
      <c r="I14" s="195">
        <f t="shared" si="1"/>
        <v>-6.5</v>
      </c>
      <c r="J14" s="196">
        <f t="shared" si="2"/>
        <v>-6.5</v>
      </c>
      <c r="K14" s="196">
        <f t="shared" si="3"/>
        <v>-6.5000000000000036</v>
      </c>
      <c r="L14" s="196">
        <f t="shared" si="4"/>
        <v>-14.812941176470581</v>
      </c>
      <c r="M14" s="182">
        <f t="shared" si="5"/>
        <v>21</v>
      </c>
      <c r="N14" s="196">
        <f t="shared" si="13"/>
        <v>3.5000000000000036</v>
      </c>
      <c r="O14" s="197">
        <f t="shared" si="6"/>
        <v>11.812941176470581</v>
      </c>
      <c r="P14" s="32">
        <f t="shared" si="7"/>
        <v>1</v>
      </c>
      <c r="Q14" s="198">
        <f t="shared" si="8"/>
        <v>0.61111111111111116</v>
      </c>
      <c r="R14" s="199">
        <f t="shared" si="9"/>
        <v>0.61111111111111116</v>
      </c>
      <c r="S14" s="198">
        <f t="shared" si="10"/>
        <v>0.79584313725490186</v>
      </c>
      <c r="T14" s="200">
        <f t="shared" si="14"/>
        <v>0.79584313725490186</v>
      </c>
      <c r="U14" s="108">
        <f t="shared" si="15"/>
        <v>0</v>
      </c>
      <c r="V14" s="108">
        <f t="shared" si="16"/>
        <v>0</v>
      </c>
      <c r="W14" s="203">
        <f t="shared" si="17"/>
        <v>0</v>
      </c>
      <c r="Y14" s="5">
        <f t="shared" si="11"/>
        <v>0</v>
      </c>
      <c r="Z14" s="5">
        <f t="shared" si="12"/>
        <v>0</v>
      </c>
      <c r="AB14" t="s">
        <v>1273</v>
      </c>
      <c r="AG14" s="110">
        <f>1.2*C6*(AG11-AG12)</f>
        <v>-802.20988235294124</v>
      </c>
      <c r="AH14" t="s">
        <v>49</v>
      </c>
    </row>
    <row r="15" spans="1:37" x14ac:dyDescent="0.15">
      <c r="B15" s="12" t="s">
        <v>262</v>
      </c>
      <c r="C15" s="206">
        <f>Tulostus!T16</f>
        <v>0</v>
      </c>
      <c r="D15" s="24" t="s">
        <v>13</v>
      </c>
      <c r="F15" s="194">
        <v>-23</v>
      </c>
      <c r="G15" s="561">
        <f>Säädata!Z21</f>
        <v>0</v>
      </c>
      <c r="H15" s="194">
        <f t="shared" si="0"/>
        <v>21</v>
      </c>
      <c r="I15" s="195">
        <f t="shared" si="1"/>
        <v>-6.5</v>
      </c>
      <c r="J15" s="196">
        <f t="shared" si="2"/>
        <v>-6.5</v>
      </c>
      <c r="K15" s="196">
        <f t="shared" si="3"/>
        <v>-6.5</v>
      </c>
      <c r="L15" s="196">
        <f t="shared" si="4"/>
        <v>-14.017098039215682</v>
      </c>
      <c r="M15" s="182">
        <f t="shared" si="5"/>
        <v>21</v>
      </c>
      <c r="N15" s="196">
        <f t="shared" si="13"/>
        <v>4.5</v>
      </c>
      <c r="O15" s="197">
        <f t="shared" si="6"/>
        <v>12.017098039215682</v>
      </c>
      <c r="P15" s="32">
        <f t="shared" si="7"/>
        <v>1</v>
      </c>
      <c r="Q15" s="198">
        <f t="shared" si="8"/>
        <v>0.625</v>
      </c>
      <c r="R15" s="199">
        <f t="shared" si="9"/>
        <v>0.625</v>
      </c>
      <c r="S15" s="198">
        <f t="shared" si="10"/>
        <v>0.79584313725490186</v>
      </c>
      <c r="T15" s="200">
        <f t="shared" si="14"/>
        <v>0.79584313725490186</v>
      </c>
      <c r="U15" s="108">
        <f t="shared" si="15"/>
        <v>0</v>
      </c>
      <c r="V15" s="108">
        <f t="shared" si="16"/>
        <v>0</v>
      </c>
      <c r="W15" s="203">
        <f t="shared" si="17"/>
        <v>0</v>
      </c>
      <c r="Y15" s="5">
        <f t="shared" si="11"/>
        <v>0</v>
      </c>
      <c r="Z15" s="5">
        <f t="shared" si="12"/>
        <v>0</v>
      </c>
      <c r="AF15" t="s">
        <v>1277</v>
      </c>
      <c r="AG15" s="110" t="str">
        <f>IF(AG14&lt;=0,"-",AG14)</f>
        <v>-</v>
      </c>
      <c r="AH15" t="s">
        <v>49</v>
      </c>
    </row>
    <row r="16" spans="1:37" x14ac:dyDescent="0.15">
      <c r="B16" s="12" t="s">
        <v>263</v>
      </c>
      <c r="C16" s="206">
        <f>Tulostus!T17</f>
        <v>0</v>
      </c>
      <c r="D16" s="24" t="s">
        <v>264</v>
      </c>
      <c r="F16" s="194">
        <v>-22</v>
      </c>
      <c r="G16" s="561">
        <f>Säädata!Z22</f>
        <v>0</v>
      </c>
      <c r="H16" s="194">
        <f t="shared" si="0"/>
        <v>21</v>
      </c>
      <c r="I16" s="195">
        <f t="shared" si="1"/>
        <v>-6.5</v>
      </c>
      <c r="J16" s="196">
        <f t="shared" si="2"/>
        <v>-6.5</v>
      </c>
      <c r="K16" s="196">
        <f t="shared" si="3"/>
        <v>-6.5</v>
      </c>
      <c r="L16" s="196">
        <f t="shared" si="4"/>
        <v>-13.221254901960776</v>
      </c>
      <c r="M16" s="182">
        <f t="shared" si="5"/>
        <v>21</v>
      </c>
      <c r="N16" s="196">
        <f t="shared" si="13"/>
        <v>5.5</v>
      </c>
      <c r="O16" s="197">
        <f t="shared" si="6"/>
        <v>12.221254901960776</v>
      </c>
      <c r="P16" s="32">
        <f t="shared" si="7"/>
        <v>1</v>
      </c>
      <c r="Q16" s="198">
        <f t="shared" si="8"/>
        <v>0.63953488372093026</v>
      </c>
      <c r="R16" s="199">
        <f t="shared" si="9"/>
        <v>0.63953488372093026</v>
      </c>
      <c r="S16" s="198">
        <f t="shared" si="10"/>
        <v>0.79584313725490186</v>
      </c>
      <c r="T16" s="200">
        <f t="shared" si="14"/>
        <v>0.79584313725490186</v>
      </c>
      <c r="U16" s="108">
        <f t="shared" si="15"/>
        <v>0</v>
      </c>
      <c r="V16" s="108">
        <f t="shared" si="16"/>
        <v>0</v>
      </c>
      <c r="W16" s="203">
        <f t="shared" si="17"/>
        <v>0</v>
      </c>
      <c r="Y16" s="5">
        <f t="shared" si="11"/>
        <v>0</v>
      </c>
      <c r="Z16" s="5">
        <f t="shared" si="12"/>
        <v>0</v>
      </c>
    </row>
    <row r="17" spans="1:26" x14ac:dyDescent="0.15">
      <c r="B17" s="12" t="s">
        <v>265</v>
      </c>
      <c r="C17" s="4">
        <f>(24*C7+C16*C15)/24</f>
        <v>40</v>
      </c>
      <c r="D17" s="24" t="s">
        <v>13</v>
      </c>
      <c r="F17" s="194">
        <v>-21</v>
      </c>
      <c r="G17" s="561">
        <f>Säädata!Z23</f>
        <v>0</v>
      </c>
      <c r="H17" s="194">
        <f t="shared" si="0"/>
        <v>21</v>
      </c>
      <c r="I17" s="195">
        <f t="shared" si="1"/>
        <v>-6.5</v>
      </c>
      <c r="J17" s="196">
        <f t="shared" si="2"/>
        <v>-6.5</v>
      </c>
      <c r="K17" s="196">
        <f t="shared" si="3"/>
        <v>-6.5</v>
      </c>
      <c r="L17" s="196">
        <f t="shared" si="4"/>
        <v>-12.425411764705878</v>
      </c>
      <c r="M17" s="182">
        <f t="shared" si="5"/>
        <v>21</v>
      </c>
      <c r="N17" s="196">
        <f t="shared" si="13"/>
        <v>6.5</v>
      </c>
      <c r="O17" s="197">
        <f t="shared" si="6"/>
        <v>12.425411764705878</v>
      </c>
      <c r="P17" s="32">
        <f t="shared" si="7"/>
        <v>1</v>
      </c>
      <c r="Q17" s="198">
        <f t="shared" si="8"/>
        <v>0.65476190476190477</v>
      </c>
      <c r="R17" s="199">
        <f t="shared" si="9"/>
        <v>0.65476190476190477</v>
      </c>
      <c r="S17" s="198">
        <f t="shared" si="10"/>
        <v>0.79584313725490186</v>
      </c>
      <c r="T17" s="200">
        <f t="shared" si="14"/>
        <v>0.79584313725490186</v>
      </c>
      <c r="U17" s="108">
        <f t="shared" si="15"/>
        <v>0</v>
      </c>
      <c r="V17" s="108">
        <f t="shared" si="16"/>
        <v>0</v>
      </c>
      <c r="W17" s="203">
        <f t="shared" si="17"/>
        <v>0</v>
      </c>
      <c r="Y17" s="5">
        <f t="shared" si="11"/>
        <v>0</v>
      </c>
      <c r="Z17" s="5">
        <f t="shared" si="12"/>
        <v>0</v>
      </c>
    </row>
    <row r="18" spans="1:26" ht="17" x14ac:dyDescent="0.25">
      <c r="B18" s="14" t="s">
        <v>266</v>
      </c>
      <c r="C18" s="207">
        <f>Tulostus!T19</f>
        <v>1</v>
      </c>
      <c r="D18" s="26"/>
      <c r="F18" s="194">
        <v>-20</v>
      </c>
      <c r="G18" s="561">
        <f>Säädata!Z24</f>
        <v>0</v>
      </c>
      <c r="H18" s="194">
        <f>$C$12</f>
        <v>21</v>
      </c>
      <c r="I18" s="195">
        <f>MAX(J18:K18)</f>
        <v>-6.5</v>
      </c>
      <c r="J18" s="196">
        <f t="shared" si="2"/>
        <v>-6.5</v>
      </c>
      <c r="K18" s="196">
        <f>M18-P18*Q18*(M18-F18)</f>
        <v>-6.5</v>
      </c>
      <c r="L18" s="196">
        <f>M18-T18*(M18-F18)</f>
        <v>-11.629568627450979</v>
      </c>
      <c r="M18" s="182">
        <f t="shared" si="5"/>
        <v>21</v>
      </c>
      <c r="N18" s="196">
        <f t="shared" si="13"/>
        <v>7.5</v>
      </c>
      <c r="O18" s="197">
        <f t="shared" si="6"/>
        <v>12.629568627450979</v>
      </c>
      <c r="P18" s="32">
        <f t="shared" si="7"/>
        <v>1</v>
      </c>
      <c r="Q18" s="198">
        <f t="shared" si="8"/>
        <v>0.67073170731707321</v>
      </c>
      <c r="R18" s="199">
        <f t="shared" si="9"/>
        <v>0.67073170731707321</v>
      </c>
      <c r="S18" s="198">
        <f t="shared" si="10"/>
        <v>0.79584313725490186</v>
      </c>
      <c r="T18" s="200">
        <f>S18*$C$8</f>
        <v>0.79584313725490186</v>
      </c>
      <c r="U18" s="108">
        <f t="shared" si="15"/>
        <v>0</v>
      </c>
      <c r="V18" s="108">
        <f>(G18-G17)*(N18-F18)*365</f>
        <v>0</v>
      </c>
      <c r="W18" s="203">
        <f>(G18-G17)*(M18-I18)*365</f>
        <v>0</v>
      </c>
      <c r="Y18" s="5">
        <f>$C$7/1000*1.2*1006*(M18-F18)*8760*(G18-G17)/1000</f>
        <v>0</v>
      </c>
      <c r="Z18" s="5">
        <f t="shared" si="12"/>
        <v>0</v>
      </c>
    </row>
    <row r="19" spans="1:26" x14ac:dyDescent="0.15">
      <c r="A19" s="562" t="s">
        <v>987</v>
      </c>
      <c r="B19" s="10" t="s">
        <v>267</v>
      </c>
      <c r="C19" s="208">
        <f ca="1">IF(C14=1,-26,IF(C14=2,-29,IF(C14=3,-32,-38)))</f>
        <v>-26</v>
      </c>
      <c r="D19" s="21" t="s">
        <v>230</v>
      </c>
      <c r="F19" s="194">
        <v>-19</v>
      </c>
      <c r="G19" s="561">
        <f>Säädata!Z25</f>
        <v>0</v>
      </c>
      <c r="H19" s="194">
        <f t="shared" ref="H19:H50" si="18">$H$17</f>
        <v>21</v>
      </c>
      <c r="I19" s="195">
        <f>MAX(J19:K19)</f>
        <v>-6.5</v>
      </c>
      <c r="J19" s="196">
        <f t="shared" si="2"/>
        <v>-6.5</v>
      </c>
      <c r="K19" s="196">
        <f t="shared" ref="K19:K50" si="19">M19-P19*Q19*(M19-F19)</f>
        <v>-6.5</v>
      </c>
      <c r="L19" s="196">
        <f t="shared" ref="L19:L50" si="20">M19-T19*(M19-F19)</f>
        <v>-10.833725490196073</v>
      </c>
      <c r="M19" s="182">
        <f t="shared" si="5"/>
        <v>21</v>
      </c>
      <c r="N19" s="196">
        <f t="shared" si="13"/>
        <v>8.5</v>
      </c>
      <c r="O19" s="197">
        <f t="shared" si="6"/>
        <v>12.833725490196073</v>
      </c>
      <c r="P19" s="32">
        <f t="shared" si="7"/>
        <v>1</v>
      </c>
      <c r="Q19" s="198">
        <f t="shared" si="8"/>
        <v>0.6875</v>
      </c>
      <c r="R19" s="199">
        <f t="shared" si="9"/>
        <v>0.6875</v>
      </c>
      <c r="S19" s="198">
        <f t="shared" si="10"/>
        <v>0.79584313725490186</v>
      </c>
      <c r="T19" s="200">
        <f t="shared" si="14"/>
        <v>0.79584313725490186</v>
      </c>
      <c r="U19" s="108">
        <f t="shared" si="15"/>
        <v>0</v>
      </c>
      <c r="V19" s="108">
        <f t="shared" si="16"/>
        <v>0</v>
      </c>
      <c r="W19" s="203">
        <f t="shared" si="17"/>
        <v>0</v>
      </c>
      <c r="Y19" s="5">
        <f t="shared" si="11"/>
        <v>0</v>
      </c>
      <c r="Z19" s="5">
        <f t="shared" si="12"/>
        <v>0</v>
      </c>
    </row>
    <row r="20" spans="1:26" x14ac:dyDescent="0.15">
      <c r="B20" s="14" t="s">
        <v>268</v>
      </c>
      <c r="C20" s="209">
        <f ca="1">N3</f>
        <v>1.5</v>
      </c>
      <c r="D20" s="26" t="s">
        <v>230</v>
      </c>
      <c r="F20" s="194">
        <v>-18</v>
      </c>
      <c r="G20" s="561">
        <f>Säädata!Z26</f>
        <v>0</v>
      </c>
      <c r="H20" s="194">
        <f t="shared" si="18"/>
        <v>21</v>
      </c>
      <c r="I20" s="195">
        <f t="shared" ref="I20:I50" si="21">MAX(J20:K20)</f>
        <v>-6.5</v>
      </c>
      <c r="J20" s="196">
        <f t="shared" si="2"/>
        <v>-6.5</v>
      </c>
      <c r="K20" s="196">
        <f t="shared" si="19"/>
        <v>-6.5000000000000036</v>
      </c>
      <c r="L20" s="196">
        <f t="shared" si="20"/>
        <v>-10.037882352941171</v>
      </c>
      <c r="M20" s="182">
        <f t="shared" si="5"/>
        <v>21</v>
      </c>
      <c r="N20" s="196">
        <f t="shared" si="13"/>
        <v>9.5000000000000036</v>
      </c>
      <c r="O20" s="197">
        <f t="shared" si="6"/>
        <v>13.037882352941171</v>
      </c>
      <c r="P20" s="32">
        <f t="shared" si="7"/>
        <v>1</v>
      </c>
      <c r="Q20" s="198">
        <f t="shared" si="8"/>
        <v>0.70512820512820518</v>
      </c>
      <c r="R20" s="199">
        <f t="shared" si="9"/>
        <v>0.70512820512820518</v>
      </c>
      <c r="S20" s="198">
        <f t="shared" si="10"/>
        <v>0.79584313725490186</v>
      </c>
      <c r="T20" s="200">
        <f t="shared" si="14"/>
        <v>0.79584313725490186</v>
      </c>
      <c r="U20" s="108">
        <f t="shared" si="15"/>
        <v>0</v>
      </c>
      <c r="V20" s="108">
        <f t="shared" si="16"/>
        <v>0</v>
      </c>
      <c r="W20" s="203">
        <f t="shared" si="17"/>
        <v>0</v>
      </c>
      <c r="Y20" s="5">
        <f t="shared" si="11"/>
        <v>0</v>
      </c>
      <c r="Z20" s="5">
        <f t="shared" si="12"/>
        <v>0</v>
      </c>
    </row>
    <row r="21" spans="1:26" x14ac:dyDescent="0.15">
      <c r="F21" s="194">
        <v>-17</v>
      </c>
      <c r="G21" s="561">
        <f>Säädata!Z27</f>
        <v>0</v>
      </c>
      <c r="H21" s="194">
        <f t="shared" si="18"/>
        <v>21</v>
      </c>
      <c r="I21" s="195">
        <f t="shared" si="21"/>
        <v>-6.5</v>
      </c>
      <c r="J21" s="196">
        <f t="shared" si="2"/>
        <v>-6.5</v>
      </c>
      <c r="K21" s="196">
        <f t="shared" si="19"/>
        <v>-6.5</v>
      </c>
      <c r="L21" s="196">
        <f t="shared" si="20"/>
        <v>-9.242039215686269</v>
      </c>
      <c r="M21" s="182">
        <f t="shared" si="5"/>
        <v>21</v>
      </c>
      <c r="N21" s="196">
        <f t="shared" si="13"/>
        <v>10.5</v>
      </c>
      <c r="O21" s="197">
        <f t="shared" si="6"/>
        <v>13.242039215686269</v>
      </c>
      <c r="P21" s="32">
        <f t="shared" si="7"/>
        <v>1</v>
      </c>
      <c r="Q21" s="198">
        <f>MIN(R21/P21,(H21-F21)/(M21-F21))</f>
        <v>0.72368421052631582</v>
      </c>
      <c r="R21" s="199">
        <f>(M21-J21)/(M21-F21)</f>
        <v>0.72368421052631582</v>
      </c>
      <c r="S21" s="198">
        <f t="shared" si="10"/>
        <v>0.79584313725490186</v>
      </c>
      <c r="T21" s="200">
        <f t="shared" si="14"/>
        <v>0.79584313725490186</v>
      </c>
      <c r="U21" s="108">
        <f>(G21-G20)*(M21-F21)*365</f>
        <v>0</v>
      </c>
      <c r="V21" s="108">
        <f t="shared" si="16"/>
        <v>0</v>
      </c>
      <c r="W21" s="203">
        <f t="shared" si="17"/>
        <v>0</v>
      </c>
      <c r="Y21" s="5">
        <f t="shared" si="11"/>
        <v>0</v>
      </c>
      <c r="Z21" s="5">
        <f t="shared" si="12"/>
        <v>0</v>
      </c>
    </row>
    <row r="22" spans="1:26" x14ac:dyDescent="0.15">
      <c r="F22" s="194">
        <v>-16</v>
      </c>
      <c r="G22" s="561">
        <f>Säädata!Z28</f>
        <v>0</v>
      </c>
      <c r="H22" s="194">
        <f t="shared" si="18"/>
        <v>21</v>
      </c>
      <c r="I22" s="195">
        <f t="shared" si="21"/>
        <v>-6.5</v>
      </c>
      <c r="J22" s="196">
        <f t="shared" si="2"/>
        <v>-6.5</v>
      </c>
      <c r="K22" s="196">
        <f t="shared" si="19"/>
        <v>-6.5</v>
      </c>
      <c r="L22" s="196">
        <f t="shared" si="20"/>
        <v>-8.4461960784313703</v>
      </c>
      <c r="M22" s="182">
        <f t="shared" si="5"/>
        <v>21</v>
      </c>
      <c r="N22" s="196">
        <f t="shared" si="13"/>
        <v>11.5</v>
      </c>
      <c r="O22" s="197">
        <f t="shared" si="6"/>
        <v>13.44619607843137</v>
      </c>
      <c r="P22" s="4">
        <f t="shared" si="7"/>
        <v>1</v>
      </c>
      <c r="Q22" s="198">
        <f t="shared" ref="Q22:Q50" si="22">MIN(R22/P22,(H22-F22)/(M22-F22))</f>
        <v>0.7432432432432432</v>
      </c>
      <c r="R22" s="199">
        <f t="shared" ref="R22:R49" si="23">(M22-J22)/(M22-F22)</f>
        <v>0.7432432432432432</v>
      </c>
      <c r="S22" s="198">
        <f t="shared" si="10"/>
        <v>0.79584313725490186</v>
      </c>
      <c r="T22" s="200">
        <f t="shared" si="14"/>
        <v>0.79584313725490186</v>
      </c>
      <c r="U22" s="108">
        <f t="shared" ref="U22:U50" si="24">(G22-G21)*(M22-F22)*365</f>
        <v>0</v>
      </c>
      <c r="V22" s="108">
        <f>(G22-G21)*(N22-F22)*365</f>
        <v>0</v>
      </c>
      <c r="W22" s="203">
        <f>(G22-G21)*(M22-I22)*365</f>
        <v>0</v>
      </c>
      <c r="Y22" s="5">
        <f t="shared" si="11"/>
        <v>0</v>
      </c>
      <c r="Z22" s="5">
        <f t="shared" si="12"/>
        <v>0</v>
      </c>
    </row>
    <row r="23" spans="1:26" ht="14" thickBot="1" x14ac:dyDescent="0.2">
      <c r="F23" s="194">
        <v>-15</v>
      </c>
      <c r="G23" s="561">
        <f>Säädata!Z29</f>
        <v>0</v>
      </c>
      <c r="H23" s="194">
        <f t="shared" si="18"/>
        <v>21</v>
      </c>
      <c r="I23" s="195">
        <f t="shared" si="21"/>
        <v>-6.5</v>
      </c>
      <c r="J23" s="196">
        <f t="shared" si="2"/>
        <v>-6.5</v>
      </c>
      <c r="K23" s="196">
        <f t="shared" si="19"/>
        <v>-6.5</v>
      </c>
      <c r="L23" s="196">
        <f t="shared" si="20"/>
        <v>-7.6503529411764681</v>
      </c>
      <c r="M23" s="182">
        <f t="shared" si="5"/>
        <v>21</v>
      </c>
      <c r="N23" s="196">
        <f t="shared" si="13"/>
        <v>12.5</v>
      </c>
      <c r="O23" s="197">
        <f t="shared" si="6"/>
        <v>13.650352941176468</v>
      </c>
      <c r="P23" s="4">
        <f t="shared" si="7"/>
        <v>1</v>
      </c>
      <c r="Q23" s="198">
        <f t="shared" si="22"/>
        <v>0.76388888888888884</v>
      </c>
      <c r="R23" s="199">
        <f t="shared" si="23"/>
        <v>0.76388888888888884</v>
      </c>
      <c r="S23" s="198">
        <f t="shared" si="10"/>
        <v>0.79584313725490186</v>
      </c>
      <c r="T23" s="200">
        <f t="shared" si="14"/>
        <v>0.79584313725490186</v>
      </c>
      <c r="U23" s="108">
        <f t="shared" si="24"/>
        <v>0</v>
      </c>
      <c r="V23" s="108">
        <f t="shared" si="16"/>
        <v>0</v>
      </c>
      <c r="W23" s="203">
        <f t="shared" si="17"/>
        <v>0</v>
      </c>
      <c r="Y23" s="5">
        <f t="shared" si="11"/>
        <v>0</v>
      </c>
      <c r="Z23" s="5">
        <f t="shared" si="12"/>
        <v>0</v>
      </c>
    </row>
    <row r="24" spans="1:26" ht="14" thickBot="1" x14ac:dyDescent="0.2">
      <c r="B24" s="210" t="s">
        <v>269</v>
      </c>
      <c r="C24" s="211"/>
      <c r="D24" s="212">
        <f>MIN(V4*C18/U4,1)</f>
        <v>0.79584313725490174</v>
      </c>
      <c r="F24" s="194">
        <v>-14</v>
      </c>
      <c r="G24" s="561">
        <f>Säädata!Z30</f>
        <v>0</v>
      </c>
      <c r="H24" s="194">
        <f t="shared" si="18"/>
        <v>21</v>
      </c>
      <c r="I24" s="195">
        <f t="shared" si="21"/>
        <v>-6.5</v>
      </c>
      <c r="J24" s="196">
        <f t="shared" si="2"/>
        <v>-6.5</v>
      </c>
      <c r="K24" s="196">
        <f t="shared" si="19"/>
        <v>-6.5</v>
      </c>
      <c r="L24" s="196">
        <f t="shared" si="20"/>
        <v>-6.8545098039215659</v>
      </c>
      <c r="M24" s="182">
        <f t="shared" si="5"/>
        <v>21</v>
      </c>
      <c r="N24" s="196">
        <f t="shared" si="13"/>
        <v>13.5</v>
      </c>
      <c r="O24" s="197">
        <f t="shared" si="6"/>
        <v>13.854509803921566</v>
      </c>
      <c r="P24" s="4">
        <f t="shared" si="7"/>
        <v>1</v>
      </c>
      <c r="Q24" s="198">
        <f t="shared" si="22"/>
        <v>0.7857142857142857</v>
      </c>
      <c r="R24" s="199">
        <f t="shared" si="23"/>
        <v>0.7857142857142857</v>
      </c>
      <c r="S24" s="198">
        <f t="shared" si="10"/>
        <v>0.79584313725490186</v>
      </c>
      <c r="T24" s="200">
        <f t="shared" si="14"/>
        <v>0.79584313725490186</v>
      </c>
      <c r="U24" s="108">
        <f>(G24-G23)*(M24-F24)*365</f>
        <v>0</v>
      </c>
      <c r="V24" s="108">
        <f t="shared" si="16"/>
        <v>0</v>
      </c>
      <c r="W24" s="203">
        <f t="shared" si="17"/>
        <v>0</v>
      </c>
      <c r="Y24" s="5">
        <f t="shared" si="11"/>
        <v>0</v>
      </c>
      <c r="Z24" s="5">
        <f t="shared" si="12"/>
        <v>0</v>
      </c>
    </row>
    <row r="25" spans="1:26" x14ac:dyDescent="0.15">
      <c r="F25" s="194">
        <v>-13</v>
      </c>
      <c r="G25" s="561">
        <f>Säädata!Z31</f>
        <v>0</v>
      </c>
      <c r="H25" s="194">
        <f t="shared" si="18"/>
        <v>21</v>
      </c>
      <c r="I25" s="195">
        <f t="shared" si="21"/>
        <v>-6.0586666666666638</v>
      </c>
      <c r="J25" s="196">
        <f t="shared" si="2"/>
        <v>-6.0586666666666638</v>
      </c>
      <c r="K25" s="196">
        <f t="shared" si="19"/>
        <v>-6.0586666666666638</v>
      </c>
      <c r="L25" s="196">
        <f t="shared" si="20"/>
        <v>-6.0586666666666638</v>
      </c>
      <c r="M25" s="182">
        <f t="shared" si="5"/>
        <v>21</v>
      </c>
      <c r="N25" s="196">
        <f t="shared" si="13"/>
        <v>14.058666666666664</v>
      </c>
      <c r="O25" s="197">
        <f t="shared" si="6"/>
        <v>14.058666666666664</v>
      </c>
      <c r="P25" s="4">
        <f t="shared" si="7"/>
        <v>1</v>
      </c>
      <c r="Q25" s="198">
        <f t="shared" si="22"/>
        <v>0.79584313725490186</v>
      </c>
      <c r="R25" s="199">
        <f t="shared" si="23"/>
        <v>0.79584313725490186</v>
      </c>
      <c r="S25" s="198">
        <f t="shared" si="10"/>
        <v>0.79584313725490186</v>
      </c>
      <c r="T25" s="200">
        <f t="shared" si="14"/>
        <v>0.79584313725490186</v>
      </c>
      <c r="U25" s="108">
        <f t="shared" si="24"/>
        <v>0</v>
      </c>
      <c r="V25" s="108">
        <f t="shared" si="16"/>
        <v>0</v>
      </c>
      <c r="W25" s="203">
        <f t="shared" si="17"/>
        <v>0</v>
      </c>
      <c r="Y25" s="5">
        <f t="shared" si="11"/>
        <v>0</v>
      </c>
      <c r="Z25" s="5">
        <f t="shared" si="12"/>
        <v>0</v>
      </c>
    </row>
    <row r="26" spans="1:26" x14ac:dyDescent="0.15">
      <c r="F26" s="194">
        <v>-12</v>
      </c>
      <c r="G26" s="561">
        <f>Säädata!Z32</f>
        <v>3.4246575342465754E-4</v>
      </c>
      <c r="H26" s="194">
        <f t="shared" si="18"/>
        <v>21</v>
      </c>
      <c r="I26" s="195">
        <f t="shared" si="21"/>
        <v>-5.2628235294117616</v>
      </c>
      <c r="J26" s="196">
        <f t="shared" si="2"/>
        <v>-5.2628235294117616</v>
      </c>
      <c r="K26" s="196">
        <f t="shared" si="19"/>
        <v>-5.2628235294117616</v>
      </c>
      <c r="L26" s="196">
        <f t="shared" si="20"/>
        <v>-5.2628235294117616</v>
      </c>
      <c r="M26" s="182">
        <f t="shared" si="5"/>
        <v>21</v>
      </c>
      <c r="N26" s="196">
        <f t="shared" si="13"/>
        <v>14.262823529411762</v>
      </c>
      <c r="O26" s="197">
        <f t="shared" si="6"/>
        <v>14.262823529411762</v>
      </c>
      <c r="P26" s="4">
        <f t="shared" si="7"/>
        <v>1</v>
      </c>
      <c r="Q26" s="198">
        <f t="shared" si="22"/>
        <v>0.79584313725490186</v>
      </c>
      <c r="R26" s="199">
        <f t="shared" si="23"/>
        <v>0.79584313725490186</v>
      </c>
      <c r="S26" s="198">
        <f t="shared" si="10"/>
        <v>0.79584313725490186</v>
      </c>
      <c r="T26" s="200">
        <f t="shared" si="14"/>
        <v>0.79584313725490186</v>
      </c>
      <c r="U26" s="108">
        <f t="shared" si="24"/>
        <v>4.125</v>
      </c>
      <c r="V26" s="108">
        <f t="shared" si="16"/>
        <v>3.2828529411764702</v>
      </c>
      <c r="W26" s="203">
        <f t="shared" si="17"/>
        <v>3.2828529411764702</v>
      </c>
      <c r="Y26" s="5">
        <f t="shared" si="11"/>
        <v>4.7805120000000008</v>
      </c>
      <c r="Z26" s="5">
        <f t="shared" si="12"/>
        <v>3.8045376677647047</v>
      </c>
    </row>
    <row r="27" spans="1:26" x14ac:dyDescent="0.15">
      <c r="F27" s="194">
        <v>-11</v>
      </c>
      <c r="G27" s="561">
        <f>Säädata!Z33</f>
        <v>1.3698630136986301E-3</v>
      </c>
      <c r="H27" s="194">
        <f t="shared" si="18"/>
        <v>21</v>
      </c>
      <c r="I27" s="195">
        <f t="shared" si="21"/>
        <v>-4.4669803921568594</v>
      </c>
      <c r="J27" s="196">
        <f t="shared" si="2"/>
        <v>-4.4669803921568594</v>
      </c>
      <c r="K27" s="196">
        <f t="shared" si="19"/>
        <v>-4.4669803921568594</v>
      </c>
      <c r="L27" s="196">
        <f t="shared" si="20"/>
        <v>-4.4669803921568594</v>
      </c>
      <c r="M27" s="182">
        <f t="shared" si="5"/>
        <v>21</v>
      </c>
      <c r="N27" s="196">
        <f t="shared" si="13"/>
        <v>14.466980392156859</v>
      </c>
      <c r="O27" s="197">
        <f t="shared" si="6"/>
        <v>14.466980392156859</v>
      </c>
      <c r="P27" s="4">
        <f t="shared" si="7"/>
        <v>1</v>
      </c>
      <c r="Q27" s="198">
        <f t="shared" si="22"/>
        <v>0.79584313725490186</v>
      </c>
      <c r="R27" s="199">
        <f t="shared" si="23"/>
        <v>0.79584313725490186</v>
      </c>
      <c r="S27" s="198">
        <f t="shared" si="10"/>
        <v>0.79584313725490186</v>
      </c>
      <c r="T27" s="200">
        <f t="shared" si="14"/>
        <v>0.79584313725490186</v>
      </c>
      <c r="U27" s="108">
        <f t="shared" si="24"/>
        <v>12.000000000000002</v>
      </c>
      <c r="V27" s="108">
        <f t="shared" si="16"/>
        <v>9.5501176470588227</v>
      </c>
      <c r="W27" s="203">
        <f t="shared" si="17"/>
        <v>9.5501176470588227</v>
      </c>
      <c r="Y27" s="5">
        <f t="shared" si="11"/>
        <v>13.906944000000001</v>
      </c>
      <c r="Z27" s="5">
        <f t="shared" si="12"/>
        <v>11.067745942588235</v>
      </c>
    </row>
    <row r="28" spans="1:26" x14ac:dyDescent="0.15">
      <c r="F28" s="194">
        <v>-10</v>
      </c>
      <c r="G28" s="561">
        <f>Säädata!Z34</f>
        <v>4.9086757990867581E-3</v>
      </c>
      <c r="H28" s="194">
        <f t="shared" si="18"/>
        <v>21</v>
      </c>
      <c r="I28" s="195">
        <f t="shared" si="21"/>
        <v>-3.6711372549019572</v>
      </c>
      <c r="J28" s="196">
        <f t="shared" si="2"/>
        <v>-3.6711372549019572</v>
      </c>
      <c r="K28" s="196">
        <f t="shared" si="19"/>
        <v>-3.6711372549019572</v>
      </c>
      <c r="L28" s="196">
        <f t="shared" si="20"/>
        <v>-3.6711372549019572</v>
      </c>
      <c r="M28" s="182">
        <f t="shared" si="5"/>
        <v>21</v>
      </c>
      <c r="N28" s="196">
        <f t="shared" si="13"/>
        <v>14.671137254901957</v>
      </c>
      <c r="O28" s="197">
        <f t="shared" si="6"/>
        <v>14.671137254901957</v>
      </c>
      <c r="P28" s="4">
        <f t="shared" si="7"/>
        <v>1</v>
      </c>
      <c r="Q28" s="198">
        <f t="shared" si="22"/>
        <v>0.79584313725490186</v>
      </c>
      <c r="R28" s="199">
        <f t="shared" si="23"/>
        <v>0.79584313725490186</v>
      </c>
      <c r="S28" s="198">
        <f t="shared" si="10"/>
        <v>0.79584313725490186</v>
      </c>
      <c r="T28" s="200">
        <f t="shared" si="14"/>
        <v>0.79584313725490186</v>
      </c>
      <c r="U28" s="108">
        <f t="shared" si="24"/>
        <v>40.041666666666664</v>
      </c>
      <c r="V28" s="108">
        <f t="shared" si="16"/>
        <v>31.866885620915031</v>
      </c>
      <c r="W28" s="203">
        <f t="shared" si="17"/>
        <v>31.866885620915031</v>
      </c>
      <c r="Y28" s="5">
        <f t="shared" si="11"/>
        <v>46.404768000000004</v>
      </c>
      <c r="Z28" s="5">
        <f t="shared" si="12"/>
        <v>36.930916148705876</v>
      </c>
    </row>
    <row r="29" spans="1:26" x14ac:dyDescent="0.15">
      <c r="F29" s="194">
        <v>-9</v>
      </c>
      <c r="G29" s="561">
        <f>Säädata!Z35</f>
        <v>6.735159817351598E-3</v>
      </c>
      <c r="H29" s="194">
        <f t="shared" si="18"/>
        <v>21</v>
      </c>
      <c r="I29" s="195">
        <f t="shared" si="21"/>
        <v>-2.875294117647055</v>
      </c>
      <c r="J29" s="196">
        <f t="shared" si="2"/>
        <v>-2.875294117647055</v>
      </c>
      <c r="K29" s="196">
        <f t="shared" si="19"/>
        <v>-2.875294117647055</v>
      </c>
      <c r="L29" s="196">
        <f t="shared" si="20"/>
        <v>-2.875294117647055</v>
      </c>
      <c r="M29" s="182">
        <f t="shared" si="5"/>
        <v>21</v>
      </c>
      <c r="N29" s="196">
        <f>MIN(F29+R29/P29*(M29-F29),H29)</f>
        <v>14.875294117647055</v>
      </c>
      <c r="O29" s="197">
        <f>F29+S29/P29*(M29-F29)</f>
        <v>14.875294117647055</v>
      </c>
      <c r="P29" s="4">
        <f t="shared" si="7"/>
        <v>1</v>
      </c>
      <c r="Q29" s="198">
        <f t="shared" si="22"/>
        <v>0.79584313725490186</v>
      </c>
      <c r="R29" s="199">
        <f t="shared" si="23"/>
        <v>0.79584313725490186</v>
      </c>
      <c r="S29" s="198">
        <f t="shared" si="10"/>
        <v>0.79584313725490186</v>
      </c>
      <c r="T29" s="200">
        <f t="shared" si="14"/>
        <v>0.79584313725490186</v>
      </c>
      <c r="U29" s="108">
        <f t="shared" si="24"/>
        <v>19.999999999999996</v>
      </c>
      <c r="V29" s="108">
        <f t="shared" si="16"/>
        <v>15.916862745098035</v>
      </c>
      <c r="W29" s="203">
        <f t="shared" si="17"/>
        <v>15.916862745098035</v>
      </c>
      <c r="Y29" s="5">
        <f t="shared" si="11"/>
        <v>23.178239999999999</v>
      </c>
      <c r="Z29" s="5">
        <f t="shared" si="12"/>
        <v>18.44624323764705</v>
      </c>
    </row>
    <row r="30" spans="1:26" x14ac:dyDescent="0.15">
      <c r="F30" s="194">
        <v>-8</v>
      </c>
      <c r="G30" s="561">
        <f>Säädata!Z36</f>
        <v>9.1324200913242004E-3</v>
      </c>
      <c r="H30" s="194">
        <f t="shared" si="18"/>
        <v>21</v>
      </c>
      <c r="I30" s="195">
        <f t="shared" si="21"/>
        <v>-2.0794509803921528</v>
      </c>
      <c r="J30" s="196">
        <f t="shared" si="2"/>
        <v>-2.0794509803921528</v>
      </c>
      <c r="K30" s="196">
        <f t="shared" si="19"/>
        <v>-2.0794509803921528</v>
      </c>
      <c r="L30" s="196">
        <f t="shared" si="20"/>
        <v>-2.0794509803921528</v>
      </c>
      <c r="M30" s="182">
        <f t="shared" si="5"/>
        <v>21</v>
      </c>
      <c r="N30" s="196">
        <f t="shared" si="13"/>
        <v>15.079450980392153</v>
      </c>
      <c r="O30" s="197">
        <f t="shared" ref="O30:O50" si="25">F30+S30/P30*(M30-F30)</f>
        <v>15.079450980392153</v>
      </c>
      <c r="P30" s="4">
        <f t="shared" si="7"/>
        <v>1</v>
      </c>
      <c r="Q30" s="198">
        <f t="shared" si="22"/>
        <v>0.79584313725490186</v>
      </c>
      <c r="R30" s="199">
        <f t="shared" si="23"/>
        <v>0.79584313725490186</v>
      </c>
      <c r="S30" s="198">
        <f t="shared" si="10"/>
        <v>0.79584313725490186</v>
      </c>
      <c r="T30" s="200">
        <f t="shared" si="14"/>
        <v>0.79584313725490186</v>
      </c>
      <c r="U30" s="108">
        <f t="shared" si="24"/>
        <v>25.374999999999996</v>
      </c>
      <c r="V30" s="108">
        <f t="shared" si="16"/>
        <v>20.194519607843134</v>
      </c>
      <c r="W30" s="203">
        <f t="shared" si="17"/>
        <v>20.194519607843134</v>
      </c>
      <c r="Y30" s="5">
        <f t="shared" si="11"/>
        <v>29.407392000000002</v>
      </c>
      <c r="Z30" s="5">
        <f t="shared" si="12"/>
        <v>23.403671107764694</v>
      </c>
    </row>
    <row r="31" spans="1:26" x14ac:dyDescent="0.15">
      <c r="B31" s="23" t="s">
        <v>1292</v>
      </c>
      <c r="C31" s="22"/>
      <c r="D31" s="21"/>
      <c r="F31" s="194">
        <v>-7</v>
      </c>
      <c r="G31" s="561">
        <f>Säädata!Z37</f>
        <v>1.1301369863013699E-2</v>
      </c>
      <c r="H31" s="194">
        <f t="shared" si="18"/>
        <v>21</v>
      </c>
      <c r="I31" s="195">
        <f t="shared" si="21"/>
        <v>-1.2836078431372506</v>
      </c>
      <c r="J31" s="196">
        <f t="shared" si="2"/>
        <v>-1.2836078431372506</v>
      </c>
      <c r="K31" s="196">
        <f t="shared" si="19"/>
        <v>-1.2836078431372506</v>
      </c>
      <c r="L31" s="196">
        <f t="shared" si="20"/>
        <v>-1.2836078431372506</v>
      </c>
      <c r="M31" s="182">
        <f t="shared" si="5"/>
        <v>21</v>
      </c>
      <c r="N31" s="196">
        <f t="shared" si="13"/>
        <v>15.283607843137251</v>
      </c>
      <c r="O31" s="197">
        <f t="shared" si="25"/>
        <v>15.283607843137251</v>
      </c>
      <c r="P31" s="4">
        <f t="shared" si="7"/>
        <v>1</v>
      </c>
      <c r="Q31" s="198">
        <f>MIN(R31/P31,(H31-F31)/(M31-F31))</f>
        <v>0.79584313725490186</v>
      </c>
      <c r="R31" s="199">
        <f t="shared" si="23"/>
        <v>0.79584313725490186</v>
      </c>
      <c r="S31" s="198">
        <f t="shared" si="10"/>
        <v>0.79584313725490186</v>
      </c>
      <c r="T31" s="200">
        <f t="shared" si="14"/>
        <v>0.79584313725490186</v>
      </c>
      <c r="U31" s="108">
        <f t="shared" si="24"/>
        <v>22.166666666666675</v>
      </c>
      <c r="V31" s="108">
        <f t="shared" si="16"/>
        <v>17.641189542483666</v>
      </c>
      <c r="W31" s="203">
        <f t="shared" si="17"/>
        <v>17.641189542483666</v>
      </c>
      <c r="Y31" s="5">
        <f t="shared" si="11"/>
        <v>25.689216000000012</v>
      </c>
      <c r="Z31" s="5">
        <f t="shared" si="12"/>
        <v>20.444586255058827</v>
      </c>
    </row>
    <row r="32" spans="1:26" x14ac:dyDescent="0.15">
      <c r="B32" s="12" t="str" cm="1">
        <f t="array" ref="B32">INDEX(Kirjasto!D4:K200,148,Kirjasto!B4)</f>
        <v>No limitation</v>
      </c>
      <c r="D32" s="24"/>
      <c r="F32" s="194">
        <v>-6</v>
      </c>
      <c r="G32" s="561">
        <f>Säädata!Z38</f>
        <v>2.3858447488584476E-2</v>
      </c>
      <c r="H32" s="194">
        <f t="shared" si="18"/>
        <v>21</v>
      </c>
      <c r="I32" s="195">
        <f t="shared" si="21"/>
        <v>-0.48776470588234844</v>
      </c>
      <c r="J32" s="196">
        <f t="shared" si="2"/>
        <v>-0.48776470588234844</v>
      </c>
      <c r="K32" s="196">
        <f t="shared" si="19"/>
        <v>-0.48776470588234844</v>
      </c>
      <c r="L32" s="196">
        <f t="shared" si="20"/>
        <v>-0.48776470588234844</v>
      </c>
      <c r="M32" s="182">
        <f t="shared" si="5"/>
        <v>21</v>
      </c>
      <c r="N32" s="196">
        <f t="shared" si="13"/>
        <v>15.487764705882348</v>
      </c>
      <c r="O32" s="197">
        <f t="shared" si="25"/>
        <v>15.487764705882348</v>
      </c>
      <c r="P32" s="4">
        <f t="shared" si="7"/>
        <v>1</v>
      </c>
      <c r="Q32" s="198">
        <f t="shared" si="22"/>
        <v>0.79584313725490174</v>
      </c>
      <c r="R32" s="199">
        <f t="shared" si="23"/>
        <v>0.79584313725490174</v>
      </c>
      <c r="S32" s="198">
        <f t="shared" si="10"/>
        <v>0.79584313725490186</v>
      </c>
      <c r="T32" s="200">
        <f t="shared" si="14"/>
        <v>0.79584313725490186</v>
      </c>
      <c r="U32" s="108">
        <f t="shared" si="24"/>
        <v>123.75000000000001</v>
      </c>
      <c r="V32" s="108">
        <f t="shared" si="16"/>
        <v>98.485588235294117</v>
      </c>
      <c r="W32" s="203">
        <f t="shared" si="17"/>
        <v>98.485588235294117</v>
      </c>
      <c r="Y32" s="5">
        <f t="shared" si="11"/>
        <v>143.41536000000002</v>
      </c>
      <c r="Z32" s="5">
        <f t="shared" si="12"/>
        <v>114.13613003294114</v>
      </c>
    </row>
    <row r="33" spans="2:26" x14ac:dyDescent="0.15">
      <c r="B33" s="12" t="str" cm="1">
        <f t="array" ref="B33">INDEX(Kirjasto!D4:K200,147,Kirjasto!B4)</f>
        <v>Limited</v>
      </c>
      <c r="D33" s="24"/>
      <c r="F33" s="194">
        <v>-5</v>
      </c>
      <c r="G33" s="561">
        <f>Säädata!Z39</f>
        <v>4.2922374429223746E-2</v>
      </c>
      <c r="H33" s="194">
        <f t="shared" si="18"/>
        <v>21</v>
      </c>
      <c r="I33" s="195">
        <f t="shared" si="21"/>
        <v>0.3080784313725502</v>
      </c>
      <c r="J33" s="196">
        <f t="shared" si="2"/>
        <v>0.3080784313725502</v>
      </c>
      <c r="K33" s="196">
        <f t="shared" si="19"/>
        <v>0.3080784313725502</v>
      </c>
      <c r="L33" s="196">
        <f t="shared" si="20"/>
        <v>0.3080784313725502</v>
      </c>
      <c r="M33" s="182">
        <f t="shared" si="5"/>
        <v>21</v>
      </c>
      <c r="N33" s="196">
        <f t="shared" si="13"/>
        <v>15.69192156862745</v>
      </c>
      <c r="O33" s="197">
        <f t="shared" si="25"/>
        <v>15.69192156862745</v>
      </c>
      <c r="P33" s="4">
        <f t="shared" si="7"/>
        <v>1</v>
      </c>
      <c r="Q33" s="198">
        <f t="shared" si="22"/>
        <v>0.79584313725490197</v>
      </c>
      <c r="R33" s="199">
        <f t="shared" si="23"/>
        <v>0.79584313725490197</v>
      </c>
      <c r="S33" s="198">
        <f t="shared" si="10"/>
        <v>0.79584313725490186</v>
      </c>
      <c r="T33" s="200">
        <f t="shared" si="14"/>
        <v>0.79584313725490186</v>
      </c>
      <c r="U33" s="108">
        <f t="shared" si="24"/>
        <v>180.91666666666666</v>
      </c>
      <c r="V33" s="108">
        <f t="shared" si="16"/>
        <v>143.98128758169935</v>
      </c>
      <c r="W33" s="203">
        <f t="shared" si="17"/>
        <v>143.98128758169935</v>
      </c>
      <c r="Y33" s="5">
        <f t="shared" si="11"/>
        <v>209.66649600000002</v>
      </c>
      <c r="Z33" s="5">
        <f t="shared" si="12"/>
        <v>166.86164195388235</v>
      </c>
    </row>
    <row r="34" spans="2:26" x14ac:dyDescent="0.15">
      <c r="B34" s="12" t="s">
        <v>21</v>
      </c>
      <c r="C34" s="95">
        <v>1</v>
      </c>
      <c r="D34" s="24"/>
      <c r="F34" s="194">
        <v>-4</v>
      </c>
      <c r="G34" s="561">
        <f>Säädata!Z40</f>
        <v>5.6849315068493153E-2</v>
      </c>
      <c r="H34" s="194">
        <f t="shared" si="18"/>
        <v>21</v>
      </c>
      <c r="I34" s="195">
        <f t="shared" si="21"/>
        <v>1.1039215686274524</v>
      </c>
      <c r="J34" s="196">
        <f t="shared" si="2"/>
        <v>1.1039215686274524</v>
      </c>
      <c r="K34" s="196">
        <f t="shared" si="19"/>
        <v>1.1039215686274524</v>
      </c>
      <c r="L34" s="196">
        <f t="shared" si="20"/>
        <v>1.1039215686274524</v>
      </c>
      <c r="M34" s="182">
        <f t="shared" si="5"/>
        <v>21</v>
      </c>
      <c r="N34" s="196">
        <f t="shared" si="13"/>
        <v>15.896078431372548</v>
      </c>
      <c r="O34" s="197">
        <f t="shared" si="25"/>
        <v>15.896078431372548</v>
      </c>
      <c r="P34" s="4">
        <f t="shared" si="7"/>
        <v>1</v>
      </c>
      <c r="Q34" s="198">
        <f t="shared" si="22"/>
        <v>0.79584313725490186</v>
      </c>
      <c r="R34" s="199">
        <f t="shared" si="23"/>
        <v>0.79584313725490186</v>
      </c>
      <c r="S34" s="198">
        <f t="shared" si="10"/>
        <v>0.79584313725490186</v>
      </c>
      <c r="T34" s="200">
        <f t="shared" si="14"/>
        <v>0.79584313725490186</v>
      </c>
      <c r="U34" s="108">
        <f t="shared" si="24"/>
        <v>127.08333333333334</v>
      </c>
      <c r="V34" s="108">
        <f t="shared" si="16"/>
        <v>101.13839869281044</v>
      </c>
      <c r="W34" s="203">
        <f t="shared" si="17"/>
        <v>101.13839869281044</v>
      </c>
      <c r="Y34" s="5">
        <f t="shared" si="11"/>
        <v>147.2784</v>
      </c>
      <c r="Z34" s="5">
        <f t="shared" si="12"/>
        <v>117.21050390588233</v>
      </c>
    </row>
    <row r="35" spans="2:26" x14ac:dyDescent="0.15">
      <c r="B35" s="12"/>
      <c r="C35" s="630" t="str" cm="1">
        <f t="array" ref="C35">INDEX(B32:B33,C34)</f>
        <v>No limitation</v>
      </c>
      <c r="D35" s="24"/>
      <c r="F35" s="194">
        <v>-3</v>
      </c>
      <c r="G35" s="561">
        <f>Säädata!Z41</f>
        <v>8.0936073059360736E-2</v>
      </c>
      <c r="H35" s="194">
        <f t="shared" si="18"/>
        <v>21</v>
      </c>
      <c r="I35" s="195">
        <f t="shared" si="21"/>
        <v>1.8997647058823546</v>
      </c>
      <c r="J35" s="196">
        <f t="shared" si="2"/>
        <v>1.8997647058823546</v>
      </c>
      <c r="K35" s="196">
        <f t="shared" si="19"/>
        <v>1.8997647058823546</v>
      </c>
      <c r="L35" s="196">
        <f t="shared" si="20"/>
        <v>1.8997647058823546</v>
      </c>
      <c r="M35" s="182">
        <f t="shared" si="5"/>
        <v>21</v>
      </c>
      <c r="N35" s="196">
        <f t="shared" si="13"/>
        <v>16.100235294117645</v>
      </c>
      <c r="O35" s="197">
        <f t="shared" si="25"/>
        <v>16.100235294117645</v>
      </c>
      <c r="P35" s="4">
        <f t="shared" si="7"/>
        <v>1</v>
      </c>
      <c r="Q35" s="198">
        <f>MIN(R35/P35,(H35-F35)/(M35-F35))</f>
        <v>0.79584313725490186</v>
      </c>
      <c r="R35" s="199">
        <f t="shared" si="23"/>
        <v>0.79584313725490186</v>
      </c>
      <c r="S35" s="198">
        <f t="shared" si="10"/>
        <v>0.79584313725490186</v>
      </c>
      <c r="T35" s="200">
        <f t="shared" si="14"/>
        <v>0.79584313725490186</v>
      </c>
      <c r="U35" s="108">
        <f t="shared" si="24"/>
        <v>211.00000000000003</v>
      </c>
      <c r="V35" s="108">
        <f t="shared" si="16"/>
        <v>167.92290196078432</v>
      </c>
      <c r="W35" s="203">
        <f t="shared" si="17"/>
        <v>167.92290196078432</v>
      </c>
      <c r="Y35" s="5">
        <f t="shared" si="11"/>
        <v>244.53043200000005</v>
      </c>
      <c r="Z35" s="5">
        <f t="shared" si="12"/>
        <v>194.60786615717649</v>
      </c>
    </row>
    <row r="36" spans="2:26" x14ac:dyDescent="0.15">
      <c r="B36" s="12"/>
      <c r="D36" s="24"/>
      <c r="F36" s="194">
        <v>-2</v>
      </c>
      <c r="G36" s="561">
        <f>Säädata!Z42</f>
        <v>0.1110730593607306</v>
      </c>
      <c r="H36" s="194">
        <f t="shared" si="18"/>
        <v>21</v>
      </c>
      <c r="I36" s="195">
        <f t="shared" si="21"/>
        <v>2.6956078431372568</v>
      </c>
      <c r="J36" s="196">
        <f t="shared" si="2"/>
        <v>2.6956078431372568</v>
      </c>
      <c r="K36" s="196">
        <f t="shared" si="19"/>
        <v>2.6956078431372568</v>
      </c>
      <c r="L36" s="196">
        <f t="shared" si="20"/>
        <v>2.6956078431372568</v>
      </c>
      <c r="M36" s="182">
        <f t="shared" si="5"/>
        <v>21</v>
      </c>
      <c r="N36" s="196">
        <f t="shared" si="13"/>
        <v>16.304392156862743</v>
      </c>
      <c r="O36" s="197">
        <f t="shared" si="25"/>
        <v>16.304392156862743</v>
      </c>
      <c r="P36" s="4">
        <f t="shared" si="7"/>
        <v>1</v>
      </c>
      <c r="Q36" s="198">
        <f t="shared" si="22"/>
        <v>0.79584313725490186</v>
      </c>
      <c r="R36" s="199">
        <f t="shared" si="23"/>
        <v>0.79584313725490186</v>
      </c>
      <c r="S36" s="198">
        <f t="shared" si="10"/>
        <v>0.79584313725490186</v>
      </c>
      <c r="T36" s="200">
        <f t="shared" si="14"/>
        <v>0.79584313725490186</v>
      </c>
      <c r="U36" s="108">
        <f t="shared" si="24"/>
        <v>253.00000000000003</v>
      </c>
      <c r="V36" s="108">
        <f t="shared" si="16"/>
        <v>201.34831372549019</v>
      </c>
      <c r="W36" s="203">
        <f t="shared" si="17"/>
        <v>201.34831372549019</v>
      </c>
      <c r="Y36" s="5">
        <f t="shared" si="11"/>
        <v>293.20473600000003</v>
      </c>
      <c r="Z36" s="5">
        <f t="shared" si="12"/>
        <v>233.34497695623529</v>
      </c>
    </row>
    <row r="37" spans="2:26" x14ac:dyDescent="0.15">
      <c r="B37" s="12" t="s">
        <v>1285</v>
      </c>
      <c r="C37" t="b">
        <f>IF(C34=2,TRUE,FALSE)</f>
        <v>0</v>
      </c>
      <c r="D37" s="24"/>
      <c r="F37" s="194">
        <v>-1</v>
      </c>
      <c r="G37" s="561">
        <f>Säädata!Z43</f>
        <v>0.15719178082191781</v>
      </c>
      <c r="H37" s="194">
        <f t="shared" si="18"/>
        <v>21</v>
      </c>
      <c r="I37" s="195">
        <f t="shared" si="21"/>
        <v>3.491450980392159</v>
      </c>
      <c r="J37" s="196">
        <f t="shared" si="2"/>
        <v>3.491450980392159</v>
      </c>
      <c r="K37" s="196">
        <f t="shared" si="19"/>
        <v>3.491450980392159</v>
      </c>
      <c r="L37" s="196">
        <f t="shared" si="20"/>
        <v>3.491450980392159</v>
      </c>
      <c r="M37" s="182">
        <f t="shared" si="5"/>
        <v>21</v>
      </c>
      <c r="N37" s="196">
        <f t="shared" si="13"/>
        <v>16.508549019607841</v>
      </c>
      <c r="O37" s="197">
        <f t="shared" si="25"/>
        <v>16.508549019607841</v>
      </c>
      <c r="P37" s="4">
        <f t="shared" si="7"/>
        <v>1</v>
      </c>
      <c r="Q37" s="198">
        <f t="shared" si="22"/>
        <v>0.79584313725490186</v>
      </c>
      <c r="R37" s="199">
        <f t="shared" si="23"/>
        <v>0.79584313725490186</v>
      </c>
      <c r="S37" s="198">
        <f t="shared" si="10"/>
        <v>0.79584313725490186</v>
      </c>
      <c r="T37" s="200">
        <f t="shared" si="14"/>
        <v>0.79584313725490186</v>
      </c>
      <c r="U37" s="108">
        <f t="shared" si="24"/>
        <v>370.33333333333337</v>
      </c>
      <c r="V37" s="108">
        <f t="shared" si="16"/>
        <v>294.72724183006534</v>
      </c>
      <c r="W37" s="203">
        <f t="shared" si="17"/>
        <v>294.72724183006534</v>
      </c>
      <c r="Y37" s="5">
        <f t="shared" si="11"/>
        <v>429.18374399999993</v>
      </c>
      <c r="Z37" s="5">
        <f t="shared" si="12"/>
        <v>341.56293728376471</v>
      </c>
    </row>
    <row r="38" spans="2:26" x14ac:dyDescent="0.15">
      <c r="B38" s="12" t="s">
        <v>1293</v>
      </c>
      <c r="C38" t="b">
        <f>IF(C37,FALSE,TRUE)</f>
        <v>1</v>
      </c>
      <c r="D38" s="24"/>
      <c r="F38" s="194">
        <v>0</v>
      </c>
      <c r="G38" s="561">
        <f>Säädata!Z44</f>
        <v>0.21255707762557077</v>
      </c>
      <c r="H38" s="194">
        <f t="shared" si="18"/>
        <v>21</v>
      </c>
      <c r="I38" s="195">
        <f t="shared" si="21"/>
        <v>4.2872941176470611</v>
      </c>
      <c r="J38" s="196">
        <f t="shared" si="2"/>
        <v>4.2872941176470611</v>
      </c>
      <c r="K38" s="196">
        <f t="shared" si="19"/>
        <v>4.2872941176470611</v>
      </c>
      <c r="L38" s="196">
        <f t="shared" si="20"/>
        <v>4.2872941176470611</v>
      </c>
      <c r="M38" s="182">
        <f t="shared" si="5"/>
        <v>21</v>
      </c>
      <c r="N38" s="196">
        <f t="shared" si="13"/>
        <v>16.712705882352939</v>
      </c>
      <c r="O38" s="197">
        <f t="shared" si="25"/>
        <v>16.712705882352939</v>
      </c>
      <c r="P38" s="4">
        <f t="shared" si="7"/>
        <v>1</v>
      </c>
      <c r="Q38" s="198">
        <f t="shared" si="22"/>
        <v>0.79584313725490186</v>
      </c>
      <c r="R38" s="199">
        <f t="shared" si="23"/>
        <v>0.79584313725490186</v>
      </c>
      <c r="S38" s="198">
        <f t="shared" si="10"/>
        <v>0.79584313725490186</v>
      </c>
      <c r="T38" s="200">
        <f t="shared" si="14"/>
        <v>0.79584313725490186</v>
      </c>
      <c r="U38" s="108">
        <f t="shared" si="24"/>
        <v>424.37499999999994</v>
      </c>
      <c r="V38" s="108">
        <f t="shared" si="16"/>
        <v>337.73593137254892</v>
      </c>
      <c r="W38" s="203">
        <f t="shared" si="17"/>
        <v>337.73593137254892</v>
      </c>
      <c r="Y38" s="5">
        <f t="shared" si="11"/>
        <v>491.81327999999991</v>
      </c>
      <c r="Z38" s="5">
        <f t="shared" si="12"/>
        <v>391.4062236988234</v>
      </c>
    </row>
    <row r="39" spans="2:26" x14ac:dyDescent="0.15">
      <c r="B39" s="12"/>
      <c r="D39" s="24"/>
      <c r="F39" s="194">
        <v>1</v>
      </c>
      <c r="G39" s="561">
        <f>Säädata!Z45</f>
        <v>0.24155251141552511</v>
      </c>
      <c r="H39" s="194">
        <f t="shared" si="18"/>
        <v>21</v>
      </c>
      <c r="I39" s="195">
        <f t="shared" si="21"/>
        <v>5.0831372549019633</v>
      </c>
      <c r="J39" s="196">
        <f t="shared" si="2"/>
        <v>5.0831372549019633</v>
      </c>
      <c r="K39" s="196">
        <f t="shared" si="19"/>
        <v>5.0831372549019633</v>
      </c>
      <c r="L39" s="196">
        <f t="shared" si="20"/>
        <v>5.0831372549019633</v>
      </c>
      <c r="M39" s="182">
        <f t="shared" si="5"/>
        <v>21</v>
      </c>
      <c r="N39" s="196">
        <f t="shared" si="13"/>
        <v>16.916862745098037</v>
      </c>
      <c r="O39" s="197">
        <f t="shared" si="25"/>
        <v>16.916862745098037</v>
      </c>
      <c r="P39" s="4">
        <f t="shared" si="7"/>
        <v>1</v>
      </c>
      <c r="Q39" s="198">
        <f t="shared" si="22"/>
        <v>0.79584313725490186</v>
      </c>
      <c r="R39" s="199">
        <f t="shared" si="23"/>
        <v>0.79584313725490186</v>
      </c>
      <c r="S39" s="198">
        <f t="shared" si="10"/>
        <v>0.79584313725490186</v>
      </c>
      <c r="T39" s="200">
        <f t="shared" si="14"/>
        <v>0.79584313725490186</v>
      </c>
      <c r="U39" s="108">
        <f t="shared" si="24"/>
        <v>211.66666666666669</v>
      </c>
      <c r="V39" s="108">
        <f t="shared" si="16"/>
        <v>168.45346405228756</v>
      </c>
      <c r="W39" s="203">
        <f t="shared" si="17"/>
        <v>168.45346405228756</v>
      </c>
      <c r="Y39" s="5">
        <f t="shared" si="11"/>
        <v>245.30304000000007</v>
      </c>
      <c r="Z39" s="5">
        <f t="shared" si="12"/>
        <v>195.22274093176466</v>
      </c>
    </row>
    <row r="40" spans="2:26" x14ac:dyDescent="0.15">
      <c r="B40" s="12" t="s">
        <v>228</v>
      </c>
      <c r="C40" s="5">
        <f>Tulostus!T26</f>
        <v>21</v>
      </c>
      <c r="D40" s="24"/>
      <c r="F40" s="194">
        <v>2</v>
      </c>
      <c r="G40" s="561">
        <f>Säädata!Z46</f>
        <v>0.30034246575342466</v>
      </c>
      <c r="H40" s="194">
        <f t="shared" si="18"/>
        <v>21</v>
      </c>
      <c r="I40" s="195">
        <f t="shared" si="21"/>
        <v>5.8789803921568655</v>
      </c>
      <c r="J40" s="196">
        <f t="shared" si="2"/>
        <v>5.8789803921568655</v>
      </c>
      <c r="K40" s="196">
        <f t="shared" si="19"/>
        <v>5.8789803921568655</v>
      </c>
      <c r="L40" s="196">
        <f t="shared" si="20"/>
        <v>5.8789803921568655</v>
      </c>
      <c r="M40" s="182">
        <f t="shared" si="5"/>
        <v>21</v>
      </c>
      <c r="N40" s="196">
        <f t="shared" si="13"/>
        <v>17.121019607843134</v>
      </c>
      <c r="O40" s="197">
        <f t="shared" si="25"/>
        <v>17.121019607843134</v>
      </c>
      <c r="P40" s="4">
        <f t="shared" si="7"/>
        <v>1</v>
      </c>
      <c r="Q40" s="198">
        <f>MIN(R40/P40,(H40-F40)/(M40-F40))</f>
        <v>0.79584313725490186</v>
      </c>
      <c r="R40" s="199">
        <f t="shared" si="23"/>
        <v>0.79584313725490186</v>
      </c>
      <c r="S40" s="198">
        <f t="shared" si="10"/>
        <v>0.79584313725490186</v>
      </c>
      <c r="T40" s="200">
        <f t="shared" si="14"/>
        <v>0.79584313725490186</v>
      </c>
      <c r="U40" s="108">
        <f t="shared" si="24"/>
        <v>407.70833333333337</v>
      </c>
      <c r="V40" s="108">
        <f t="shared" si="16"/>
        <v>324.47187908496727</v>
      </c>
      <c r="W40" s="203">
        <f t="shared" si="17"/>
        <v>324.47187908496727</v>
      </c>
      <c r="Y40" s="5">
        <f t="shared" si="11"/>
        <v>472.49808000000007</v>
      </c>
      <c r="Z40" s="5">
        <f t="shared" si="12"/>
        <v>376.03435433411755</v>
      </c>
    </row>
    <row r="41" spans="2:26" x14ac:dyDescent="0.15">
      <c r="B41" s="12" t="s">
        <v>1291</v>
      </c>
      <c r="C41" s="5">
        <f>Tulostus!T29</f>
        <v>17</v>
      </c>
      <c r="D41" s="24"/>
      <c r="F41" s="194">
        <v>3</v>
      </c>
      <c r="G41" s="561">
        <f>Säädata!Z47</f>
        <v>0.3485159817351598</v>
      </c>
      <c r="H41" s="194">
        <f t="shared" si="18"/>
        <v>21</v>
      </c>
      <c r="I41" s="195">
        <f t="shared" si="21"/>
        <v>6.6748235294117659</v>
      </c>
      <c r="J41" s="196">
        <f t="shared" si="2"/>
        <v>6.6748235294117659</v>
      </c>
      <c r="K41" s="196">
        <f t="shared" si="19"/>
        <v>6.6748235294117659</v>
      </c>
      <c r="L41" s="196">
        <f t="shared" si="20"/>
        <v>6.6748235294117659</v>
      </c>
      <c r="M41" s="182">
        <f t="shared" si="5"/>
        <v>21</v>
      </c>
      <c r="N41" s="196">
        <f t="shared" si="13"/>
        <v>17.325176470588232</v>
      </c>
      <c r="O41" s="197">
        <f t="shared" si="25"/>
        <v>17.325176470588232</v>
      </c>
      <c r="P41" s="4">
        <f t="shared" si="7"/>
        <v>1</v>
      </c>
      <c r="Q41" s="198">
        <f t="shared" si="22"/>
        <v>0.79584313725490186</v>
      </c>
      <c r="R41" s="199">
        <f t="shared" si="23"/>
        <v>0.79584313725490186</v>
      </c>
      <c r="S41" s="198">
        <f t="shared" si="10"/>
        <v>0.79584313725490186</v>
      </c>
      <c r="T41" s="200">
        <f t="shared" si="14"/>
        <v>0.79584313725490186</v>
      </c>
      <c r="U41" s="108">
        <f t="shared" si="24"/>
        <v>316.49999999999983</v>
      </c>
      <c r="V41" s="108">
        <f t="shared" si="16"/>
        <v>251.88435294117633</v>
      </c>
      <c r="W41" s="203">
        <f t="shared" si="17"/>
        <v>251.88435294117633</v>
      </c>
      <c r="Y41" s="5">
        <f t="shared" si="11"/>
        <v>366.79564799999986</v>
      </c>
      <c r="Z41" s="5">
        <f t="shared" si="12"/>
        <v>291.91179923576453</v>
      </c>
    </row>
    <row r="42" spans="2:26" x14ac:dyDescent="0.15">
      <c r="B42" s="14" t="s">
        <v>1290</v>
      </c>
      <c r="C42" s="619">
        <f>IF(C37,C41,C40)</f>
        <v>21</v>
      </c>
      <c r="D42" s="26"/>
      <c r="F42" s="194">
        <v>4</v>
      </c>
      <c r="G42" s="561">
        <f>Säädata!Z48</f>
        <v>0.40251141552511416</v>
      </c>
      <c r="H42" s="194">
        <f t="shared" si="18"/>
        <v>21</v>
      </c>
      <c r="I42" s="195">
        <f t="shared" si="21"/>
        <v>7.4706666666666681</v>
      </c>
      <c r="J42" s="196">
        <f t="shared" si="2"/>
        <v>7.4706666666666681</v>
      </c>
      <c r="K42" s="196">
        <f t="shared" si="19"/>
        <v>7.4706666666666681</v>
      </c>
      <c r="L42" s="196">
        <f t="shared" si="20"/>
        <v>7.4706666666666681</v>
      </c>
      <c r="M42" s="182">
        <f t="shared" si="5"/>
        <v>21</v>
      </c>
      <c r="N42" s="196">
        <f t="shared" si="13"/>
        <v>17.529333333333334</v>
      </c>
      <c r="O42" s="197">
        <f t="shared" si="25"/>
        <v>17.529333333333334</v>
      </c>
      <c r="P42" s="4">
        <f t="shared" si="7"/>
        <v>1</v>
      </c>
      <c r="Q42" s="198">
        <f t="shared" si="22"/>
        <v>0.79584313725490186</v>
      </c>
      <c r="R42" s="199">
        <f t="shared" si="23"/>
        <v>0.79584313725490186</v>
      </c>
      <c r="S42" s="198">
        <f t="shared" si="10"/>
        <v>0.79584313725490186</v>
      </c>
      <c r="T42" s="200">
        <f t="shared" si="14"/>
        <v>0.79584313725490186</v>
      </c>
      <c r="U42" s="108">
        <f t="shared" si="24"/>
        <v>335.04166666666686</v>
      </c>
      <c r="V42" s="108">
        <f t="shared" si="16"/>
        <v>266.64061111111124</v>
      </c>
      <c r="W42" s="203">
        <f t="shared" si="17"/>
        <v>266.64061111111118</v>
      </c>
      <c r="Y42" s="5">
        <f t="shared" si="11"/>
        <v>388.28380800000019</v>
      </c>
      <c r="Z42" s="5">
        <f t="shared" si="12"/>
        <v>309.01300390400007</v>
      </c>
    </row>
    <row r="43" spans="2:26" x14ac:dyDescent="0.15">
      <c r="B43" s="12"/>
      <c r="D43" s="24"/>
      <c r="F43" s="194">
        <v>5</v>
      </c>
      <c r="G43" s="561">
        <f>Säädata!Z49</f>
        <v>0.44121004566210048</v>
      </c>
      <c r="H43" s="194">
        <f t="shared" si="18"/>
        <v>21</v>
      </c>
      <c r="I43" s="195">
        <f t="shared" si="21"/>
        <v>8.2665098039215703</v>
      </c>
      <c r="J43" s="196">
        <f t="shared" si="2"/>
        <v>8.2665098039215703</v>
      </c>
      <c r="K43" s="196">
        <f t="shared" si="19"/>
        <v>8.2665098039215703</v>
      </c>
      <c r="L43" s="196">
        <f t="shared" si="20"/>
        <v>8.2665098039215703</v>
      </c>
      <c r="M43" s="182">
        <f t="shared" si="5"/>
        <v>21</v>
      </c>
      <c r="N43" s="196">
        <f t="shared" si="13"/>
        <v>17.733490196078428</v>
      </c>
      <c r="O43" s="197">
        <f t="shared" si="25"/>
        <v>17.733490196078428</v>
      </c>
      <c r="P43" s="4">
        <f t="shared" si="7"/>
        <v>1</v>
      </c>
      <c r="Q43" s="198">
        <f t="shared" si="22"/>
        <v>0.79584313725490186</v>
      </c>
      <c r="R43" s="199">
        <f t="shared" si="23"/>
        <v>0.79584313725490186</v>
      </c>
      <c r="S43" s="198">
        <f t="shared" si="10"/>
        <v>0.79584313725490186</v>
      </c>
      <c r="T43" s="200">
        <f t="shared" si="14"/>
        <v>0.79584313725490186</v>
      </c>
      <c r="U43" s="108">
        <f t="shared" si="24"/>
        <v>226.00000000000011</v>
      </c>
      <c r="V43" s="108">
        <f t="shared" si="16"/>
        <v>179.8605490196079</v>
      </c>
      <c r="W43" s="203">
        <f t="shared" si="17"/>
        <v>179.86054901960793</v>
      </c>
      <c r="Y43" s="5">
        <f t="shared" si="11"/>
        <v>261.91411200000016</v>
      </c>
      <c r="Z43" s="5">
        <f t="shared" si="12"/>
        <v>208.44254858541183</v>
      </c>
    </row>
    <row r="44" spans="2:26" x14ac:dyDescent="0.15">
      <c r="B44" s="12" t="s">
        <v>1294</v>
      </c>
      <c r="D44" s="24"/>
      <c r="F44" s="194">
        <v>6</v>
      </c>
      <c r="G44" s="561">
        <f>Säädata!Z50</f>
        <v>0.46187214611872146</v>
      </c>
      <c r="H44" s="194">
        <f t="shared" si="18"/>
        <v>21</v>
      </c>
      <c r="I44" s="195">
        <f t="shared" si="21"/>
        <v>9.0623529411764725</v>
      </c>
      <c r="J44" s="196">
        <f t="shared" si="2"/>
        <v>9.0623529411764725</v>
      </c>
      <c r="K44" s="196">
        <f t="shared" si="19"/>
        <v>9.0623529411764725</v>
      </c>
      <c r="L44" s="196">
        <f t="shared" si="20"/>
        <v>9.0623529411764725</v>
      </c>
      <c r="M44" s="182">
        <f t="shared" si="5"/>
        <v>21</v>
      </c>
      <c r="N44" s="196">
        <f t="shared" si="13"/>
        <v>17.937647058823529</v>
      </c>
      <c r="O44" s="197">
        <f t="shared" si="25"/>
        <v>17.937647058823529</v>
      </c>
      <c r="P44" s="4">
        <f t="shared" si="7"/>
        <v>1</v>
      </c>
      <c r="Q44" s="198">
        <f t="shared" si="22"/>
        <v>0.79584313725490186</v>
      </c>
      <c r="R44" s="199">
        <f t="shared" si="23"/>
        <v>0.79584313725490186</v>
      </c>
      <c r="S44" s="198">
        <f t="shared" si="10"/>
        <v>0.79584313725490186</v>
      </c>
      <c r="T44" s="200">
        <f t="shared" si="14"/>
        <v>0.79584313725490186</v>
      </c>
      <c r="U44" s="108">
        <f t="shared" si="24"/>
        <v>113.12499999999986</v>
      </c>
      <c r="V44" s="108">
        <f t="shared" si="16"/>
        <v>90.029754901960672</v>
      </c>
      <c r="W44" s="203">
        <f t="shared" si="17"/>
        <v>90.029754901960658</v>
      </c>
      <c r="Y44" s="5">
        <f t="shared" si="11"/>
        <v>131.10191999999984</v>
      </c>
      <c r="Z44" s="5">
        <f t="shared" si="12"/>
        <v>104.33656331294101</v>
      </c>
    </row>
    <row r="45" spans="2:26" x14ac:dyDescent="0.15">
      <c r="B45" s="12" t="b">
        <f>IF(AND(Kirjasto!B4=1,C34=1),TRUE,FALSE)</f>
        <v>0</v>
      </c>
      <c r="D45" s="24"/>
      <c r="F45" s="194">
        <v>7</v>
      </c>
      <c r="G45" s="561">
        <f>Säädata!Z51</f>
        <v>0.5044520547945206</v>
      </c>
      <c r="H45" s="194">
        <f t="shared" si="18"/>
        <v>21</v>
      </c>
      <c r="I45" s="195">
        <f t="shared" si="21"/>
        <v>9.8581960784313747</v>
      </c>
      <c r="J45" s="196">
        <f t="shared" si="2"/>
        <v>9.8581960784313747</v>
      </c>
      <c r="K45" s="196">
        <f t="shared" si="19"/>
        <v>9.8581960784313747</v>
      </c>
      <c r="L45" s="196">
        <f t="shared" si="20"/>
        <v>9.8581960784313747</v>
      </c>
      <c r="M45" s="182">
        <f t="shared" si="5"/>
        <v>21</v>
      </c>
      <c r="N45" s="196">
        <f t="shared" si="13"/>
        <v>18.141803921568624</v>
      </c>
      <c r="O45" s="197">
        <f t="shared" si="25"/>
        <v>18.141803921568624</v>
      </c>
      <c r="P45" s="4">
        <f t="shared" si="7"/>
        <v>1</v>
      </c>
      <c r="Q45" s="198">
        <f t="shared" si="22"/>
        <v>0.79584313725490186</v>
      </c>
      <c r="R45" s="199">
        <f t="shared" si="23"/>
        <v>0.79584313725490186</v>
      </c>
      <c r="S45" s="198">
        <f t="shared" si="10"/>
        <v>0.79584313725490186</v>
      </c>
      <c r="T45" s="200">
        <f t="shared" si="14"/>
        <v>0.79584313725490186</v>
      </c>
      <c r="U45" s="108">
        <f t="shared" si="24"/>
        <v>217.5833333333336</v>
      </c>
      <c r="V45" s="108">
        <f t="shared" si="16"/>
        <v>173.16220261437923</v>
      </c>
      <c r="W45" s="203">
        <f t="shared" si="17"/>
        <v>173.16220261437925</v>
      </c>
      <c r="Y45" s="5">
        <f t="shared" si="11"/>
        <v>252.1599360000003</v>
      </c>
      <c r="Z45" s="5">
        <f t="shared" si="12"/>
        <v>200.67975455623545</v>
      </c>
    </row>
    <row r="46" spans="2:26" x14ac:dyDescent="0.15">
      <c r="B46" s="943" t="s">
        <v>1295</v>
      </c>
      <c r="C46" s="944"/>
      <c r="D46" s="945"/>
      <c r="F46" s="194">
        <v>8</v>
      </c>
      <c r="G46" s="561">
        <f>Säädata!Z52</f>
        <v>0.54589041095890412</v>
      </c>
      <c r="H46" s="194">
        <f t="shared" si="18"/>
        <v>21</v>
      </c>
      <c r="I46" s="195">
        <f t="shared" si="21"/>
        <v>10.654039215686275</v>
      </c>
      <c r="J46" s="196">
        <f t="shared" si="2"/>
        <v>10.654039215686275</v>
      </c>
      <c r="K46" s="196">
        <f t="shared" si="19"/>
        <v>10.654039215686275</v>
      </c>
      <c r="L46" s="196">
        <f t="shared" si="20"/>
        <v>10.654039215686275</v>
      </c>
      <c r="M46" s="182">
        <f t="shared" si="5"/>
        <v>21</v>
      </c>
      <c r="N46" s="196">
        <f t="shared" si="13"/>
        <v>18.345960784313725</v>
      </c>
      <c r="O46" s="197">
        <f t="shared" si="25"/>
        <v>18.345960784313725</v>
      </c>
      <c r="P46" s="4">
        <f t="shared" si="7"/>
        <v>1</v>
      </c>
      <c r="Q46" s="198">
        <f t="shared" si="22"/>
        <v>0.79584313725490197</v>
      </c>
      <c r="R46" s="199">
        <f t="shared" si="23"/>
        <v>0.79584313725490197</v>
      </c>
      <c r="S46" s="198">
        <f t="shared" si="10"/>
        <v>0.79584313725490186</v>
      </c>
      <c r="T46" s="200">
        <f t="shared" si="14"/>
        <v>0.79584313725490186</v>
      </c>
      <c r="U46" s="108">
        <f t="shared" si="24"/>
        <v>196.62499999999977</v>
      </c>
      <c r="V46" s="108">
        <f t="shared" si="16"/>
        <v>156.48265686274493</v>
      </c>
      <c r="W46" s="203">
        <f t="shared" si="17"/>
        <v>156.48265686274493</v>
      </c>
      <c r="Y46" s="5">
        <f t="shared" si="11"/>
        <v>227.87107199999977</v>
      </c>
      <c r="Z46" s="5">
        <f t="shared" si="12"/>
        <v>181.34962883011744</v>
      </c>
    </row>
    <row r="47" spans="2:26" x14ac:dyDescent="0.15">
      <c r="B47" s="946"/>
      <c r="C47" s="856"/>
      <c r="D47" s="947"/>
      <c r="F47" s="194">
        <v>9</v>
      </c>
      <c r="G47" s="561">
        <f>Säädata!Z53</f>
        <v>0.58036529680365301</v>
      </c>
      <c r="H47" s="194">
        <f t="shared" si="18"/>
        <v>21</v>
      </c>
      <c r="I47" s="195">
        <f t="shared" si="21"/>
        <v>11.449882352941177</v>
      </c>
      <c r="J47" s="196">
        <f t="shared" si="2"/>
        <v>11.449882352941177</v>
      </c>
      <c r="K47" s="196">
        <f t="shared" si="19"/>
        <v>11.449882352941177</v>
      </c>
      <c r="L47" s="196">
        <f t="shared" si="20"/>
        <v>11.449882352941177</v>
      </c>
      <c r="M47" s="182">
        <f t="shared" si="5"/>
        <v>21</v>
      </c>
      <c r="N47" s="196">
        <f t="shared" si="13"/>
        <v>18.550117647058823</v>
      </c>
      <c r="O47" s="197">
        <f t="shared" si="25"/>
        <v>18.550117647058823</v>
      </c>
      <c r="P47" s="4">
        <f t="shared" si="7"/>
        <v>1</v>
      </c>
      <c r="Q47" s="198">
        <f t="shared" si="22"/>
        <v>0.79584313725490186</v>
      </c>
      <c r="R47" s="199">
        <f t="shared" si="23"/>
        <v>0.79584313725490186</v>
      </c>
      <c r="S47" s="198">
        <f t="shared" si="10"/>
        <v>0.79584313725490186</v>
      </c>
      <c r="T47" s="200">
        <f t="shared" si="14"/>
        <v>0.79584313725490186</v>
      </c>
      <c r="U47" s="108">
        <f t="shared" si="24"/>
        <v>151.00000000000014</v>
      </c>
      <c r="V47" s="108">
        <f t="shared" si="16"/>
        <v>120.1723137254903</v>
      </c>
      <c r="W47" s="203">
        <f t="shared" si="17"/>
        <v>120.1723137254903</v>
      </c>
      <c r="Y47" s="5">
        <f t="shared" si="11"/>
        <v>174.9957120000002</v>
      </c>
      <c r="Z47" s="5">
        <f t="shared" si="12"/>
        <v>139.26913644423541</v>
      </c>
    </row>
    <row r="48" spans="2:26" x14ac:dyDescent="0.15">
      <c r="B48" s="946"/>
      <c r="C48" s="856"/>
      <c r="D48" s="947"/>
      <c r="F48" s="194">
        <v>10</v>
      </c>
      <c r="G48" s="561">
        <f>Säädata!Z54</f>
        <v>0.62180365296803652</v>
      </c>
      <c r="H48" s="194">
        <f t="shared" si="18"/>
        <v>21</v>
      </c>
      <c r="I48" s="195">
        <f t="shared" si="21"/>
        <v>12.245725490196079</v>
      </c>
      <c r="J48" s="196">
        <f t="shared" si="2"/>
        <v>12.245725490196079</v>
      </c>
      <c r="K48" s="196">
        <f t="shared" si="19"/>
        <v>12.245725490196079</v>
      </c>
      <c r="L48" s="196">
        <f t="shared" si="20"/>
        <v>12.245725490196079</v>
      </c>
      <c r="M48" s="182">
        <f t="shared" si="5"/>
        <v>21</v>
      </c>
      <c r="N48" s="196">
        <f t="shared" si="13"/>
        <v>18.754274509803921</v>
      </c>
      <c r="O48" s="197">
        <f t="shared" si="25"/>
        <v>18.754274509803921</v>
      </c>
      <c r="P48" s="4">
        <f t="shared" si="7"/>
        <v>1</v>
      </c>
      <c r="Q48" s="198">
        <f t="shared" si="22"/>
        <v>0.79584313725490186</v>
      </c>
      <c r="R48" s="199">
        <f t="shared" si="23"/>
        <v>0.79584313725490186</v>
      </c>
      <c r="S48" s="198">
        <f t="shared" si="10"/>
        <v>0.79584313725490186</v>
      </c>
      <c r="T48" s="200">
        <f t="shared" si="14"/>
        <v>0.79584313725490186</v>
      </c>
      <c r="U48" s="108">
        <f t="shared" si="24"/>
        <v>166.37499999999983</v>
      </c>
      <c r="V48" s="108">
        <f t="shared" si="16"/>
        <v>132.40840196078415</v>
      </c>
      <c r="W48" s="203">
        <f t="shared" si="17"/>
        <v>132.40840196078415</v>
      </c>
      <c r="Y48" s="5">
        <f t="shared" si="11"/>
        <v>192.81398399999978</v>
      </c>
      <c r="Z48" s="5">
        <f t="shared" si="12"/>
        <v>153.44968593317628</v>
      </c>
    </row>
    <row r="49" spans="2:26" x14ac:dyDescent="0.15">
      <c r="B49" s="946"/>
      <c r="C49" s="856"/>
      <c r="D49" s="947"/>
      <c r="F49" s="194">
        <v>11</v>
      </c>
      <c r="G49" s="561">
        <f>Säädata!Z55</f>
        <v>0.64634703196347032</v>
      </c>
      <c r="H49" s="194">
        <f t="shared" si="18"/>
        <v>21</v>
      </c>
      <c r="I49" s="195">
        <f t="shared" si="21"/>
        <v>13.041568627450982</v>
      </c>
      <c r="J49" s="196">
        <f t="shared" si="2"/>
        <v>13.041568627450982</v>
      </c>
      <c r="K49" s="196">
        <f t="shared" si="19"/>
        <v>13.041568627450982</v>
      </c>
      <c r="L49" s="196">
        <f t="shared" si="20"/>
        <v>13.041568627450982</v>
      </c>
      <c r="M49" s="182">
        <f t="shared" si="5"/>
        <v>21</v>
      </c>
      <c r="N49" s="196">
        <f t="shared" si="13"/>
        <v>18.958431372549018</v>
      </c>
      <c r="O49" s="197">
        <f t="shared" si="25"/>
        <v>18.958431372549018</v>
      </c>
      <c r="P49" s="4">
        <f t="shared" si="7"/>
        <v>1</v>
      </c>
      <c r="Q49" s="198">
        <f t="shared" si="22"/>
        <v>0.79584313725490186</v>
      </c>
      <c r="R49" s="199">
        <f t="shared" si="23"/>
        <v>0.79584313725490186</v>
      </c>
      <c r="S49" s="198">
        <f t="shared" si="10"/>
        <v>0.79584313725490186</v>
      </c>
      <c r="T49" s="200">
        <f t="shared" si="14"/>
        <v>0.79584313725490186</v>
      </c>
      <c r="U49" s="108">
        <f t="shared" si="24"/>
        <v>89.583333333333357</v>
      </c>
      <c r="V49" s="108">
        <f t="shared" si="16"/>
        <v>71.294281045751632</v>
      </c>
      <c r="W49" s="203">
        <f t="shared" si="17"/>
        <v>71.294281045751632</v>
      </c>
      <c r="Y49" s="5">
        <f t="shared" si="11"/>
        <v>103.81920000000004</v>
      </c>
      <c r="Z49" s="5">
        <f t="shared" si="12"/>
        <v>82.623797835294113</v>
      </c>
    </row>
    <row r="50" spans="2:26" x14ac:dyDescent="0.15">
      <c r="B50" s="946"/>
      <c r="C50" s="856"/>
      <c r="D50" s="947"/>
      <c r="F50" s="214">
        <v>12</v>
      </c>
      <c r="G50" s="561">
        <f>Säädata!Z56</f>
        <v>0.69668949771689492</v>
      </c>
      <c r="H50" s="214">
        <f t="shared" si="18"/>
        <v>21</v>
      </c>
      <c r="I50" s="215">
        <f t="shared" si="21"/>
        <v>13.837411764705884</v>
      </c>
      <c r="J50" s="216">
        <f t="shared" si="2"/>
        <v>13.837411764705884</v>
      </c>
      <c r="K50" s="216">
        <f t="shared" si="19"/>
        <v>13.837411764705884</v>
      </c>
      <c r="L50" s="216">
        <f t="shared" si="20"/>
        <v>13.837411764705884</v>
      </c>
      <c r="M50" s="217">
        <f t="shared" si="5"/>
        <v>21</v>
      </c>
      <c r="N50" s="216">
        <f t="shared" si="13"/>
        <v>19.162588235294116</v>
      </c>
      <c r="O50" s="218">
        <f t="shared" si="25"/>
        <v>19.162588235294116</v>
      </c>
      <c r="P50" s="50">
        <f t="shared" si="7"/>
        <v>1</v>
      </c>
      <c r="Q50" s="219">
        <f t="shared" si="22"/>
        <v>0.79584313725490174</v>
      </c>
      <c r="R50" s="220">
        <f>(M50-J50)/(M50-F50)</f>
        <v>0.79584313725490174</v>
      </c>
      <c r="S50" s="219">
        <f t="shared" si="10"/>
        <v>0.79584313725490186</v>
      </c>
      <c r="T50" s="221">
        <f t="shared" si="14"/>
        <v>0.79584313725490186</v>
      </c>
      <c r="U50" s="222">
        <f t="shared" si="24"/>
        <v>165.37499999999983</v>
      </c>
      <c r="V50" s="222">
        <f t="shared" si="16"/>
        <v>131.61255882352924</v>
      </c>
      <c r="W50" s="223">
        <f t="shared" si="17"/>
        <v>131.61255882352924</v>
      </c>
      <c r="Y50" s="5">
        <f>$C$7/1000*1.2*1006*(M50-F50)*8760*(G50-G49)/1000</f>
        <v>191.65507199999982</v>
      </c>
      <c r="Z50" s="5">
        <f>1.2*1006*$C$7/1000*(M50-I50)/1000*(G50-G49)*8760</f>
        <v>152.5273737712939</v>
      </c>
    </row>
    <row r="51" spans="2:26" x14ac:dyDescent="0.15">
      <c r="B51" s="948"/>
      <c r="C51" s="949"/>
      <c r="D51" s="950"/>
      <c r="Q51" s="224"/>
      <c r="R51" s="224"/>
      <c r="S51" s="224"/>
      <c r="Y51" s="648">
        <f>SUM(Y17:Y50)</f>
        <v>5111.6711039999991</v>
      </c>
      <c r="Z51" s="648">
        <f>SUM(Z17:Z50)</f>
        <v>4068.0883680225875</v>
      </c>
    </row>
    <row r="52" spans="2:26" x14ac:dyDescent="0.15">
      <c r="B52" t="str">
        <f>IF(B45,B46,"")</f>
        <v/>
      </c>
      <c r="F52" s="603" t="s">
        <v>1289</v>
      </c>
      <c r="Y52" s="104" t="s">
        <v>237</v>
      </c>
      <c r="Z52" s="104" t="s">
        <v>237</v>
      </c>
    </row>
    <row r="54" spans="2:26" x14ac:dyDescent="0.15">
      <c r="F54" s="196">
        <f>Tulostus!T38</f>
        <v>0</v>
      </c>
      <c r="K54" s="225"/>
      <c r="M54" s="226"/>
      <c r="N54" s="195">
        <f>IF(F54&lt;12,_xlfn.FORECAST.LINEAR(F54,L56:L57,K56:K57),N50)</f>
        <v>16.712705882352942</v>
      </c>
      <c r="Y54" s="227"/>
      <c r="Z54" s="227">
        <f>Z51/Y51</f>
        <v>0.79584313725490197</v>
      </c>
    </row>
    <row r="56" spans="2:26" x14ac:dyDescent="0.15">
      <c r="J56" s="182">
        <f>MATCH(F54,F6:F50,1)</f>
        <v>33</v>
      </c>
      <c r="K56" s="196" cm="1">
        <f t="array" ref="K56">INDEX(F6:F50,J56)</f>
        <v>0</v>
      </c>
      <c r="L56" s="195" cm="1">
        <f t="array" ref="L56">INDEX(N6:N50,J56)</f>
        <v>16.712705882352939</v>
      </c>
    </row>
    <row r="57" spans="2:26" x14ac:dyDescent="0.15">
      <c r="J57" s="748">
        <f>MATCH(F54,F6:F50,1)+1</f>
        <v>34</v>
      </c>
      <c r="K57" s="196" cm="1">
        <f t="array" ref="K57">INDEX(F6:F50,J57)</f>
        <v>1</v>
      </c>
      <c r="L57" s="195" cm="1">
        <f t="array" ref="L57">INDEX(N6:N50,J57)</f>
        <v>16.916862745098037</v>
      </c>
    </row>
  </sheetData>
  <mergeCells count="1">
    <mergeCell ref="B46:D51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Drop Down 1">
              <controlPr defaultSize="0" autoLine="0" autoPict="0">
                <anchor moveWithCells="1">
                  <from>
                    <xdr:col>3</xdr:col>
                    <xdr:colOff>0</xdr:colOff>
                    <xdr:row>12</xdr:row>
                    <xdr:rowOff>0</xdr:rowOff>
                  </from>
                  <to>
                    <xdr:col>4</xdr:col>
                    <xdr:colOff>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Drop Down 3">
              <controlPr defaultSize="0" autoLine="0" autoPict="0">
                <anchor moveWithCells="1">
                  <from>
                    <xdr:col>2</xdr:col>
                    <xdr:colOff>660400</xdr:colOff>
                    <xdr:row>13</xdr:row>
                    <xdr:rowOff>0</xdr:rowOff>
                  </from>
                  <to>
                    <xdr:col>3</xdr:col>
                    <xdr:colOff>444500</xdr:colOff>
                    <xdr:row>14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4F5C-9D69-474C-BA68-60F6B60940A5}">
  <dimension ref="B1:K28"/>
  <sheetViews>
    <sheetView showGridLines="0" zoomScaleNormal="100" workbookViewId="0">
      <selection activeCell="K13" sqref="K13"/>
    </sheetView>
  </sheetViews>
  <sheetFormatPr baseColWidth="10" defaultColWidth="9.1640625" defaultRowHeight="15" x14ac:dyDescent="0.2"/>
  <cols>
    <col min="1" max="3" width="9.1640625" style="570"/>
    <col min="4" max="4" width="59.5" style="571" customWidth="1"/>
    <col min="5" max="11" width="59.5" style="570" customWidth="1"/>
    <col min="12" max="16384" width="9.1640625" style="570"/>
  </cols>
  <sheetData>
    <row r="1" spans="2:11" x14ac:dyDescent="0.2">
      <c r="B1" s="569" t="str" cm="1">
        <f t="array" aca="1" ref="B1" ca="1">MID(CELL("filename",$A$1),FIND("]",CELL("filename",$A$1))+1,255)</f>
        <v>Kirjasto (maat)</v>
      </c>
    </row>
    <row r="3" spans="2:11" ht="18" thickBot="1" x14ac:dyDescent="0.25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4" t="s">
        <v>1400</v>
      </c>
      <c r="I3" s="766" t="s">
        <v>1401</v>
      </c>
      <c r="J3" s="768" t="s">
        <v>1402</v>
      </c>
      <c r="K3" s="770" t="s">
        <v>1403</v>
      </c>
    </row>
    <row r="4" spans="2:11" ht="16" x14ac:dyDescent="0.2">
      <c r="B4" s="504">
        <f>Kirjasto!$B$4</f>
        <v>2</v>
      </c>
      <c r="C4" s="569">
        <v>1</v>
      </c>
      <c r="D4" s="576" t="s">
        <v>988</v>
      </c>
      <c r="E4" s="577" t="s">
        <v>989</v>
      </c>
      <c r="F4" s="578" t="s">
        <v>989</v>
      </c>
      <c r="G4" s="579" t="s">
        <v>990</v>
      </c>
      <c r="H4" s="772"/>
      <c r="I4" s="775"/>
      <c r="J4" s="778"/>
      <c r="K4" s="781"/>
    </row>
    <row r="5" spans="2:11" ht="16" x14ac:dyDescent="0.2">
      <c r="C5" s="569">
        <v>2</v>
      </c>
      <c r="D5" s="580" t="s">
        <v>991</v>
      </c>
      <c r="E5" s="581" t="s">
        <v>992</v>
      </c>
      <c r="F5" s="582" t="s">
        <v>993</v>
      </c>
      <c r="G5" s="583" t="s">
        <v>993</v>
      </c>
      <c r="H5" s="773"/>
      <c r="I5" s="776"/>
      <c r="J5" s="779"/>
      <c r="K5" s="782"/>
    </row>
    <row r="6" spans="2:11" ht="16" x14ac:dyDescent="0.2">
      <c r="C6" s="569">
        <v>3</v>
      </c>
      <c r="D6" s="580" t="s">
        <v>994</v>
      </c>
      <c r="E6" s="581" t="s">
        <v>995</v>
      </c>
      <c r="F6" s="582" t="s">
        <v>996</v>
      </c>
      <c r="G6" s="583" t="s">
        <v>997</v>
      </c>
      <c r="H6" s="773"/>
      <c r="I6" s="776"/>
      <c r="J6" s="779"/>
      <c r="K6" s="782"/>
    </row>
    <row r="7" spans="2:11" ht="16" x14ac:dyDescent="0.2">
      <c r="C7" s="569">
        <v>4</v>
      </c>
      <c r="D7" s="580" t="s">
        <v>998</v>
      </c>
      <c r="E7" s="581" t="s">
        <v>999</v>
      </c>
      <c r="F7" s="582" t="s">
        <v>1000</v>
      </c>
      <c r="G7" s="583" t="s">
        <v>1001</v>
      </c>
      <c r="H7" s="773"/>
      <c r="I7" s="776"/>
      <c r="J7" s="779"/>
      <c r="K7" s="782"/>
    </row>
    <row r="8" spans="2:11" ht="16" x14ac:dyDescent="0.2">
      <c r="C8" s="569">
        <v>5</v>
      </c>
      <c r="D8" s="580" t="s">
        <v>1002</v>
      </c>
      <c r="E8" s="581" t="s">
        <v>1003</v>
      </c>
      <c r="F8" s="582" t="s">
        <v>1004</v>
      </c>
      <c r="G8" s="583" t="s">
        <v>1004</v>
      </c>
      <c r="H8" s="774"/>
      <c r="I8" s="777"/>
      <c r="J8" s="780"/>
      <c r="K8" s="783"/>
    </row>
    <row r="9" spans="2:11" ht="16" x14ac:dyDescent="0.2">
      <c r="C9" s="569">
        <v>6</v>
      </c>
      <c r="D9" s="580" t="s">
        <v>1005</v>
      </c>
      <c r="E9" s="581" t="s">
        <v>1006</v>
      </c>
      <c r="F9" s="582" t="s">
        <v>1007</v>
      </c>
      <c r="G9" s="583" t="s">
        <v>1008</v>
      </c>
      <c r="H9" s="774"/>
      <c r="I9" s="777"/>
      <c r="J9" s="780"/>
      <c r="K9" s="783"/>
    </row>
    <row r="10" spans="2:11" ht="16" x14ac:dyDescent="0.2">
      <c r="C10" s="569">
        <v>7</v>
      </c>
      <c r="D10" s="580" t="s">
        <v>1009</v>
      </c>
      <c r="E10" s="581" t="s">
        <v>1010</v>
      </c>
      <c r="F10" s="582" t="s">
        <v>1011</v>
      </c>
      <c r="G10" s="583" t="s">
        <v>1011</v>
      </c>
      <c r="H10" s="774"/>
      <c r="I10" s="777"/>
      <c r="J10" s="780"/>
      <c r="K10" s="783"/>
    </row>
    <row r="11" spans="2:11" ht="16" x14ac:dyDescent="0.2">
      <c r="C11" s="569">
        <v>8</v>
      </c>
      <c r="D11" s="670" t="s">
        <v>1205</v>
      </c>
      <c r="E11" s="671" t="s">
        <v>1205</v>
      </c>
      <c r="F11" s="582" t="s">
        <v>1206</v>
      </c>
      <c r="G11" s="672" t="s">
        <v>1206</v>
      </c>
      <c r="H11" s="774"/>
      <c r="I11" s="777"/>
      <c r="J11" s="780"/>
      <c r="K11" s="783"/>
    </row>
    <row r="12" spans="2:11" ht="16" x14ac:dyDescent="0.2">
      <c r="C12" s="569">
        <v>9</v>
      </c>
      <c r="D12" s="763" t="s">
        <v>1369</v>
      </c>
      <c r="E12" s="761" t="s">
        <v>1369</v>
      </c>
      <c r="F12" s="582" t="s">
        <v>1370</v>
      </c>
      <c r="G12" s="762" t="s">
        <v>1370</v>
      </c>
      <c r="H12" s="774"/>
      <c r="I12" s="777"/>
      <c r="J12" s="780"/>
      <c r="K12" s="783"/>
    </row>
    <row r="13" spans="2:11" ht="16" x14ac:dyDescent="0.2">
      <c r="C13" s="569">
        <v>10</v>
      </c>
      <c r="D13" s="763" t="s">
        <v>1371</v>
      </c>
      <c r="E13" s="761" t="s">
        <v>1372</v>
      </c>
      <c r="F13" s="582" t="s">
        <v>1373</v>
      </c>
      <c r="G13" s="762" t="s">
        <v>1373</v>
      </c>
      <c r="H13" s="774"/>
      <c r="I13" s="777"/>
      <c r="J13" s="780"/>
      <c r="K13" s="783"/>
    </row>
    <row r="14" spans="2:11" ht="16" x14ac:dyDescent="0.2">
      <c r="C14" s="569">
        <v>11</v>
      </c>
      <c r="D14" s="763" t="s">
        <v>1012</v>
      </c>
      <c r="E14" s="761" t="s">
        <v>1013</v>
      </c>
      <c r="F14" s="582" t="s">
        <v>1014</v>
      </c>
      <c r="G14" s="762" t="s">
        <v>1015</v>
      </c>
      <c r="H14" s="774"/>
      <c r="I14" s="777"/>
      <c r="J14" s="780"/>
      <c r="K14" s="783"/>
    </row>
    <row r="15" spans="2:11" x14ac:dyDescent="0.2">
      <c r="C15" s="569">
        <v>12</v>
      </c>
      <c r="D15" s="580"/>
      <c r="E15" s="581"/>
      <c r="F15" s="582"/>
      <c r="G15" s="583"/>
      <c r="H15" s="774"/>
      <c r="I15" s="777"/>
      <c r="J15" s="780"/>
      <c r="K15" s="783"/>
    </row>
    <row r="16" spans="2:11" x14ac:dyDescent="0.2">
      <c r="C16" s="569">
        <v>13</v>
      </c>
      <c r="D16" s="580"/>
      <c r="E16" s="581"/>
      <c r="F16" s="582"/>
      <c r="G16" s="583"/>
      <c r="H16" s="774"/>
      <c r="I16" s="777"/>
      <c r="J16" s="780"/>
      <c r="K16" s="783"/>
    </row>
    <row r="17" spans="3:11" x14ac:dyDescent="0.2">
      <c r="C17" s="569">
        <v>14</v>
      </c>
      <c r="D17" s="580"/>
      <c r="E17" s="581"/>
      <c r="F17" s="582"/>
      <c r="G17" s="583"/>
      <c r="H17" s="774"/>
      <c r="I17" s="777"/>
      <c r="J17" s="780"/>
      <c r="K17" s="783"/>
    </row>
    <row r="18" spans="3:11" x14ac:dyDescent="0.2">
      <c r="C18" s="569">
        <v>15</v>
      </c>
      <c r="D18" s="580"/>
      <c r="E18" s="581"/>
      <c r="F18" s="582"/>
      <c r="G18" s="583"/>
      <c r="H18" s="774"/>
      <c r="I18" s="777"/>
      <c r="J18" s="780"/>
      <c r="K18" s="783"/>
    </row>
    <row r="19" spans="3:11" x14ac:dyDescent="0.2">
      <c r="C19" s="569">
        <v>16</v>
      </c>
      <c r="D19" s="580"/>
      <c r="E19" s="581"/>
      <c r="F19" s="582"/>
      <c r="G19" s="583"/>
      <c r="H19" s="774"/>
      <c r="I19" s="777"/>
      <c r="J19" s="780"/>
      <c r="K19" s="783"/>
    </row>
    <row r="20" spans="3:11" x14ac:dyDescent="0.2">
      <c r="C20" s="569">
        <v>17</v>
      </c>
      <c r="D20" s="580"/>
      <c r="E20" s="581"/>
      <c r="F20" s="582"/>
      <c r="G20" s="583"/>
      <c r="H20" s="773"/>
      <c r="I20" s="776"/>
      <c r="J20" s="779"/>
      <c r="K20" s="782"/>
    </row>
    <row r="21" spans="3:11" x14ac:dyDescent="0.2">
      <c r="C21" s="569">
        <v>18</v>
      </c>
      <c r="D21" s="580"/>
      <c r="E21" s="581"/>
      <c r="F21" s="582"/>
      <c r="G21" s="583"/>
      <c r="H21" s="773"/>
      <c r="I21" s="776"/>
      <c r="J21" s="779"/>
      <c r="K21" s="782"/>
    </row>
    <row r="22" spans="3:11" x14ac:dyDescent="0.2">
      <c r="C22" s="569">
        <v>19</v>
      </c>
      <c r="D22" s="580"/>
      <c r="E22" s="581"/>
      <c r="F22" s="582"/>
      <c r="G22" s="583"/>
      <c r="H22" s="773"/>
      <c r="I22" s="776"/>
      <c r="J22" s="779"/>
      <c r="K22" s="782"/>
    </row>
    <row r="23" spans="3:11" x14ac:dyDescent="0.2">
      <c r="C23" s="569">
        <v>20</v>
      </c>
      <c r="D23" s="580"/>
      <c r="E23" s="581"/>
      <c r="F23" s="582"/>
      <c r="G23" s="583"/>
      <c r="H23" s="773"/>
      <c r="I23" s="776"/>
      <c r="J23" s="779"/>
      <c r="K23" s="782"/>
    </row>
    <row r="24" spans="3:11" x14ac:dyDescent="0.2">
      <c r="C24" s="569">
        <v>21</v>
      </c>
      <c r="D24" s="580"/>
      <c r="E24" s="581"/>
      <c r="F24" s="582"/>
      <c r="G24" s="583"/>
      <c r="H24" s="773"/>
      <c r="I24" s="776"/>
      <c r="J24" s="779"/>
      <c r="K24" s="782"/>
    </row>
    <row r="25" spans="3:11" x14ac:dyDescent="0.2">
      <c r="C25" s="569">
        <v>22</v>
      </c>
      <c r="D25" s="580"/>
      <c r="E25" s="581"/>
      <c r="F25" s="582"/>
      <c r="G25" s="583"/>
      <c r="H25" s="773"/>
      <c r="I25" s="776"/>
      <c r="J25" s="779"/>
      <c r="K25" s="782"/>
    </row>
    <row r="26" spans="3:11" x14ac:dyDescent="0.2">
      <c r="C26" s="569">
        <v>23</v>
      </c>
      <c r="D26" s="580"/>
      <c r="E26" s="581"/>
      <c r="F26" s="582"/>
      <c r="G26" s="583"/>
      <c r="H26" s="773"/>
      <c r="I26" s="776"/>
      <c r="J26" s="779"/>
      <c r="K26" s="782"/>
    </row>
    <row r="27" spans="3:11" x14ac:dyDescent="0.2">
      <c r="C27" s="569">
        <v>24</v>
      </c>
      <c r="D27" s="580"/>
      <c r="E27" s="581"/>
      <c r="F27" s="582"/>
      <c r="G27" s="583"/>
      <c r="H27" s="773"/>
      <c r="I27" s="776"/>
      <c r="J27" s="779"/>
      <c r="K27" s="782"/>
    </row>
    <row r="28" spans="3:11" ht="16" x14ac:dyDescent="0.2">
      <c r="C28" s="569">
        <v>25</v>
      </c>
      <c r="D28" s="580" t="s">
        <v>1012</v>
      </c>
      <c r="E28" s="581" t="s">
        <v>1013</v>
      </c>
      <c r="F28" s="582" t="s">
        <v>1014</v>
      </c>
      <c r="G28" s="583" t="s">
        <v>1015</v>
      </c>
      <c r="H28" s="773"/>
      <c r="I28" s="776"/>
      <c r="J28" s="779"/>
      <c r="K28" s="782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CA156-5957-4C42-B9C5-8E9E631D9977}">
  <sheetPr codeName="Taul2"/>
  <dimension ref="A2:DN64"/>
  <sheetViews>
    <sheetView topLeftCell="BH1" zoomScale="85" zoomScaleNormal="85" workbookViewId="0">
      <selection activeCell="D4" sqref="D4:I4"/>
    </sheetView>
  </sheetViews>
  <sheetFormatPr baseColWidth="10" defaultColWidth="8.83203125" defaultRowHeight="13" x14ac:dyDescent="0.15"/>
  <cols>
    <col min="3" max="3" width="11.6640625" customWidth="1"/>
    <col min="16" max="23" width="8" customWidth="1"/>
    <col min="24" max="24" width="10.5" customWidth="1"/>
    <col min="25" max="25" width="8" customWidth="1"/>
    <col min="26" max="28" width="7" customWidth="1"/>
    <col min="29" max="29" width="8.5" customWidth="1"/>
    <col min="30" max="55" width="7" customWidth="1"/>
    <col min="90" max="90" width="23.1640625" customWidth="1"/>
    <col min="91" max="91" width="10.5" bestFit="1" customWidth="1"/>
    <col min="96" max="96" width="11.33203125" customWidth="1"/>
    <col min="97" max="97" width="9.6640625" bestFit="1" customWidth="1"/>
    <col min="115" max="115" width="12.6640625" customWidth="1"/>
  </cols>
  <sheetData>
    <row r="2" spans="2:115" x14ac:dyDescent="0.15">
      <c r="BB2" t="s">
        <v>359</v>
      </c>
      <c r="BD2" t="b">
        <v>0</v>
      </c>
      <c r="BE2" t="s">
        <v>182</v>
      </c>
      <c r="DG2" s="2" t="s">
        <v>1282</v>
      </c>
    </row>
    <row r="3" spans="2:115" ht="14" x14ac:dyDescent="0.15">
      <c r="AC3" s="83" t="s">
        <v>1167</v>
      </c>
      <c r="BB3" t="s">
        <v>360</v>
      </c>
      <c r="BD3" t="b">
        <f>IF(OR($C$6=1,$C$6=2,$C$6=6),TRUE,FALSE)</f>
        <v>1</v>
      </c>
      <c r="BF3" t="s">
        <v>576</v>
      </c>
      <c r="DG3" s="10" t="s">
        <v>1175</v>
      </c>
      <c r="DH3" s="22"/>
      <c r="DI3" s="22"/>
      <c r="DJ3" s="22"/>
      <c r="DK3" s="21">
        <v>1</v>
      </c>
    </row>
    <row r="4" spans="2:115" x14ac:dyDescent="0.15">
      <c r="C4" t="s">
        <v>115</v>
      </c>
      <c r="W4" t="s">
        <v>610</v>
      </c>
      <c r="AC4" s="2" t="s">
        <v>1160</v>
      </c>
      <c r="AI4" s="2" t="s">
        <v>1166</v>
      </c>
      <c r="BB4" t="s">
        <v>21</v>
      </c>
      <c r="BD4" t="b">
        <f>IF(AND(BD2,BD3),TRUE,FALSE)</f>
        <v>0</v>
      </c>
      <c r="DG4" s="12" t="b">
        <f>AC7</f>
        <v>0</v>
      </c>
      <c r="DH4" t="str">
        <f>AD7</f>
        <v>Suomi</v>
      </c>
      <c r="DK4" s="24" cm="1">
        <f t="array" ref="DK4">INDEX(DK10:DK14,DK3)</f>
        <v>21</v>
      </c>
    </row>
    <row r="5" spans="2:115" ht="14" thickBot="1" x14ac:dyDescent="0.2">
      <c r="C5" t="s">
        <v>116</v>
      </c>
      <c r="W5" s="486">
        <v>1</v>
      </c>
      <c r="AC5" s="486">
        <f>Kirjasto!B4</f>
        <v>2</v>
      </c>
      <c r="AD5" t="s">
        <v>1159</v>
      </c>
      <c r="AI5" t="s">
        <v>1168</v>
      </c>
      <c r="AK5" t="str">
        <f>IF($AC$7,Kirjasto!M7,Kirjasto!M6)</f>
        <v>Air volume flow [dm³/s]</v>
      </c>
      <c r="DG5" s="12" t="b">
        <f>AC8</f>
        <v>1</v>
      </c>
      <c r="DH5" t="str">
        <f>AD8</f>
        <v>Muut kielet</v>
      </c>
      <c r="DK5" s="24"/>
    </row>
    <row r="6" spans="2:115" ht="14" thickBot="1" x14ac:dyDescent="0.2">
      <c r="C6" s="302">
        <f>W7</f>
        <v>1</v>
      </c>
      <c r="D6" t="s">
        <v>612</v>
      </c>
      <c r="W6" t="s">
        <v>613</v>
      </c>
      <c r="AI6" t="s">
        <v>1169</v>
      </c>
      <c r="AK6" t="str">
        <f>IF(AC7,Kirjasto!M6,Kirjasto!M7)</f>
        <v>Air volume flow [m³/h]</v>
      </c>
      <c r="BD6" t="s">
        <v>183</v>
      </c>
      <c r="DG6" s="12"/>
      <c r="DK6" s="24"/>
    </row>
    <row r="7" spans="2:115" x14ac:dyDescent="0.15">
      <c r="W7" s="486" cm="1">
        <f t="array" ref="W7">INDEX(Y12:Y17,W5)</f>
        <v>1</v>
      </c>
      <c r="AC7" s="486" t="b">
        <f>IF(AC5=1,TRUE,FALSE)</f>
        <v>0</v>
      </c>
      <c r="AD7" t="s">
        <v>988</v>
      </c>
      <c r="BD7" s="104">
        <v>63</v>
      </c>
      <c r="BE7" s="104">
        <v>125</v>
      </c>
      <c r="BF7" s="104">
        <v>250</v>
      </c>
      <c r="BG7" s="104">
        <v>500</v>
      </c>
      <c r="BH7" s="104">
        <v>1000</v>
      </c>
      <c r="BI7" s="104">
        <v>2000</v>
      </c>
      <c r="BJ7" s="104">
        <v>4000</v>
      </c>
      <c r="BK7" s="104">
        <v>8000</v>
      </c>
      <c r="DG7" s="12"/>
      <c r="DK7" s="24"/>
    </row>
    <row r="8" spans="2:115" ht="14" thickBot="1" x14ac:dyDescent="0.2">
      <c r="C8" s="2" t="s">
        <v>123</v>
      </c>
      <c r="AC8" s="486" t="b">
        <f>IF(AC5=1,FALSE,TRUE)</f>
        <v>1</v>
      </c>
      <c r="AD8" t="s">
        <v>1161</v>
      </c>
      <c r="AI8" s="2" t="s">
        <v>123</v>
      </c>
      <c r="BC8" t="s">
        <v>184</v>
      </c>
      <c r="BD8" s="4">
        <v>8</v>
      </c>
      <c r="BE8" s="4">
        <v>3</v>
      </c>
      <c r="BF8" s="4">
        <v>5</v>
      </c>
      <c r="BG8" s="4">
        <v>4</v>
      </c>
      <c r="BH8" s="4">
        <v>3</v>
      </c>
      <c r="BI8" s="4">
        <v>3</v>
      </c>
      <c r="BJ8" s="4">
        <v>5</v>
      </c>
      <c r="BK8" s="4">
        <v>3</v>
      </c>
      <c r="CW8" s="2" t="s">
        <v>1149</v>
      </c>
      <c r="DA8" s="2" t="s">
        <v>1170</v>
      </c>
      <c r="DG8" s="12" t="s">
        <v>1176</v>
      </c>
      <c r="DK8" s="24"/>
    </row>
    <row r="9" spans="2:115" ht="14" x14ac:dyDescent="0.15">
      <c r="C9" s="467" t="s">
        <v>7</v>
      </c>
      <c r="D9" s="361"/>
      <c r="E9" s="361"/>
      <c r="F9" s="361"/>
      <c r="G9" s="361"/>
      <c r="H9" s="361"/>
      <c r="I9" s="361"/>
      <c r="J9" s="362"/>
      <c r="N9" s="467" t="s">
        <v>8</v>
      </c>
      <c r="O9" s="361"/>
      <c r="P9" s="361"/>
      <c r="Q9" s="361"/>
      <c r="R9" s="361"/>
      <c r="S9" s="361"/>
      <c r="T9" s="361"/>
      <c r="U9" s="362"/>
      <c r="W9" t="s">
        <v>609</v>
      </c>
      <c r="AI9" s="467" t="s">
        <v>7</v>
      </c>
      <c r="AJ9" s="361"/>
      <c r="AK9" s="361"/>
      <c r="AL9" s="361"/>
      <c r="AM9" s="361"/>
      <c r="AN9" s="361"/>
      <c r="AO9" s="361"/>
      <c r="AP9" s="362"/>
      <c r="AR9" s="467" t="s">
        <v>8</v>
      </c>
      <c r="AS9" s="361"/>
      <c r="AT9" s="361"/>
      <c r="AU9" s="361"/>
      <c r="AV9" s="361"/>
      <c r="AW9" s="361"/>
      <c r="AX9" s="361"/>
      <c r="AY9" s="362"/>
      <c r="BB9" t="s">
        <v>185</v>
      </c>
      <c r="BC9" s="73">
        <v>-26.2</v>
      </c>
      <c r="BD9" s="73">
        <v>-16.100000000000001</v>
      </c>
      <c r="BE9" s="73">
        <v>-8.6</v>
      </c>
      <c r="BF9" s="73">
        <v>-3.2</v>
      </c>
      <c r="BG9" s="73">
        <v>0</v>
      </c>
      <c r="BH9" s="73">
        <v>1.2</v>
      </c>
      <c r="BI9" s="73">
        <v>1</v>
      </c>
      <c r="BJ9" s="73">
        <v>-1.1000000000000001</v>
      </c>
      <c r="CR9" s="83" t="s">
        <v>1110</v>
      </c>
      <c r="CW9" s="278" t="s">
        <v>311</v>
      </c>
      <c r="CX9" s="630" t="s">
        <v>13</v>
      </c>
      <c r="CY9" s="630" t="s">
        <v>14</v>
      </c>
      <c r="DA9" s="278" t="s">
        <v>311</v>
      </c>
      <c r="DB9" s="630" t="s">
        <v>13</v>
      </c>
      <c r="DC9" s="630" t="s">
        <v>14</v>
      </c>
      <c r="DG9" s="458" t="s">
        <v>988</v>
      </c>
      <c r="DH9" s="4" t="s">
        <v>1177</v>
      </c>
      <c r="DJ9" t="s">
        <v>21</v>
      </c>
      <c r="DK9" s="24" t="s">
        <v>1178</v>
      </c>
    </row>
    <row r="10" spans="2:115" x14ac:dyDescent="0.15">
      <c r="C10" s="304" t="str">
        <f>IF($C$6=1,'Laskenta tulopuoli 60'!AA4,IF($C$6=2,'Laskenta tulopuoli 100'!AA4,IF($C$6=3,'Laskenta tulopuoli 150'!AA4,IF($C$6=4,'Laskenta tulopuoli 250'!AA4,IF($C$6=5,'Laskenta tulopuoli 350'!AA4,'Laskenta tulopuoli 130'!AA4)))))</f>
        <v>10 V</v>
      </c>
      <c r="D10" s="24"/>
      <c r="E10" s="305" t="str">
        <f>IF($C$6=1,'Laskenta tulopuoli 60'!AC4,IF($C$6=2,'Laskenta tulopuoli 100'!AC4,IF($C$6=3,'Laskenta tulopuoli 150'!AC4,IF($C$6=4,'Laskenta tulopuoli 250'!AC4,IF($C$6=5,'Laskenta tulopuoli 350'!AC4,'Laskenta tulopuoli 130'!AC4)))))</f>
        <v>7,5 V</v>
      </c>
      <c r="F10" s="24"/>
      <c r="G10" s="305" t="str">
        <f>IF($C$6=1,'Laskenta tulopuoli 60'!AE4,IF($C$6=2,'Laskenta tulopuoli 100'!AE4,IF($C$6=3,'Laskenta tulopuoli 150'!AE4,IF($C$6=4,'Laskenta tulopuoli 250'!AE4,IF($C$6=5,'Laskenta tulopuoli 350'!AE4,'Laskenta tulopuoli 130'!AE4)))))</f>
        <v>5 V</v>
      </c>
      <c r="H10" s="24"/>
      <c r="I10" s="305" t="str">
        <f>IF($C$6=1,'Laskenta tulopuoli 60'!AG4,IF($C$6=2,'Laskenta tulopuoli 100'!AG4,IF($C$6=3,'Laskenta tulopuoli 150'!AG4,IF($C$6=4,'Laskenta tulopuoli 250'!AG4,IF($C$6=5,'Laskenta tulopuoli 350'!AG4,'Laskenta tulopuoli 130'!AG4)))))</f>
        <v>3 V</v>
      </c>
      <c r="J10" s="364"/>
      <c r="N10" s="304" t="str">
        <f>IF($C$6=1,'Laskenta poistopuoli 60'!AA4,IF($C$6=2,'Laskenta poistopuoli 100'!AA4,IF($C$6=3,'Laskenta poistopuoli 150'!AA4,IF($C$6=4,'Laskenta poistopuoli 250'!AA4,IF($C$6=5,'Laskenta poistopuoli 350'!AA4,'Laskenta poistopuoli 130'!AA4)))))</f>
        <v>10 V</v>
      </c>
      <c r="O10" s="24"/>
      <c r="P10" s="305" t="str">
        <f>IF($C$6=1,'Laskenta poistopuoli 60'!AC4,IF($C$6=2,'Laskenta poistopuoli 100'!AC4,IF($C$6=3,'Laskenta poistopuoli 150'!AC4,IF($C$6=4,'Laskenta poistopuoli 250'!AC4,IF($C$6=5,'Laskenta poistopuoli 350'!AC4,'Laskenta poistopuoli 130'!AC4)))))</f>
        <v>7,5 V</v>
      </c>
      <c r="Q10" s="24"/>
      <c r="R10" s="305" t="str">
        <f>IF($C$6=1,'Laskenta poistopuoli 60'!AE4,IF($C$6=2,'Laskenta poistopuoli 100'!AE4,IF($C$6=3,'Laskenta poistopuoli 150'!AE4,IF($C$6=4,'Laskenta poistopuoli 250'!AE4,IF($C$6=5,'Laskenta poistopuoli 350'!AE4,'Laskenta poistopuoli 130'!AE4)))))</f>
        <v>5 V</v>
      </c>
      <c r="S10" s="24"/>
      <c r="T10" s="305" t="str">
        <f>IF($C$6=1,'Laskenta poistopuoli 60'!AG4,IF($C$6=2,'Laskenta poistopuoli 100'!AG4,IF($C$6=3,'Laskenta poistopuoli 150'!AG4,IF($C$6=4,'Laskenta poistopuoli 250'!AG4,IF($C$6=5,'Laskenta poistopuoli 350'!AG4,'Laskenta poistopuoli 130'!AG4)))))</f>
        <v>3 V</v>
      </c>
      <c r="U10" s="364"/>
      <c r="AC10" t="str">
        <f>IF(AC7,"dm³/s","m³/h")</f>
        <v>m³/h</v>
      </c>
      <c r="AI10" s="304" t="str">
        <f>C10</f>
        <v>10 V</v>
      </c>
      <c r="AJ10" s="24"/>
      <c r="AK10" s="305" t="str">
        <f>E10</f>
        <v>7,5 V</v>
      </c>
      <c r="AL10" s="24"/>
      <c r="AM10" s="305" t="str">
        <f>G10</f>
        <v>5 V</v>
      </c>
      <c r="AN10" s="24"/>
      <c r="AO10" s="305" t="str">
        <f>I10</f>
        <v>3 V</v>
      </c>
      <c r="AP10" s="364"/>
      <c r="AR10" s="304" t="str">
        <f>N10</f>
        <v>10 V</v>
      </c>
      <c r="AS10" s="24"/>
      <c r="AT10" s="305" t="str">
        <f>P10</f>
        <v>7,5 V</v>
      </c>
      <c r="AU10" s="24"/>
      <c r="AV10" s="305" t="str">
        <f>R10</f>
        <v>5 V</v>
      </c>
      <c r="AW10" s="24"/>
      <c r="AX10" s="305" t="str">
        <f>T10</f>
        <v>3 V</v>
      </c>
      <c r="AY10" s="364"/>
      <c r="CR10" t="s">
        <v>1119</v>
      </c>
      <c r="CW10" s="95" t="s">
        <v>1152</v>
      </c>
      <c r="CX10" s="279">
        <v>1</v>
      </c>
      <c r="CY10" s="647">
        <f>CY11/(CX11^2)*CX10^2</f>
        <v>3.125E-2</v>
      </c>
      <c r="DA10" s="95" t="s">
        <v>1152</v>
      </c>
      <c r="DB10" s="279">
        <f>IF($AC$7,CX10,CX10*3.6)</f>
        <v>3.6</v>
      </c>
      <c r="DC10" s="279">
        <f>CY10</f>
        <v>3.125E-2</v>
      </c>
      <c r="DG10" s="458">
        <v>17</v>
      </c>
      <c r="DH10" s="4">
        <v>21</v>
      </c>
      <c r="DJ10" s="742">
        <f>IF($DG$4,DG10,DH10)</f>
        <v>21</v>
      </c>
      <c r="DK10" s="153">
        <f>DJ10</f>
        <v>21</v>
      </c>
    </row>
    <row r="11" spans="2:115" ht="14" thickBot="1" x14ac:dyDescent="0.2">
      <c r="B11" s="596" t="str">
        <f>IF($AC$7,"10V m³/h","10V dm³/s")</f>
        <v>10V dm³/s</v>
      </c>
      <c r="C11" s="306" t="str">
        <f>IF($C$6=1,'Laskenta tulopuoli 60'!AA5,IF($C$6=2,'Laskenta tulopuoli 100'!AA5,IF($C$6=3,'Laskenta tulopuoli 150'!AA5,'Laskenta tulopuoli 350'!AA5)))</f>
        <v>Pa</v>
      </c>
      <c r="D11" s="464" t="str">
        <f>IF($C$6=1,'Laskenta tulopuoli 60'!AB5,IF($C$6=2,'Laskenta tulopuoli 100'!AB5,'Laskenta tulopuoli 150'!AB5))</f>
        <v>l/s</v>
      </c>
      <c r="E11" s="307" t="str">
        <f>IF($C$6=1,'Laskenta tulopuoli 60'!AC5,IF($C$6=2,'Laskenta tulopuoli 100'!AC5,IF($C$6=3,'Laskenta tulopuoli 150'!AC5,'Laskenta tulopuoli 350'!AC5)))</f>
        <v>Pa</v>
      </c>
      <c r="F11" s="464" t="str">
        <f>IF($C$6=1,'Laskenta tulopuoli 60'!AD5,IF($C$6=2,'Laskenta tulopuoli 100'!AD5,'Laskenta tulopuoli 150'!AD5))</f>
        <v>l/s</v>
      </c>
      <c r="G11" s="307" t="str">
        <f>IF($C$6=1,'Laskenta tulopuoli 60'!AE5,IF($C$6=2,'Laskenta tulopuoli 100'!AE5,IF($C$6=3,'Laskenta tulopuoli 150'!AE5,'Laskenta tulopuoli 350'!AE5)))</f>
        <v>Pa</v>
      </c>
      <c r="H11" s="464" t="str">
        <f>IF($C$6=1,'Laskenta tulopuoli 60'!AF5,IF($C$6=2,'Laskenta tulopuoli 100'!AF5,'Laskenta tulopuoli 150'!AF5))</f>
        <v>l/s</v>
      </c>
      <c r="I11" s="307" t="str">
        <f>IF($C$6=1,'Laskenta tulopuoli 60'!AG5,IF($C$6=2,'Laskenta tulopuoli 100'!AG5,IF($C$6=3,'Laskenta tulopuoli 150'!AG5,'Laskenta tulopuoli 350'!AG5)))</f>
        <v>Pa</v>
      </c>
      <c r="J11" s="239" t="str">
        <f>IF($C$6=1,'Laskenta tulopuoli 60'!AH5,IF($C$6=2,'Laskenta tulopuoli 100'!AH5,'Laskenta tulopuoli 150'!AH5))</f>
        <v>l/s</v>
      </c>
      <c r="M11" s="596" t="str">
        <f>IF($AC$7,"10V m³/h","10V dm³/s")</f>
        <v>10V dm³/s</v>
      </c>
      <c r="N11" s="306" t="str">
        <f>IF($C$6=1,'Laskenta poistopuoli 60'!AA5,IF($C$6=2,'Laskenta poistopuoli 100'!AA5,IF($C$6=3,'Laskenta poistopuoli 150'!AA5,'Laskenta poistopuoli 350'!AA5)))</f>
        <v>Pa</v>
      </c>
      <c r="O11" s="464" t="str">
        <f>IF($C$6=1,'Laskenta poistopuoli 60'!AB5,IF($C$6=2,'Laskenta poistopuoli 100'!AB5,'Laskenta poistopuoli 150'!AB5))</f>
        <v>l/s</v>
      </c>
      <c r="P11" s="307" t="str">
        <f>IF($C$6=1,'Laskenta poistopuoli 60'!AC5,IF($C$6=2,'Laskenta poistopuoli 100'!AC5,IF($C$6=3,'Laskenta poistopuoli 150'!AC5,'Laskenta poistopuoli 350'!AC5)))</f>
        <v>Pa</v>
      </c>
      <c r="Q11" s="464" t="str">
        <f>IF($C$6=1,'Laskenta poistopuoli 60'!AD5,IF($C$6=2,'Laskenta poistopuoli 100'!AD5,'Laskenta poistopuoli 150'!AD5))</f>
        <v>l/s</v>
      </c>
      <c r="R11" s="307" t="str">
        <f>IF($C$6=1,'Laskenta poistopuoli 60'!AE5,IF($C$6=2,'Laskenta poistopuoli 100'!AE5,IF($C$6=3,'Laskenta poistopuoli 150'!AE5,'Laskenta poistopuoli 350'!AE5)))</f>
        <v>Pa</v>
      </c>
      <c r="S11" s="464" t="str">
        <f>IF($C$6=1,'Laskenta poistopuoli 60'!AF5,IF($C$6=2,'Laskenta poistopuoli 100'!AF5,'Laskenta poistopuoli 150'!AF5))</f>
        <v>l/s</v>
      </c>
      <c r="T11" s="307" t="str">
        <f>IF($C$6=1,'Laskenta poistopuoli 60'!AG5,IF($C$6=2,'Laskenta poistopuoli 100'!AG5,IF($C$6=3,'Laskenta poistopuoli 150'!AG5,'Laskenta poistopuoli 350'!AG5)))</f>
        <v>Pa</v>
      </c>
      <c r="U11" s="239" t="str">
        <f>IF($C$6=1,'Laskenta poistopuoli 60'!AH5,IF($C$6=2,'Laskenta poistopuoli 100'!AH5,'Laskenta poistopuoli 150'!AH5))</f>
        <v>l/s</v>
      </c>
      <c r="W11" t="s">
        <v>610</v>
      </c>
      <c r="Y11" t="s">
        <v>611</v>
      </c>
      <c r="AC11" t="str">
        <f>IF(AC8,"dm³/s","m³/h")</f>
        <v>dm³/s</v>
      </c>
      <c r="AI11" s="306" t="str">
        <f>C11</f>
        <v>Pa</v>
      </c>
      <c r="AJ11" s="464" t="str">
        <f>AC10</f>
        <v>m³/h</v>
      </c>
      <c r="AK11" s="307" t="str">
        <f t="shared" ref="AK11:AO18" si="0">E11</f>
        <v>Pa</v>
      </c>
      <c r="AL11" s="464" t="str">
        <f>AC10</f>
        <v>m³/h</v>
      </c>
      <c r="AM11" s="307" t="str">
        <f t="shared" si="0"/>
        <v>Pa</v>
      </c>
      <c r="AN11" s="464" t="str">
        <f>AC10</f>
        <v>m³/h</v>
      </c>
      <c r="AO11" s="307" t="str">
        <f t="shared" si="0"/>
        <v>Pa</v>
      </c>
      <c r="AP11" s="239" t="str">
        <f>AC10</f>
        <v>m³/h</v>
      </c>
      <c r="AR11" s="306" t="str">
        <f>N11</f>
        <v>Pa</v>
      </c>
      <c r="AS11" s="464" t="str">
        <f>$AC$10</f>
        <v>m³/h</v>
      </c>
      <c r="AT11" s="307" t="str">
        <f t="shared" ref="AT11:AX18" si="1">P11</f>
        <v>Pa</v>
      </c>
      <c r="AU11" s="464" t="str">
        <f>$AC$10</f>
        <v>m³/h</v>
      </c>
      <c r="AV11" s="307" t="str">
        <f t="shared" si="1"/>
        <v>Pa</v>
      </c>
      <c r="AW11" s="464" t="str">
        <f>$AC$10</f>
        <v>m³/h</v>
      </c>
      <c r="AX11" s="307" t="str">
        <f t="shared" si="1"/>
        <v>Pa</v>
      </c>
      <c r="AY11" s="239" t="str">
        <f>$AC$10</f>
        <v>m³/h</v>
      </c>
      <c r="CR11" s="620">
        <f>Tulostus!M40</f>
        <v>0.2</v>
      </c>
      <c r="CW11" s="95" t="s">
        <v>1150</v>
      </c>
      <c r="CX11" s="279">
        <f>Tulostus!E33</f>
        <v>40</v>
      </c>
      <c r="CY11" s="344">
        <f>Tulostus!E39</f>
        <v>50</v>
      </c>
      <c r="DA11" s="95" t="s">
        <v>1150</v>
      </c>
      <c r="DB11" s="279">
        <f t="shared" ref="DB11:DB12" si="2">IF($AC$7,CX11,CX11*3.6)</f>
        <v>144</v>
      </c>
      <c r="DC11" s="279">
        <f t="shared" ref="DC11:DC12" si="3">CY11</f>
        <v>50</v>
      </c>
      <c r="DG11" s="458">
        <v>18</v>
      </c>
      <c r="DH11" s="4">
        <v>22</v>
      </c>
      <c r="DJ11" s="742">
        <f t="shared" ref="DJ11:DJ14" si="4">IF($DG$4,DG11,DH11)</f>
        <v>22</v>
      </c>
      <c r="DK11" s="153">
        <f t="shared" ref="DK11:DK14" si="5">DJ11</f>
        <v>22</v>
      </c>
    </row>
    <row r="12" spans="2:115" x14ac:dyDescent="0.15">
      <c r="B12" s="597">
        <f>IF($AC$7,D12*3.6,D12)</f>
        <v>109.72216307386144</v>
      </c>
      <c r="C12" s="304">
        <f>IF($C$6=1,'Laskenta tulopuoli 60'!AA6,IF($C$6=2,'Laskenta tulopuoli 100'!AA6,IF($C$6=3,'Laskenta tulopuoli 150'!AA6,IF($C$6=4,'Laskenta tulopuoli 250'!AA6,IF($C$6=5,'Laskenta tulopuoli 350'!AA6,'Laskenta tulopuoli 130'!AA6)))))</f>
        <v>25</v>
      </c>
      <c r="D12" s="465">
        <f>IF($C$6=1,'Laskenta tulopuoli 60'!$AB$6,IF($C$6=2,'Laskenta tulopuoli 100'!$AB$6,IF($C$6=3,'Laskenta tulopuoli 150'!$AB$6,IF($C$6=4,'Laskenta tulopuoli 250'!$AB$6,IF($C$6=5,'Laskenta tulopuoli 350'!$AB$6,'Laskenta tulopuoli 130'!$AB$6)))))</f>
        <v>109.72216307386144</v>
      </c>
      <c r="E12" s="305">
        <f>IF($C$6=1,'Laskenta tulopuoli 60'!AC6,IF($C$6=2,'Laskenta tulopuoli 100'!AC6,IF($C$6=3,'Laskenta tulopuoli 150'!AC6,IF($C$6=4,'Laskenta tulopuoli 250'!AC6,IF($C$6=5,'Laskenta tulopuoli 350'!AC6,'Laskenta tulopuoli 130'!AC6)))))</f>
        <v>20</v>
      </c>
      <c r="F12" s="465">
        <f>IF($C$6=1,'Laskenta tulopuoli 60'!AD6,IF($C$6=2,'Laskenta tulopuoli 100'!AD6,IF($C$6=3,'Laskenta tulopuoli 150'!AD6,IF($C$6=4,'Laskenta tulopuoli 250'!AD6,IF($C$6=5,'Laskenta tulopuoli 350'!AD6,'Laskenta tulopuoli 130'!AD6)))))</f>
        <v>96.507952803164471</v>
      </c>
      <c r="G12" s="305">
        <f>IF($C$6=1,'Laskenta tulopuoli 60'!AE6,IF($C$6=2,'Laskenta tulopuoli 100'!AE6,IF($C$6=3,'Laskenta tulopuoli 150'!AE6,IF($C$6=4,'Laskenta tulopuoli 250'!AE6,IF($C$6=5,'Laskenta tulopuoli 350'!AE6,'Laskenta tulopuoli 130'!AE6)))))</f>
        <v>12</v>
      </c>
      <c r="H12" s="465">
        <f>IF($C$6=1,'Laskenta tulopuoli 60'!AF6,IF($C$6=2,'Laskenta tulopuoli 100'!AF6,IF($C$6=3,'Laskenta tulopuoli 150'!AF6,IF($C$6=4,'Laskenta tulopuoli 250'!AF6,IF($C$6=5,'Laskenta tulopuoli 350'!AF6,'Laskenta tulopuoli 130'!AF6)))))</f>
        <v>59.097603965649029</v>
      </c>
      <c r="I12" s="305">
        <f>IF($C$6=1,'Laskenta tulopuoli 60'!AG6,IF($C$6=2,'Laskenta tulopuoli 100'!AG6,IF($C$6=3,'Laskenta tulopuoli 150'!AG6,IF($C$6=4,'Laskenta tulopuoli 250'!AG6,IF($C$6=5,'Laskenta tulopuoli 350'!AG6,'Laskenta tulopuoli 130'!AG6)))))</f>
        <v>10</v>
      </c>
      <c r="J12" s="462">
        <f>IF($C$6=1,'Laskenta tulopuoli 60'!AH6,IF($C$6=2,'Laskenta tulopuoli 100'!AH6,IF($C$6=3,'Laskenta tulopuoli 150'!AH6,IF($C$6=4,'Laskenta tulopuoli 250'!AH6,IF($C$6=5,'Laskenta tulopuoli 350'!AH6,'Laskenta tulopuoli 130'!AH6)))))</f>
        <v>24.856065562361952</v>
      </c>
      <c r="M12" s="597">
        <f>IF($AC$7,O12*3.6,O12)</f>
        <v>116.53439357132875</v>
      </c>
      <c r="N12" s="304">
        <f>IF($C$6=1,'Laskenta poistopuoli 60'!AA6,IF($C$6=2,'Laskenta poistopuoli 100'!AA6,IF($C$6=3,'Laskenta poistopuoli 150'!AA6,IF($C$6=4,'Laskenta poistopuoli 250'!AA6,IF($C$6=5,'Laskenta poistopuoli 350'!AA6,'Laskenta poistopuoli 130'!AA6)))))</f>
        <v>25</v>
      </c>
      <c r="O12" s="465">
        <f>IF($C$6=1,'Laskenta poistopuoli 60'!AB6,IF($C$6=2,'Laskenta poistopuoli 100'!AB6,IF($C$6=3,'Laskenta poistopuoli 150'!AB6,IF($C$6=4,'Laskenta poistopuoli 250'!AB6,IF($C$6=5,'Laskenta poistopuoli 350'!AB6,'Laskenta poistopuoli 130'!AB6)))))</f>
        <v>116.53439357132875</v>
      </c>
      <c r="P12" s="305">
        <f>IF($C$6=1,'Laskenta poistopuoli 60'!AC6,IF($C$6=2,'Laskenta poistopuoli 100'!AC6,IF($C$6=3,'Laskenta poistopuoli 150'!AC6,IF($C$6=4,'Laskenta poistopuoli 250'!AC6,IF($C$6=5,'Laskenta poistopuoli 350'!AC6,'Laskenta poistopuoli 130'!AC6)))))</f>
        <v>24</v>
      </c>
      <c r="Q12" s="465">
        <f>IF($C$6=1,'Laskenta poistopuoli 60'!AD6,IF($C$6=2,'Laskenta poistopuoli 100'!AD6,IF($C$6=3,'Laskenta poistopuoli 150'!AD6,IF($C$6=4,'Laskenta poistopuoli 250'!AD6,IF($C$6=5,'Laskenta poistopuoli 350'!AD6,'Laskenta poistopuoli 130'!AD6)))))</f>
        <v>112.6869797142791</v>
      </c>
      <c r="R12" s="305">
        <f>IF($C$6=1,'Laskenta poistopuoli 60'!AE6,IF($C$6=2,'Laskenta poistopuoli 100'!AE6,IF($C$6=3,'Laskenta poistopuoli 150'!AE6,IF($C$6=4,'Laskenta poistopuoli 250'!AE6,IF($C$6=5,'Laskenta poistopuoli 350'!AE6,'Laskenta poistopuoli 130'!AE6)))))</f>
        <v>17</v>
      </c>
      <c r="S12" s="465">
        <f>IF($C$6=1,'Laskenta poistopuoli 60'!AF6,IF($C$6=2,'Laskenta poistopuoli 100'!AF6,IF($C$6=3,'Laskenta poistopuoli 150'!AF6,IF($C$6=4,'Laskenta poistopuoli 250'!AF6,IF($C$6=5,'Laskenta poistopuoli 350'!AF6,'Laskenta poistopuoli 130'!AF6)))))</f>
        <v>72.284594299567686</v>
      </c>
      <c r="T12" s="305">
        <f>IF($C$6=1,'Laskenta poistopuoli 60'!AG6,IF($C$6=2,'Laskenta poistopuoli 100'!AG6,IF($C$6=3,'Laskenta poistopuoli 150'!AG6,IF($C$6=4,'Laskenta poistopuoli 250'!AG6,IF($C$6=5,'Laskenta poistopuoli 350'!AG6,'Laskenta poistopuoli 130'!AG6)))))</f>
        <v>10</v>
      </c>
      <c r="U12" s="462">
        <f>IF($C$6=1,'Laskenta poistopuoli 60'!AH6,IF($C$6=2,'Laskenta poistopuoli 100'!AH6,IF($C$6=3,'Laskenta poistopuoli 150'!AH6,IF($C$6=4,'Laskenta poistopuoli 250'!AH6,IF($C$6=5,'Laskenta poistopuoli 350'!AH6,'Laskenta poistopuoli 130'!AH6)))))</f>
        <v>36.100405459595137</v>
      </c>
      <c r="W12" s="485">
        <v>1</v>
      </c>
      <c r="X12" s="485" t="s">
        <v>115</v>
      </c>
      <c r="Y12" s="485">
        <v>1</v>
      </c>
      <c r="AI12" s="304">
        <f>C12</f>
        <v>25</v>
      </c>
      <c r="AJ12" s="465">
        <f>IF($AC$7,D12,D12*3.6)</f>
        <v>394.99978706590116</v>
      </c>
      <c r="AK12" s="305">
        <f t="shared" si="0"/>
        <v>20</v>
      </c>
      <c r="AL12" s="465">
        <f>IF($AC$7,F12,F12*3.6)</f>
        <v>347.42863009139211</v>
      </c>
      <c r="AM12" s="305">
        <f t="shared" si="0"/>
        <v>12</v>
      </c>
      <c r="AN12" s="465">
        <f>IF($AC$7,H12,H12*3.6)</f>
        <v>212.75137427633652</v>
      </c>
      <c r="AO12" s="305">
        <f t="shared" si="0"/>
        <v>10</v>
      </c>
      <c r="AP12" s="462">
        <f>IF($AC$7,J12,J12*3.6)</f>
        <v>89.481836024503025</v>
      </c>
      <c r="AR12" s="304">
        <f>N12</f>
        <v>25</v>
      </c>
      <c r="AS12" s="465">
        <f>IF($AC$7,O12,O12*3.6)</f>
        <v>419.52381685678353</v>
      </c>
      <c r="AT12" s="305">
        <f t="shared" si="1"/>
        <v>24</v>
      </c>
      <c r="AU12" s="465">
        <f>IF($AC$7,Q12,Q12*3.6)</f>
        <v>405.67312697140477</v>
      </c>
      <c r="AV12" s="305">
        <f t="shared" si="1"/>
        <v>17</v>
      </c>
      <c r="AW12" s="465">
        <f>IF($AC$7,S12,S12*3.6)</f>
        <v>260.22453947844366</v>
      </c>
      <c r="AX12" s="305">
        <f t="shared" si="1"/>
        <v>10</v>
      </c>
      <c r="AY12" s="462">
        <f>IF($AC$7,U12,U12*3.6)</f>
        <v>129.96145965454249</v>
      </c>
      <c r="BC12" s="104">
        <v>63</v>
      </c>
      <c r="BD12" s="104">
        <v>125</v>
      </c>
      <c r="BE12" s="104">
        <v>250</v>
      </c>
      <c r="BF12" s="104">
        <v>500</v>
      </c>
      <c r="BG12" s="104">
        <v>1000</v>
      </c>
      <c r="BH12" s="104">
        <v>2000</v>
      </c>
      <c r="BI12" s="104">
        <v>4000</v>
      </c>
      <c r="BJ12" s="104">
        <v>8000</v>
      </c>
      <c r="BK12" s="104" t="s">
        <v>70</v>
      </c>
      <c r="BL12" s="104" t="s">
        <v>27</v>
      </c>
      <c r="BM12" t="s">
        <v>97</v>
      </c>
      <c r="BN12" t="s">
        <v>98</v>
      </c>
      <c r="CW12" s="95" t="s">
        <v>1151</v>
      </c>
      <c r="CX12" s="279">
        <f>CR16</f>
        <v>48</v>
      </c>
      <c r="CY12" s="279">
        <f>CR17</f>
        <v>72</v>
      </c>
      <c r="DA12" s="95" t="s">
        <v>1151</v>
      </c>
      <c r="DB12" s="279">
        <f t="shared" si="2"/>
        <v>172.8</v>
      </c>
      <c r="DC12" s="279">
        <f t="shared" si="3"/>
        <v>72</v>
      </c>
      <c r="DG12" s="458">
        <v>19</v>
      </c>
      <c r="DH12" s="4">
        <v>23</v>
      </c>
      <c r="DJ12" s="742">
        <f t="shared" si="4"/>
        <v>23</v>
      </c>
      <c r="DK12" s="153">
        <f t="shared" si="5"/>
        <v>23</v>
      </c>
    </row>
    <row r="13" spans="2:115" x14ac:dyDescent="0.15">
      <c r="B13" s="597">
        <f t="shared" ref="B13:B18" si="6">IF($AC$7,D13*3.6,D13)</f>
        <v>96.04968080608154</v>
      </c>
      <c r="C13" s="304">
        <f>IF($C$6=1,'Laskenta tulopuoli 60'!AA7,IF($C$6=2,'Laskenta tulopuoli 100'!AA7,IF($C$6=3,'Laskenta tulopuoli 150'!AA7,IF($C$6=4,'Laskenta tulopuoli 250'!AA7,IF($C$6=5,'Laskenta tulopuoli 350'!AA7,'Laskenta tulopuoli 130'!AA7)))))</f>
        <v>120</v>
      </c>
      <c r="D13" s="465">
        <f>IF($C$6=1,'Laskenta tulopuoli 60'!$AB$7,IF($C$6=2,'Laskenta tulopuoli 100'!$AB$7,IF($C$6=3,'Laskenta tulopuoli 150'!$AB$7,IF($C$6=4,'Laskenta tulopuoli 250'!$AB$7,IF($C$6=5,'Laskenta tulopuoli 350'!$AB$7,'Laskenta tulopuoli 130'!$AB$7)))))</f>
        <v>96.04968080608154</v>
      </c>
      <c r="E13" s="305">
        <f>IF($C$6=1,'Laskenta tulopuoli 60'!AC7,IF($C$6=2,'Laskenta tulopuoli 100'!AC7,IF($C$6=3,'Laskenta tulopuoli 150'!AC7,IF($C$6=4,'Laskenta tulopuoli 250'!AC7,IF($C$6=5,'Laskenta tulopuoli 350'!AC7,'Laskenta tulopuoli 130'!AC7)))))</f>
        <v>100</v>
      </c>
      <c r="F13" s="465">
        <f>IF($C$6=1,'Laskenta tulopuoli 60'!AD7,IF($C$6=2,'Laskenta tulopuoli 100'!AD7,IF($C$6=3,'Laskenta tulopuoli 150'!AD7,IF($C$6=4,'Laskenta tulopuoli 250'!AD7,IF($C$6=5,'Laskenta tulopuoli 350'!AD7,'Laskenta tulopuoli 130'!AD7)))))</f>
        <v>83.332352890524646</v>
      </c>
      <c r="G13" s="305">
        <f>IF($C$6=1,'Laskenta tulopuoli 60'!AE7,IF($C$6=2,'Laskenta tulopuoli 100'!AE7,IF($C$6=3,'Laskenta tulopuoli 150'!AE7,IF($C$6=4,'Laskenta tulopuoli 250'!AE7,IF($C$6=5,'Laskenta tulopuoli 350'!AE7,'Laskenta tulopuoli 130'!AE7)))))</f>
        <v>40</v>
      </c>
      <c r="H13" s="465">
        <f>IF($C$6=1,'Laskenta tulopuoli 60'!AF7,IF($C$6=2,'Laskenta tulopuoli 100'!AF7,IF($C$6=3,'Laskenta tulopuoli 150'!AF7,IF($C$6=4,'Laskenta tulopuoli 250'!AF7,IF($C$6=5,'Laskenta tulopuoli 350'!AF7,'Laskenta tulopuoli 130'!AF7)))))</f>
        <v>51.041257936006687</v>
      </c>
      <c r="I13" s="305">
        <f>IF($C$6=1,'Laskenta tulopuoli 60'!AG7,IF($C$6=2,'Laskenta tulopuoli 100'!AG7,IF($C$6=3,'Laskenta tulopuoli 150'!AG7,IF($C$6=4,'Laskenta tulopuoli 250'!AG7,IF($C$6=5,'Laskenta tulopuoli 350'!AG7,'Laskenta tulopuoli 130'!AG7)))))</f>
        <v>20</v>
      </c>
      <c r="J13" s="462">
        <f>IF($C$6=1,'Laskenta tulopuoli 60'!AH7,IF($C$6=2,'Laskenta tulopuoli 100'!AH7,IF($C$6=3,'Laskenta tulopuoli 150'!AH7,IF($C$6=4,'Laskenta tulopuoli 250'!AH7,IF($C$6=5,'Laskenta tulopuoli 350'!AH7,'Laskenta tulopuoli 130'!AH7)))))</f>
        <v>20.145468303465908</v>
      </c>
      <c r="M13" s="597">
        <f t="shared" ref="M13:M18" si="7">IF($AC$7,O13*3.6,O13)</f>
        <v>106.04294190771634</v>
      </c>
      <c r="N13" s="304">
        <f>IF($C$6=1,'Laskenta poistopuoli 60'!AA7,IF($C$6=2,'Laskenta poistopuoli 100'!AA7,IF($C$6=3,'Laskenta poistopuoli 150'!AA7,IF($C$6=4,'Laskenta poistopuoli 250'!AA7,IF($C$6=5,'Laskenta poistopuoli 350'!AA7,'Laskenta poistopuoli 130'!AA7)))))</f>
        <v>120</v>
      </c>
      <c r="O13" s="465">
        <f>IF($C$6=1,'Laskenta poistopuoli 60'!AB7,IF($C$6=2,'Laskenta poistopuoli 100'!AB7,IF($C$6=3,'Laskenta poistopuoli 150'!AB7,IF($C$6=4,'Laskenta poistopuoli 250'!AB7,IF($C$6=5,'Laskenta poistopuoli 350'!AB7,'Laskenta poistopuoli 130'!AB7)))))</f>
        <v>106.04294190771634</v>
      </c>
      <c r="P13" s="305">
        <f>IF($C$6=1,'Laskenta poistopuoli 60'!AC7,IF($C$6=2,'Laskenta poistopuoli 100'!AC7,IF($C$6=3,'Laskenta poistopuoli 150'!AC7,IF($C$6=4,'Laskenta poistopuoli 250'!AC7,IF($C$6=5,'Laskenta poistopuoli 350'!AC7,'Laskenta poistopuoli 130'!AC7)))))</f>
        <v>100</v>
      </c>
      <c r="Q13" s="465">
        <f>IF($C$6=1,'Laskenta poistopuoli 60'!AD7,IF($C$6=2,'Laskenta poistopuoli 100'!AD7,IF($C$6=3,'Laskenta poistopuoli 150'!AD7,IF($C$6=4,'Laskenta poistopuoli 250'!AD7,IF($C$6=5,'Laskenta poistopuoli 350'!AD7,'Laskenta poistopuoli 130'!AD7)))))</f>
        <v>101.16251296817727</v>
      </c>
      <c r="R13" s="305">
        <f>IF($C$6=1,'Laskenta poistopuoli 60'!AE7,IF($C$6=2,'Laskenta poistopuoli 100'!AE7,IF($C$6=3,'Laskenta poistopuoli 150'!AE7,IF($C$6=4,'Laskenta poistopuoli 250'!AE7,IF($C$6=5,'Laskenta poistopuoli 350'!AE7,'Laskenta poistopuoli 130'!AE7)))))</f>
        <v>40</v>
      </c>
      <c r="S13" s="465">
        <f>IF($C$6=1,'Laskenta poistopuoli 60'!AF7,IF($C$6=2,'Laskenta poistopuoli 100'!AF7,IF($C$6=3,'Laskenta poistopuoli 150'!AF7,IF($C$6=4,'Laskenta poistopuoli 250'!AF7,IF($C$6=5,'Laskenta poistopuoli 350'!AF7,'Laskenta poistopuoli 130'!AF7)))))</f>
        <v>65.038512656650866</v>
      </c>
      <c r="T13" s="305">
        <f>IF($C$6=1,'Laskenta poistopuoli 60'!AG7,IF($C$6=2,'Laskenta poistopuoli 100'!AG7,IF($C$6=3,'Laskenta poistopuoli 150'!AG7,IF($C$6=4,'Laskenta poistopuoli 250'!AG7,IF($C$6=5,'Laskenta poistopuoli 350'!AG7,'Laskenta poistopuoli 130'!AG7)))))</f>
        <v>20</v>
      </c>
      <c r="U13" s="462">
        <f>IF($C$6=1,'Laskenta poistopuoli 60'!AH7,IF($C$6=2,'Laskenta poistopuoli 100'!AH7,IF($C$6=3,'Laskenta poistopuoli 150'!AH7,IF($C$6=4,'Laskenta poistopuoli 250'!AH7,IF($C$6=5,'Laskenta poistopuoli 350'!AH7,'Laskenta poistopuoli 130'!AH7)))))</f>
        <v>30.228941518656235</v>
      </c>
      <c r="W13" s="485">
        <v>2</v>
      </c>
      <c r="X13" s="485" t="s">
        <v>116</v>
      </c>
      <c r="Y13" s="485">
        <v>2</v>
      </c>
      <c r="AC13" t="str">
        <f>IF(AC7,"Mitoituspisteen tilavuusvirrat m³/h","Mitoituspisteen tilavuusvirrat dm³/s")</f>
        <v>Mitoituspisteen tilavuusvirrat dm³/s</v>
      </c>
      <c r="AI13" s="304">
        <f t="shared" ref="AI13:AI18" si="8">C13</f>
        <v>120</v>
      </c>
      <c r="AJ13" s="465">
        <f t="shared" ref="AJ13:AP18" si="9">IF($AC$7,D13,D13*3.6)</f>
        <v>345.77885090189358</v>
      </c>
      <c r="AK13" s="305">
        <f t="shared" si="0"/>
        <v>100</v>
      </c>
      <c r="AL13" s="465">
        <f t="shared" si="9"/>
        <v>299.99647040588872</v>
      </c>
      <c r="AM13" s="305">
        <f t="shared" si="0"/>
        <v>40</v>
      </c>
      <c r="AN13" s="465">
        <f t="shared" si="9"/>
        <v>183.74852856962409</v>
      </c>
      <c r="AO13" s="305">
        <f t="shared" si="0"/>
        <v>20</v>
      </c>
      <c r="AP13" s="462">
        <f t="shared" si="9"/>
        <v>72.523685892477275</v>
      </c>
      <c r="AR13" s="304">
        <f t="shared" ref="AR13:AR18" si="10">N13</f>
        <v>120</v>
      </c>
      <c r="AS13" s="465">
        <f t="shared" ref="AS13:AY18" si="11">IF($AC$7,O13,O13*3.6)</f>
        <v>381.75459086777886</v>
      </c>
      <c r="AT13" s="305">
        <f t="shared" si="1"/>
        <v>100</v>
      </c>
      <c r="AU13" s="465">
        <f t="shared" si="11"/>
        <v>364.18504668543818</v>
      </c>
      <c r="AV13" s="305">
        <f t="shared" si="1"/>
        <v>40</v>
      </c>
      <c r="AW13" s="465">
        <f t="shared" si="11"/>
        <v>234.13864556394313</v>
      </c>
      <c r="AX13" s="305">
        <f t="shared" si="1"/>
        <v>20</v>
      </c>
      <c r="AY13" s="462">
        <f t="shared" si="11"/>
        <v>108.82418946716246</v>
      </c>
      <c r="BB13" s="129" t="str">
        <f>C23</f>
        <v>Model 60</v>
      </c>
      <c r="BC13" s="80">
        <f t="shared" ref="BC13:BJ14" si="12">BD23-BD$8</f>
        <v>40.294685941096091</v>
      </c>
      <c r="BD13" s="80">
        <f t="shared" si="12"/>
        <v>41.294685941096091</v>
      </c>
      <c r="BE13" s="80">
        <f t="shared" si="12"/>
        <v>34.294685941096091</v>
      </c>
      <c r="BF13" s="80">
        <f t="shared" si="12"/>
        <v>26.294685941096091</v>
      </c>
      <c r="BG13" s="80">
        <f t="shared" si="12"/>
        <v>19.294685941096091</v>
      </c>
      <c r="BH13" s="80">
        <f t="shared" si="12"/>
        <v>13.294685941096091</v>
      </c>
      <c r="BI13" s="80">
        <f t="shared" si="12"/>
        <v>4.2946859410960911</v>
      </c>
      <c r="BJ13" s="80">
        <f t="shared" si="12"/>
        <v>5.2946859410960911</v>
      </c>
      <c r="BK13" s="80">
        <f t="array" ref="BK13">10*LOG10(SUM(10^(BC13:BJ13/10)))</f>
        <v>44.377816255389291</v>
      </c>
      <c r="BL13" s="80">
        <f t="array" ref="BL13">10*LOG10(SUM(10^((BC13:BJ13+BC9:BJ9)/10)))</f>
        <v>30.214267182017387</v>
      </c>
      <c r="BM13" s="80">
        <f>BL13+10*LOG10(4/10)</f>
        <v>26.234867095297012</v>
      </c>
      <c r="BN13" s="80">
        <f>BL13+10*LOG10(4/2.5)</f>
        <v>32.255467008576638</v>
      </c>
      <c r="CR13" t="s">
        <v>1118</v>
      </c>
      <c r="CW13" s="278" t="s">
        <v>312</v>
      </c>
      <c r="CX13" s="630" t="s">
        <v>13</v>
      </c>
      <c r="CY13" s="630" t="s">
        <v>14</v>
      </c>
      <c r="DA13" s="278" t="s">
        <v>312</v>
      </c>
      <c r="DB13" s="630" t="s">
        <v>13</v>
      </c>
      <c r="DC13" s="648" t="s">
        <v>14</v>
      </c>
      <c r="DG13" s="458">
        <v>20</v>
      </c>
      <c r="DH13" s="4">
        <v>24</v>
      </c>
      <c r="DJ13" s="742">
        <f t="shared" si="4"/>
        <v>24</v>
      </c>
      <c r="DK13" s="153">
        <f t="shared" si="5"/>
        <v>24</v>
      </c>
    </row>
    <row r="14" spans="2:115" x14ac:dyDescent="0.15">
      <c r="B14" s="597">
        <f t="shared" si="6"/>
        <v>84.980913804604299</v>
      </c>
      <c r="C14" s="304">
        <f>IF($C$6=1,'Laskenta tulopuoli 60'!AA8,IF($C$6=2,'Laskenta tulopuoli 100'!AA8,IF($C$6=3,'Laskenta tulopuoli 150'!AA8,IF($C$6=4,'Laskenta tulopuoli 250'!AA8,IF($C$6=5,'Laskenta tulopuoli 350'!AA8,'Laskenta tulopuoli 130'!AA8)))))</f>
        <v>190</v>
      </c>
      <c r="D14" s="465">
        <f>IF($C$6=1,'Laskenta tulopuoli 60'!$AB$8,IF($C$6=2,'Laskenta tulopuoli 100'!$AB$8,IF($C$6=3,'Laskenta tulopuoli 150'!$AB$8,IF($C$6=4,'Laskenta tulopuoli 250'!$AB$8,IF($C$6=5,'Laskenta tulopuoli 350'!$AB$8,'Laskenta tulopuoli 130'!$AB$8)))))</f>
        <v>84.980913804604299</v>
      </c>
      <c r="E14" s="305">
        <f>IF($C$6=1,'Laskenta tulopuoli 60'!AC8,IF($C$6=2,'Laskenta tulopuoli 100'!AC8,IF($C$6=3,'Laskenta tulopuoli 150'!AC8,IF($C$6=4,'Laskenta tulopuoli 250'!AC8,IF($C$6=5,'Laskenta tulopuoli 350'!AC8,'Laskenta tulopuoli 130'!AC8)))))</f>
        <v>150</v>
      </c>
      <c r="F14" s="465">
        <f>IF($C$6=1,'Laskenta tulopuoli 60'!AD8,IF($C$6=2,'Laskenta tulopuoli 100'!AD8,IF($C$6=3,'Laskenta tulopuoli 150'!AD8,IF($C$6=4,'Laskenta tulopuoli 250'!AD8,IF($C$6=5,'Laskenta tulopuoli 350'!AD8,'Laskenta tulopuoli 130'!AD8)))))</f>
        <v>74.171084186129335</v>
      </c>
      <c r="G14" s="305">
        <f>IF($C$6=1,'Laskenta tulopuoli 60'!AE8,IF($C$6=2,'Laskenta tulopuoli 100'!AE8,IF($C$6=3,'Laskenta tulopuoli 150'!AE8,IF($C$6=4,'Laskenta tulopuoli 250'!AE8,IF($C$6=5,'Laskenta tulopuoli 350'!AE8,'Laskenta tulopuoli 130'!AE8)))))</f>
        <v>60</v>
      </c>
      <c r="H14" s="465">
        <f>IF($C$6=1,'Laskenta tulopuoli 60'!AF8,IF($C$6=2,'Laskenta tulopuoli 100'!AF8,IF($C$6=3,'Laskenta tulopuoli 150'!AF8,IF($C$6=4,'Laskenta tulopuoli 250'!AF8,IF($C$6=5,'Laskenta tulopuoli 350'!AF8,'Laskenta tulopuoli 130'!AF8)))))</f>
        <v>44.852206368094706</v>
      </c>
      <c r="I14" s="305">
        <f>IF($C$6=1,'Laskenta tulopuoli 60'!AG8,IF($C$6=2,'Laskenta tulopuoli 100'!AG8,IF($C$6=3,'Laskenta tulopuoli 150'!AG8,IF($C$6=4,'Laskenta tulopuoli 250'!AG8,IF($C$6=5,'Laskenta tulopuoli 350'!AG8,'Laskenta tulopuoli 130'!AG8)))))</f>
        <v>30</v>
      </c>
      <c r="J14" s="462">
        <f>IF($C$6=1,'Laskenta tulopuoli 60'!AH8,IF($C$6=2,'Laskenta tulopuoli 100'!AH8,IF($C$6=3,'Laskenta tulopuoli 150'!AH8,IF($C$6=4,'Laskenta tulopuoli 250'!AH8,IF($C$6=5,'Laskenta tulopuoli 350'!AH8,'Laskenta tulopuoli 130'!AH8)))))</f>
        <v>15.25167922255933</v>
      </c>
      <c r="M14" s="597">
        <f t="shared" si="7"/>
        <v>97.229113962616722</v>
      </c>
      <c r="N14" s="304">
        <f>IF($C$6=1,'Laskenta poistopuoli 60'!AA8,IF($C$6=2,'Laskenta poistopuoli 100'!AA8,IF($C$6=3,'Laskenta poistopuoli 150'!AA8,IF($C$6=4,'Laskenta poistopuoli 250'!AA8,IF($C$6=5,'Laskenta poistopuoli 350'!AA8,'Laskenta poistopuoli 130'!AA8)))))</f>
        <v>190</v>
      </c>
      <c r="O14" s="465">
        <f>IF($C$6=1,'Laskenta poistopuoli 60'!AB8,IF($C$6=2,'Laskenta poistopuoli 100'!AB8,IF($C$6=3,'Laskenta poistopuoli 150'!AB8,IF($C$6=4,'Laskenta poistopuoli 250'!AB8,IF($C$6=5,'Laskenta poistopuoli 350'!AB8,'Laskenta poistopuoli 130'!AB8)))))</f>
        <v>97.229113962616722</v>
      </c>
      <c r="P14" s="305">
        <f>IF($C$6=1,'Laskenta poistopuoli 60'!AC8,IF($C$6=2,'Laskenta poistopuoli 100'!AC8,IF($C$6=3,'Laskenta poistopuoli 150'!AC8,IF($C$6=4,'Laskenta poistopuoli 250'!AC8,IF($C$6=5,'Laskenta poistopuoli 350'!AC8,'Laskenta poistopuoli 130'!AC8)))))</f>
        <v>150</v>
      </c>
      <c r="Q14" s="465">
        <f>IF($C$6=1,'Laskenta poistopuoli 60'!AD8,IF($C$6=2,'Laskenta poistopuoli 100'!AD8,IF($C$6=3,'Laskenta poistopuoli 150'!AD8,IF($C$6=4,'Laskenta poistopuoli 250'!AD8,IF($C$6=5,'Laskenta poistopuoli 350'!AD8,'Laskenta poistopuoli 130'!AD8)))))</f>
        <v>92.618224317416534</v>
      </c>
      <c r="R14" s="305">
        <f>IF($C$6=1,'Laskenta poistopuoli 60'!AE8,IF($C$6=2,'Laskenta poistopuoli 100'!AE8,IF($C$6=3,'Laskenta poistopuoli 150'!AE8,IF($C$6=4,'Laskenta poistopuoli 250'!AE8,IF($C$6=5,'Laskenta poistopuoli 350'!AE8,'Laskenta poistopuoli 130'!AE8)))))</f>
        <v>60</v>
      </c>
      <c r="S14" s="465">
        <f>IF($C$6=1,'Laskenta poistopuoli 60'!AF8,IF($C$6=2,'Laskenta poistopuoli 100'!AF8,IF($C$6=3,'Laskenta poistopuoli 150'!AF8,IF($C$6=4,'Laskenta poistopuoli 250'!AF8,IF($C$6=5,'Laskenta poistopuoli 350'!AF8,'Laskenta poistopuoli 130'!AF8)))))</f>
        <v>58.173257245729815</v>
      </c>
      <c r="T14" s="305">
        <f>IF($C$6=1,'Laskenta poistopuoli 60'!AG8,IF($C$6=2,'Laskenta poistopuoli 100'!AG8,IF($C$6=3,'Laskenta poistopuoli 150'!AG8,IF($C$6=4,'Laskenta poistopuoli 250'!AG8,IF($C$6=5,'Laskenta poistopuoli 350'!AG8,'Laskenta poistopuoli 130'!AG8)))))</f>
        <v>30</v>
      </c>
      <c r="U14" s="462">
        <f>IF($C$6=1,'Laskenta poistopuoli 60'!AH8,IF($C$6=2,'Laskenta poistopuoli 100'!AH8,IF($C$6=3,'Laskenta poistopuoli 150'!AH8,IF($C$6=4,'Laskenta poistopuoli 250'!AH8,IF($C$6=5,'Laskenta poistopuoli 350'!AH8,'Laskenta poistopuoli 130'!AH8)))))</f>
        <v>23.211710481821601</v>
      </c>
      <c r="W14" s="485">
        <v>3</v>
      </c>
      <c r="X14" s="485" t="s">
        <v>585</v>
      </c>
      <c r="Y14" s="485">
        <v>6</v>
      </c>
      <c r="AC14" t="s">
        <v>7</v>
      </c>
      <c r="AD14" t="s">
        <v>8</v>
      </c>
      <c r="AI14" s="304">
        <f t="shared" si="8"/>
        <v>190</v>
      </c>
      <c r="AJ14" s="465">
        <f t="shared" si="9"/>
        <v>305.9312896965755</v>
      </c>
      <c r="AK14" s="305">
        <f t="shared" si="0"/>
        <v>150</v>
      </c>
      <c r="AL14" s="465">
        <f t="shared" si="9"/>
        <v>267.01590307006563</v>
      </c>
      <c r="AM14" s="305">
        <f t="shared" si="0"/>
        <v>60</v>
      </c>
      <c r="AN14" s="465">
        <f t="shared" si="9"/>
        <v>161.46794292514093</v>
      </c>
      <c r="AO14" s="305">
        <f t="shared" si="0"/>
        <v>30</v>
      </c>
      <c r="AP14" s="462">
        <f t="shared" si="9"/>
        <v>54.906045201213587</v>
      </c>
      <c r="AR14" s="304">
        <f t="shared" si="10"/>
        <v>190</v>
      </c>
      <c r="AS14" s="465">
        <f t="shared" si="11"/>
        <v>350.02481026542023</v>
      </c>
      <c r="AT14" s="305">
        <f t="shared" si="1"/>
        <v>150</v>
      </c>
      <c r="AU14" s="465">
        <f t="shared" si="11"/>
        <v>333.42560754269954</v>
      </c>
      <c r="AV14" s="305">
        <f t="shared" si="1"/>
        <v>60</v>
      </c>
      <c r="AW14" s="465">
        <f t="shared" si="11"/>
        <v>209.42372608462733</v>
      </c>
      <c r="AX14" s="305">
        <f t="shared" si="1"/>
        <v>30</v>
      </c>
      <c r="AY14" s="462">
        <f t="shared" si="11"/>
        <v>83.562157734557772</v>
      </c>
      <c r="BB14" s="129" t="str">
        <f t="shared" ref="BB14:BB15" si="13">C24</f>
        <v>Model 100</v>
      </c>
      <c r="BC14" s="80">
        <f t="shared" si="12"/>
        <v>42.107903165072415</v>
      </c>
      <c r="BD14" s="80">
        <f t="shared" si="12"/>
        <v>42.107903165072415</v>
      </c>
      <c r="BE14" s="80">
        <f t="shared" si="12"/>
        <v>35.107903165072415</v>
      </c>
      <c r="BF14" s="80">
        <f t="shared" si="12"/>
        <v>26.107903165072415</v>
      </c>
      <c r="BG14" s="80">
        <f t="shared" si="12"/>
        <v>18.107903165072415</v>
      </c>
      <c r="BH14" s="80">
        <f t="shared" si="12"/>
        <v>12.107903165072415</v>
      </c>
      <c r="BI14" s="80">
        <f t="shared" si="12"/>
        <v>4.1079031650724147</v>
      </c>
      <c r="BJ14" s="80">
        <f t="shared" si="12"/>
        <v>2.1079031650724147</v>
      </c>
      <c r="BK14" s="80">
        <f t="array" ref="BK14">10*LOG10(SUM(10^(BC14:BJ14/10)))</f>
        <v>45.590727157908958</v>
      </c>
      <c r="BL14" s="80">
        <f t="array" ref="BL14">10*LOG10(SUM(10^((BC14:BJ14+BC9:BJ9)/10)))</f>
        <v>30.686492738779929</v>
      </c>
      <c r="BM14" s="80">
        <f>BL14+10*LOG10(4/10)</f>
        <v>26.707092652059554</v>
      </c>
      <c r="BN14" s="80">
        <f>BL14+10*LOG10(4/2.5)</f>
        <v>32.727692565339176</v>
      </c>
      <c r="BT14" s="2" t="s">
        <v>395</v>
      </c>
      <c r="BW14" t="s">
        <v>394</v>
      </c>
      <c r="CR14" t="s">
        <v>1120</v>
      </c>
      <c r="CW14" s="95" t="s">
        <v>1152</v>
      </c>
      <c r="CX14" s="279">
        <v>2</v>
      </c>
      <c r="CY14" s="344">
        <f>CY15/(CX15^2)*CX14^2</f>
        <v>0.125</v>
      </c>
      <c r="DA14" s="95" t="s">
        <v>1152</v>
      </c>
      <c r="DB14" s="279">
        <f>IF($AC$7,CX14,CX14*3.6)</f>
        <v>7.2</v>
      </c>
      <c r="DC14" s="279">
        <f>CY14</f>
        <v>0.125</v>
      </c>
      <c r="DG14" s="47">
        <v>21</v>
      </c>
      <c r="DH14" s="50">
        <v>25</v>
      </c>
      <c r="DI14" s="25"/>
      <c r="DJ14" s="743">
        <f t="shared" si="4"/>
        <v>25</v>
      </c>
      <c r="DK14" s="48">
        <f t="shared" si="5"/>
        <v>25</v>
      </c>
    </row>
    <row r="15" spans="2:115" x14ac:dyDescent="0.15">
      <c r="B15" s="597">
        <f t="shared" si="6"/>
        <v>74.605902678236006</v>
      </c>
      <c r="C15" s="304">
        <f>IF($C$6=1,'Laskenta tulopuoli 60'!AA9,IF($C$6=2,'Laskenta tulopuoli 100'!AA9,IF($C$6=3,'Laskenta tulopuoli 150'!AA9,IF($C$6=4,'Laskenta tulopuoli 250'!AA9,IF($C$6=5,'Laskenta tulopuoli 350'!AA9,'Laskenta tulopuoli 130'!AA9)))))</f>
        <v>250</v>
      </c>
      <c r="D15" s="465">
        <f>IF($C$6=1,'Laskenta tulopuoli 60'!$AB$9,IF($C$6=2,'Laskenta tulopuoli 100'!$AB$9,IF($C$6=3,'Laskenta tulopuoli 150'!$AB$9,IF($C$6=4,'Laskenta tulopuoli 250'!$AB$9,IF($C$6=5,'Laskenta tulopuoli 350'!$AB$9,'Laskenta tulopuoli 130'!$AB$9)))))</f>
        <v>74.605902678236006</v>
      </c>
      <c r="E15" s="305">
        <f>IF($C$6=1,'Laskenta tulopuoli 60'!AC9,IF($C$6=2,'Laskenta tulopuoli 100'!AC9,IF($C$6=3,'Laskenta tulopuoli 150'!AC9,IF($C$6=4,'Laskenta tulopuoli 250'!AC9,IF($C$6=5,'Laskenta tulopuoli 350'!AC9,'Laskenta tulopuoli 130'!AC9)))))</f>
        <v>200</v>
      </c>
      <c r="F15" s="465">
        <f>IF($C$6=1,'Laskenta tulopuoli 60'!AD9,IF($C$6=2,'Laskenta tulopuoli 100'!AD9,IF($C$6=3,'Laskenta tulopuoli 150'!AD9,IF($C$6=4,'Laskenta tulopuoli 250'!AD9,IF($C$6=5,'Laskenta tulopuoli 350'!AD9,'Laskenta tulopuoli 130'!AD9)))))</f>
        <v>64.022740261473061</v>
      </c>
      <c r="G15" s="305">
        <f>IF($C$6=1,'Laskenta tulopuoli 60'!AE9,IF($C$6=2,'Laskenta tulopuoli 100'!AE9,IF($C$6=3,'Laskenta tulopuoli 150'!AE9,IF($C$6=4,'Laskenta tulopuoli 250'!AE9,IF($C$6=5,'Laskenta tulopuoli 350'!AE9,'Laskenta tulopuoli 130'!AE9)))))</f>
        <v>80</v>
      </c>
      <c r="H15" s="465">
        <f>IF($C$6=1,'Laskenta tulopuoli 60'!AF9,IF($C$6=2,'Laskenta tulopuoli 100'!AF9,IF($C$6=3,'Laskenta tulopuoli 150'!AF9,IF($C$6=4,'Laskenta tulopuoli 250'!AF9,IF($C$6=5,'Laskenta tulopuoli 350'!AF9,'Laskenta tulopuoli 130'!AF9)))))</f>
        <v>38.211558072303703</v>
      </c>
      <c r="I15" s="305">
        <f>IF($C$6=1,'Laskenta tulopuoli 60'!AG9,IF($C$6=2,'Laskenta tulopuoli 100'!AG9,IF($C$6=3,'Laskenta tulopuoli 150'!AG9,IF($C$6=4,'Laskenta tulopuoli 250'!AG9,IF($C$6=5,'Laskenta tulopuoli 350'!AG9,'Laskenta tulopuoli 130'!AG9)))))</f>
        <v>35</v>
      </c>
      <c r="J15" s="462">
        <f>IF($C$6=1,'Laskenta tulopuoli 60'!AH9,IF($C$6=2,'Laskenta tulopuoli 100'!AH9,IF($C$6=3,'Laskenta tulopuoli 150'!AH9,IF($C$6=4,'Laskenta tulopuoli 250'!AH9,IF($C$6=5,'Laskenta tulopuoli 350'!AH9,'Laskenta tulopuoli 130'!AH9)))))</f>
        <v>12.729029407613163</v>
      </c>
      <c r="M15" s="597">
        <f t="shared" si="7"/>
        <v>88.57761083726021</v>
      </c>
      <c r="N15" s="304">
        <f>IF($C$6=1,'Laskenta poistopuoli 60'!AA9,IF($C$6=2,'Laskenta poistopuoli 100'!AA9,IF($C$6=3,'Laskenta poistopuoli 150'!AA9,IF($C$6=4,'Laskenta poistopuoli 250'!AA9,IF($C$6=5,'Laskenta poistopuoli 350'!AA9,'Laskenta poistopuoli 130'!AA9)))))</f>
        <v>250</v>
      </c>
      <c r="O15" s="465">
        <f>IF($C$6=1,'Laskenta poistopuoli 60'!AB9,IF($C$6=2,'Laskenta poistopuoli 100'!AB9,IF($C$6=3,'Laskenta poistopuoli 150'!AB9,IF($C$6=4,'Laskenta poistopuoli 250'!AB9,IF($C$6=5,'Laskenta poistopuoli 350'!AB9,'Laskenta poistopuoli 130'!AB9)))))</f>
        <v>88.57761083726021</v>
      </c>
      <c r="P15" s="305">
        <f>IF($C$6=1,'Laskenta poistopuoli 60'!AC9,IF($C$6=2,'Laskenta poistopuoli 100'!AC9,IF($C$6=3,'Laskenta poistopuoli 150'!AC9,IF($C$6=4,'Laskenta poistopuoli 250'!AC9,IF($C$6=5,'Laskenta poistopuoli 350'!AC9,'Laskenta poistopuoli 130'!AC9)))))</f>
        <v>200</v>
      </c>
      <c r="Q15" s="465">
        <f>IF($C$6=1,'Laskenta poistopuoli 60'!AD9,IF($C$6=2,'Laskenta poistopuoli 100'!AD9,IF($C$6=3,'Laskenta poistopuoli 150'!AD9,IF($C$6=4,'Laskenta poistopuoli 250'!AD9,IF($C$6=5,'Laskenta poistopuoli 350'!AD9,'Laskenta poistopuoli 130'!AD9)))))</f>
        <v>82.962402646329451</v>
      </c>
      <c r="R15" s="305">
        <f>IF($C$6=1,'Laskenta poistopuoli 60'!AE9,IF($C$6=2,'Laskenta poistopuoli 100'!AE9,IF($C$6=3,'Laskenta poistopuoli 150'!AE9,IF($C$6=4,'Laskenta poistopuoli 250'!AE9,IF($C$6=5,'Laskenta poistopuoli 350'!AE9,'Laskenta poistopuoli 130'!AE9)))))</f>
        <v>80</v>
      </c>
      <c r="S15" s="465">
        <f>IF($C$6=1,'Laskenta poistopuoli 60'!AF9,IF($C$6=2,'Laskenta poistopuoli 100'!AF9,IF($C$6=3,'Laskenta poistopuoli 150'!AF9,IF($C$6=4,'Laskenta poistopuoli 250'!AF9,IF($C$6=5,'Laskenta poistopuoli 350'!AF9,'Laskenta poistopuoli 130'!AF9)))))</f>
        <v>50.616285442767648</v>
      </c>
      <c r="T15" s="305">
        <f>IF($C$6=1,'Laskenta poistopuoli 60'!AG9,IF($C$6=2,'Laskenta poistopuoli 100'!AG9,IF($C$6=3,'Laskenta poistopuoli 150'!AG9,IF($C$6=4,'Laskenta poistopuoli 250'!AG9,IF($C$6=5,'Laskenta poistopuoli 350'!AG9,'Laskenta poistopuoli 130'!AG9)))))</f>
        <v>35</v>
      </c>
      <c r="U15" s="462">
        <f>IF($C$6=1,'Laskenta poistopuoli 60'!AH9,IF($C$6=2,'Laskenta poistopuoli 100'!AH9,IF($C$6=3,'Laskenta poistopuoli 150'!AH9,IF($C$6=4,'Laskenta poistopuoli 250'!AH9,IF($C$6=5,'Laskenta poistopuoli 350'!AH9,'Laskenta poistopuoli 130'!AH9)))))</f>
        <v>18.983097435077962</v>
      </c>
      <c r="W15" s="485">
        <v>4</v>
      </c>
      <c r="X15" s="485" t="s">
        <v>129</v>
      </c>
      <c r="Y15" s="485">
        <v>3</v>
      </c>
      <c r="AC15" s="4">
        <f>IF($AC$7,Tulostus!E37*3.6,Tulostus!E37/3.6)</f>
        <v>40</v>
      </c>
      <c r="AD15" s="4">
        <f>IF($AC$7,Tulostus!G37*3.6,Tulostus!G37/3.6)</f>
        <v>40</v>
      </c>
      <c r="AI15" s="304">
        <f t="shared" si="8"/>
        <v>250</v>
      </c>
      <c r="AJ15" s="465">
        <f t="shared" si="9"/>
        <v>268.58124964164961</v>
      </c>
      <c r="AK15" s="305">
        <f t="shared" si="0"/>
        <v>200</v>
      </c>
      <c r="AL15" s="465">
        <f t="shared" si="9"/>
        <v>230.48186494130303</v>
      </c>
      <c r="AM15" s="305">
        <f t="shared" si="0"/>
        <v>80</v>
      </c>
      <c r="AN15" s="465">
        <f t="shared" si="9"/>
        <v>137.56160906029334</v>
      </c>
      <c r="AO15" s="305">
        <f t="shared" si="0"/>
        <v>35</v>
      </c>
      <c r="AP15" s="462">
        <f t="shared" si="9"/>
        <v>45.824505867407389</v>
      </c>
      <c r="AR15" s="304">
        <f t="shared" si="10"/>
        <v>250</v>
      </c>
      <c r="AS15" s="465">
        <f t="shared" si="11"/>
        <v>318.87939901413677</v>
      </c>
      <c r="AT15" s="305">
        <f t="shared" si="1"/>
        <v>200</v>
      </c>
      <c r="AU15" s="465">
        <f t="shared" si="11"/>
        <v>298.66464952678604</v>
      </c>
      <c r="AV15" s="305">
        <f t="shared" si="1"/>
        <v>80</v>
      </c>
      <c r="AW15" s="465">
        <f t="shared" si="11"/>
        <v>182.21862759396353</v>
      </c>
      <c r="AX15" s="305">
        <f t="shared" si="1"/>
        <v>35</v>
      </c>
      <c r="AY15" s="462">
        <f t="shared" si="11"/>
        <v>68.339150766280667</v>
      </c>
      <c r="BB15" s="91" t="str">
        <f t="shared" si="13"/>
        <v>Model 150</v>
      </c>
      <c r="BC15" s="271">
        <f>BD25</f>
        <v>48.884312745759061</v>
      </c>
      <c r="BD15" s="271">
        <f t="shared" ref="BD15:BJ15" si="14">BE25</f>
        <v>43.884312745759061</v>
      </c>
      <c r="BE15" s="271">
        <f t="shared" si="14"/>
        <v>43.884312745759061</v>
      </c>
      <c r="BF15" s="271">
        <f t="shared" si="14"/>
        <v>33.884312745759061</v>
      </c>
      <c r="BG15" s="271">
        <f t="shared" si="14"/>
        <v>21.884312745759061</v>
      </c>
      <c r="BH15" s="271">
        <f t="shared" si="14"/>
        <v>19.884312745759061</v>
      </c>
      <c r="BI15" s="271">
        <f t="shared" si="14"/>
        <v>14.884312745759061</v>
      </c>
      <c r="BJ15" s="271">
        <f t="shared" si="14"/>
        <v>13.884312745759061</v>
      </c>
      <c r="BK15" s="271">
        <f t="array" ref="BK15">10*LOG10(SUM(10^(BC15:BJ15/10)))</f>
        <v>51.106395140965063</v>
      </c>
      <c r="BL15" s="271">
        <f t="array" ref="BL15">10*LOG10(SUM(10^((BC15:BJ15+BC9:BJ9)/10)))</f>
        <v>37.5383143503771</v>
      </c>
      <c r="BM15" s="271">
        <f>BL15+10*LOG10(4/10)</f>
        <v>33.558914263656725</v>
      </c>
      <c r="BN15" s="271">
        <f>BL15+10*LOG10(4/2.5)</f>
        <v>39.57951417693635</v>
      </c>
      <c r="BO15" s="272" t="s">
        <v>358</v>
      </c>
      <c r="BT15" t="b">
        <v>0</v>
      </c>
      <c r="BW15" t="str" cm="1">
        <f t="array" ref="BW15">CONCATENATE(INDEX(Kirjasto!D4:K125,37,Kirjasto!B4),"*")</f>
        <v>Kitchen bypass*</v>
      </c>
      <c r="BY15" t="str" cm="1">
        <f t="array" ref="BY15">INDEX(Kirjasto!D4:K135,129,Kirjasto!B4)</f>
        <v>* With kitchen bypass, the total extract air volume flow is larger than the inserted value</v>
      </c>
      <c r="CR15" t="s">
        <v>7</v>
      </c>
      <c r="CS15" t="s">
        <v>8</v>
      </c>
      <c r="CW15" s="96" t="s">
        <v>1150</v>
      </c>
      <c r="CX15" s="279">
        <f>Tulostus!G33</f>
        <v>40</v>
      </c>
      <c r="CY15" s="344">
        <f>Tulostus!G39</f>
        <v>50</v>
      </c>
      <c r="DA15" s="96" t="s">
        <v>1150</v>
      </c>
      <c r="DB15" s="279">
        <f t="shared" ref="DB15:DB16" si="15">IF($AC$7,CX15,CX15*3.6)</f>
        <v>144</v>
      </c>
      <c r="DC15" s="279">
        <f t="shared" ref="DC15:DC16" si="16">CY15</f>
        <v>50</v>
      </c>
    </row>
    <row r="16" spans="2:115" x14ac:dyDescent="0.15">
      <c r="B16" s="597">
        <f t="shared" si="6"/>
        <v>61.093720132549571</v>
      </c>
      <c r="C16" s="304">
        <f>IF($C$6=1,'Laskenta tulopuoli 60'!AA10,IF($C$6=2,'Laskenta tulopuoli 100'!AA10,IF($C$6=3,'Laskenta tulopuoli 150'!AA10,IF($C$6=4,'Laskenta tulopuoli 250'!AA10,IF($C$6=5,'Laskenta tulopuoli 350'!AA10,'Laskenta tulopuoli 130'!AA10)))))</f>
        <v>320</v>
      </c>
      <c r="D16" s="465">
        <f>IF($C$6=1,'Laskenta tulopuoli 60'!$AB$10,IF($C$6=2,'Laskenta tulopuoli 100'!$AB$10,IF($C$6=3,'Laskenta tulopuoli 150'!$AB$10,IF($C$6=4,'Laskenta tulopuoli 250'!$AB$10,IF($C$6=5,'Laskenta tulopuoli 350'!$AB$10,'Laskenta tulopuoli 130'!$AB$10)))))</f>
        <v>61.093720132549571</v>
      </c>
      <c r="E16" s="305">
        <f>IF($C$6=1,'Laskenta tulopuoli 60'!AC10,IF($C$6=2,'Laskenta tulopuoli 100'!AC10,IF($C$6=3,'Laskenta tulopuoli 150'!AC10,IF($C$6=4,'Laskenta tulopuoli 250'!AC10,IF($C$6=5,'Laskenta tulopuoli 350'!AC10,'Laskenta tulopuoli 130'!AC10)))))</f>
        <v>250</v>
      </c>
      <c r="F16" s="465">
        <f>IF($C$6=1,'Laskenta tulopuoli 60'!AD10,IF($C$6=2,'Laskenta tulopuoli 100'!AD10,IF($C$6=3,'Laskenta tulopuoli 150'!AD10,IF($C$6=4,'Laskenta tulopuoli 250'!AD10,IF($C$6=5,'Laskenta tulopuoli 350'!AD10,'Laskenta tulopuoli 130'!AD10)))))</f>
        <v>52.476744908244925</v>
      </c>
      <c r="G16" s="305">
        <f>IF($C$6=1,'Laskenta tulopuoli 60'!AE10,IF($C$6=2,'Laskenta tulopuoli 100'!AE10,IF($C$6=3,'Laskenta tulopuoli 150'!AE10,IF($C$6=4,'Laskenta tulopuoli 250'!AE10,IF($C$6=5,'Laskenta tulopuoli 350'!AE10,'Laskenta tulopuoli 130'!AE10)))))</f>
        <v>100</v>
      </c>
      <c r="H16" s="465">
        <f>IF($C$6=1,'Laskenta tulopuoli 60'!AF10,IF($C$6=2,'Laskenta tulopuoli 100'!AF10,IF($C$6=3,'Laskenta tulopuoli 150'!AF10,IF($C$6=4,'Laskenta tulopuoli 250'!AF10,IF($C$6=5,'Laskenta tulopuoli 350'!AF10,'Laskenta tulopuoli 130'!AF10)))))</f>
        <v>31.003142403936327</v>
      </c>
      <c r="I16" s="305">
        <f>IF($C$6=1,'Laskenta tulopuoli 60'!AG10,IF($C$6=2,'Laskenta tulopuoli 100'!AG10,IF($C$6=3,'Laskenta tulopuoli 150'!AG10,IF($C$6=4,'Laskenta tulopuoli 250'!AG10,IF($C$6=5,'Laskenta tulopuoli 350'!AG10,'Laskenta tulopuoli 130'!AG10)))))</f>
        <v>40</v>
      </c>
      <c r="J16" s="462">
        <f>IF($C$6=1,'Laskenta tulopuoli 60'!AH10,IF($C$6=2,'Laskenta tulopuoli 100'!AH10,IF($C$6=3,'Laskenta tulopuoli 150'!AH10,IF($C$6=4,'Laskenta tulopuoli 250'!AH10,IF($C$6=5,'Laskenta tulopuoli 350'!AH10,'Laskenta tulopuoli 130'!AH10)))))</f>
        <v>10.151502560183829</v>
      </c>
      <c r="M16" s="597">
        <f t="shared" si="7"/>
        <v>76.366556139312408</v>
      </c>
      <c r="N16" s="304">
        <f>IF($C$6=1,'Laskenta poistopuoli 60'!AA10,IF($C$6=2,'Laskenta poistopuoli 100'!AA10,IF($C$6=3,'Laskenta poistopuoli 150'!AA10,IF($C$6=4,'Laskenta poistopuoli 250'!AA10,IF($C$6=5,'Laskenta poistopuoli 350'!AA10,'Laskenta poistopuoli 130'!AA10)))))</f>
        <v>320</v>
      </c>
      <c r="O16" s="465">
        <f>IF($C$6=1,'Laskenta poistopuoli 60'!AB10,IF($C$6=2,'Laskenta poistopuoli 100'!AB10,IF($C$6=3,'Laskenta poistopuoli 150'!AB10,IF($C$6=4,'Laskenta poistopuoli 250'!AB10,IF($C$6=5,'Laskenta poistopuoli 350'!AB10,'Laskenta poistopuoli 130'!AB10)))))</f>
        <v>76.366556139312408</v>
      </c>
      <c r="P16" s="305">
        <f>IF($C$6=1,'Laskenta poistopuoli 60'!AC10,IF($C$6=2,'Laskenta poistopuoli 100'!AC10,IF($C$6=3,'Laskenta poistopuoli 150'!AC10,IF($C$6=4,'Laskenta poistopuoli 250'!AC10,IF($C$6=5,'Laskenta poistopuoli 350'!AC10,'Laskenta poistopuoli 130'!AC10)))))</f>
        <v>250</v>
      </c>
      <c r="Q16" s="465">
        <f>IF($C$6=1,'Laskenta poistopuoli 60'!AD10,IF($C$6=2,'Laskenta poistopuoli 100'!AD10,IF($C$6=3,'Laskenta poistopuoli 150'!AD10,IF($C$6=4,'Laskenta poistopuoli 250'!AD10,IF($C$6=5,'Laskenta poistopuoli 350'!AD10,'Laskenta poistopuoli 130'!AD10)))))</f>
        <v>71.599428630662572</v>
      </c>
      <c r="R16" s="305">
        <f>IF($C$6=1,'Laskenta poistopuoli 60'!AE10,IF($C$6=2,'Laskenta poistopuoli 100'!AE10,IF($C$6=3,'Laskenta poistopuoli 150'!AE10,IF($C$6=4,'Laskenta poistopuoli 250'!AE10,IF($C$6=5,'Laskenta poistopuoli 350'!AE10,'Laskenta poistopuoli 130'!AE10)))))</f>
        <v>100</v>
      </c>
      <c r="S16" s="465">
        <f>IF($C$6=1,'Laskenta poistopuoli 60'!AF10,IF($C$6=2,'Laskenta poistopuoli 100'!AF10,IF($C$6=3,'Laskenta poistopuoli 150'!AF10,IF($C$6=4,'Laskenta poistopuoli 250'!AF10,IF($C$6=5,'Laskenta poistopuoli 350'!AF10,'Laskenta poistopuoli 130'!AF10)))))</f>
        <v>42.103641313068522</v>
      </c>
      <c r="T16" s="305">
        <f>IF($C$6=1,'Laskenta poistopuoli 60'!AG10,IF($C$6=2,'Laskenta poistopuoli 100'!AG10,IF($C$6=3,'Laskenta poistopuoli 150'!AG10,IF($C$6=4,'Laskenta poistopuoli 250'!AG10,IF($C$6=5,'Laskenta poistopuoli 350'!AG10,'Laskenta poistopuoli 130'!AG10)))))</f>
        <v>43</v>
      </c>
      <c r="U16" s="462">
        <f>IF($C$6=1,'Laskenta poistopuoli 60'!AH10,IF($C$6=2,'Laskenta poistopuoli 100'!AH10,IF($C$6=3,'Laskenta poistopuoli 150'!AH10,IF($C$6=4,'Laskenta poistopuoli 250'!AH10,IF($C$6=5,'Laskenta poistopuoli 350'!AH10,'Laskenta poistopuoli 130'!AH10)))))</f>
        <v>10.086604002383522</v>
      </c>
      <c r="W16" s="485">
        <v>5</v>
      </c>
      <c r="X16" s="485" t="s">
        <v>561</v>
      </c>
      <c r="Y16" s="485">
        <v>4</v>
      </c>
      <c r="AI16" s="304">
        <f t="shared" si="8"/>
        <v>320</v>
      </c>
      <c r="AJ16" s="465">
        <f t="shared" si="9"/>
        <v>219.93739247717846</v>
      </c>
      <c r="AK16" s="305">
        <f t="shared" si="0"/>
        <v>250</v>
      </c>
      <c r="AL16" s="465">
        <f t="shared" si="9"/>
        <v>188.91628166968172</v>
      </c>
      <c r="AM16" s="305">
        <f t="shared" si="0"/>
        <v>100</v>
      </c>
      <c r="AN16" s="465">
        <f t="shared" si="9"/>
        <v>111.61131265417077</v>
      </c>
      <c r="AO16" s="305">
        <f t="shared" si="0"/>
        <v>40</v>
      </c>
      <c r="AP16" s="462">
        <f t="shared" si="9"/>
        <v>36.545409216661788</v>
      </c>
      <c r="AR16" s="304">
        <f t="shared" si="10"/>
        <v>320</v>
      </c>
      <c r="AS16" s="465">
        <f t="shared" si="11"/>
        <v>274.91960210152467</v>
      </c>
      <c r="AT16" s="305">
        <f t="shared" si="1"/>
        <v>250</v>
      </c>
      <c r="AU16" s="465">
        <f t="shared" si="11"/>
        <v>257.75794307038529</v>
      </c>
      <c r="AV16" s="305">
        <f t="shared" si="1"/>
        <v>100</v>
      </c>
      <c r="AW16" s="465">
        <f t="shared" si="11"/>
        <v>151.57310872704667</v>
      </c>
      <c r="AX16" s="305">
        <f t="shared" si="1"/>
        <v>43</v>
      </c>
      <c r="AY16" s="462">
        <f t="shared" si="11"/>
        <v>36.311774408580682</v>
      </c>
      <c r="BB16" s="129" t="s">
        <v>561</v>
      </c>
      <c r="BC16" s="299">
        <f>BD26</f>
        <v>52.945167094673948</v>
      </c>
      <c r="BD16" s="299">
        <f t="shared" ref="BD16:BN17" si="17">BE26</f>
        <v>46.945167094673948</v>
      </c>
      <c r="BE16" s="299">
        <f t="shared" si="17"/>
        <v>37.945167094673948</v>
      </c>
      <c r="BF16" s="299">
        <f t="shared" si="17"/>
        <v>24.945167094673948</v>
      </c>
      <c r="BG16" s="299">
        <f t="shared" si="17"/>
        <v>20.945167094673948</v>
      </c>
      <c r="BH16" s="299">
        <f t="shared" si="17"/>
        <v>16.945167094673948</v>
      </c>
      <c r="BI16" s="299">
        <f t="shared" si="17"/>
        <v>16.945167094673948</v>
      </c>
      <c r="BJ16" s="299">
        <f t="shared" si="17"/>
        <v>15.945167094673948</v>
      </c>
      <c r="BK16" s="299">
        <f t="shared" si="17"/>
        <v>54.036662078318741</v>
      </c>
      <c r="BL16" s="299">
        <f t="shared" si="17"/>
        <v>34.945167094673948</v>
      </c>
      <c r="BM16" s="299">
        <f t="shared" si="17"/>
        <v>30.965767007953573</v>
      </c>
      <c r="BN16" s="299">
        <f t="shared" si="17"/>
        <v>36.986366921233198</v>
      </c>
      <c r="BO16" s="286" t="s">
        <v>577</v>
      </c>
      <c r="BW16" t="str" cm="1">
        <f t="array" ref="BW16">INDEX(Kirjasto!D4:K125,37,Kirjasto!B4)</f>
        <v>Kitchen bypass</v>
      </c>
      <c r="BY16" t="str" cm="1">
        <f t="array" ref="BY16">CONCATENATE("* ",INDEX(Kirjasto!D4:K125,8,Kirjasto!B4))</f>
        <v>* Not available for the selected model</v>
      </c>
      <c r="CR16" s="611">
        <f>(1+CR11)*Tulostus!E33</f>
        <v>48</v>
      </c>
      <c r="CS16" s="611">
        <f>(1+CR11)*Tulostus!G33</f>
        <v>48</v>
      </c>
      <c r="CT16" t="s">
        <v>13</v>
      </c>
      <c r="CW16" s="95" t="s">
        <v>1151</v>
      </c>
      <c r="CX16" s="279">
        <f>CS16</f>
        <v>48</v>
      </c>
      <c r="CY16" s="279">
        <f>CS17</f>
        <v>72</v>
      </c>
      <c r="DA16" s="95" t="s">
        <v>1151</v>
      </c>
      <c r="DB16" s="279">
        <f t="shared" si="15"/>
        <v>172.8</v>
      </c>
      <c r="DC16" s="279">
        <f t="shared" si="16"/>
        <v>72</v>
      </c>
    </row>
    <row r="17" spans="1:118" x14ac:dyDescent="0.15">
      <c r="B17" s="597">
        <f t="shared" si="6"/>
        <v>45.335354941275455</v>
      </c>
      <c r="C17" s="304">
        <f>IF($C$6=1,'Laskenta tulopuoli 60'!AA11,IF($C$6=2,'Laskenta tulopuoli 100'!AA11,IF($C$6=3,'Laskenta tulopuoli 150'!AA11,IF($C$6=4,'Laskenta tulopuoli 250'!AA11,IF($C$6=5,'Laskenta tulopuoli 350'!AA11,'Laskenta tulopuoli 130'!AA11)))))</f>
        <v>390</v>
      </c>
      <c r="D17" s="465">
        <f>IF($C$6=1,'Laskenta tulopuoli 60'!$AB$11,IF($C$6=2,'Laskenta tulopuoli 100'!$AB$11,IF($C$6=3,'Laskenta tulopuoli 150'!$AB$11,IF($C$6=4,'Laskenta tulopuoli 250'!$AB$11,IF($C$6=5,'Laskenta tulopuoli 350'!$AB$11,'Laskenta tulopuoli 130'!$AB$11)))))</f>
        <v>45.335354941275455</v>
      </c>
      <c r="E17" s="305">
        <f>IF($C$6=1,'Laskenta tulopuoli 60'!AC11,IF($C$6=2,'Laskenta tulopuoli 100'!AC11,IF($C$6=3,'Laskenta tulopuoli 150'!AC11,IF($C$6=4,'Laskenta tulopuoli 250'!AC11,IF($C$6=5,'Laskenta tulopuoli 350'!AC11,'Laskenta tulopuoli 130'!AC11)))))</f>
        <v>300</v>
      </c>
      <c r="F17" s="465">
        <f>IF($C$6=1,'Laskenta tulopuoli 60'!AD11,IF($C$6=2,'Laskenta tulopuoli 100'!AD11,IF($C$6=3,'Laskenta tulopuoli 150'!AD11,IF($C$6=4,'Laskenta tulopuoli 250'!AD11,IF($C$6=5,'Laskenta tulopuoli 350'!AD11,'Laskenta tulopuoli 130'!AD11)))))</f>
        <v>38.721346925604863</v>
      </c>
      <c r="G17" s="305">
        <f>IF($C$6=1,'Laskenta tulopuoli 60'!AE11,IF($C$6=2,'Laskenta tulopuoli 100'!AE11,IF($C$6=3,'Laskenta tulopuoli 150'!AE11,IF($C$6=4,'Laskenta tulopuoli 250'!AE11,IF($C$6=5,'Laskenta tulopuoli 350'!AE11,'Laskenta tulopuoli 130'!AE11)))))</f>
        <v>125</v>
      </c>
      <c r="H17" s="465">
        <f>IF($C$6=1,'Laskenta tulopuoli 60'!AF11,IF($C$6=2,'Laskenta tulopuoli 100'!AF11,IF($C$6=3,'Laskenta tulopuoli 150'!AF11,IF($C$6=4,'Laskenta tulopuoli 250'!AF11,IF($C$6=5,'Laskenta tulopuoli 350'!AF11,'Laskenta tulopuoli 130'!AF11)))))</f>
        <v>20.915466815294725</v>
      </c>
      <c r="I17" s="305"/>
      <c r="J17" s="462"/>
      <c r="M17" s="597">
        <f t="shared" si="7"/>
        <v>58.980839057652446</v>
      </c>
      <c r="N17" s="304">
        <f>IF($C$6=1,'Laskenta poistopuoli 60'!AA11,IF($C$6=2,'Laskenta poistopuoli 100'!AA11,IF($C$6=3,'Laskenta poistopuoli 150'!AA11,IF($C$6=4,'Laskenta poistopuoli 250'!AA11,IF($C$6=5,'Laskenta poistopuoli 350'!AA11,'Laskenta poistopuoli 130'!AA11)))))</f>
        <v>390</v>
      </c>
      <c r="O17" s="465">
        <f>IF($C$6=1,'Laskenta poistopuoli 60'!AB11,IF($C$6=2,'Laskenta poistopuoli 100'!AB11,IF($C$6=3,'Laskenta poistopuoli 150'!AB11,IF($C$6=4,'Laskenta poistopuoli 250'!AB11,IF($C$6=5,'Laskenta poistopuoli 350'!AB11,'Laskenta poistopuoli 130'!AB11)))))</f>
        <v>58.980839057652446</v>
      </c>
      <c r="P17" s="305">
        <f>IF($C$6=1,'Laskenta poistopuoli 60'!AC11,IF($C$6=2,'Laskenta poistopuoli 100'!AC11,IF($C$6=3,'Laskenta poistopuoli 150'!AC11,IF($C$6=4,'Laskenta poistopuoli 250'!AC11,IF($C$6=5,'Laskenta poistopuoli 350'!AC11,'Laskenta poistopuoli 130'!AC11)))))</f>
        <v>300</v>
      </c>
      <c r="Q17" s="465">
        <f>IF($C$6=1,'Laskenta poistopuoli 60'!AD11,IF($C$6=2,'Laskenta poistopuoli 100'!AD11,IF($C$6=3,'Laskenta poistopuoli 150'!AD11,IF($C$6=4,'Laskenta poistopuoli 250'!AD11,IF($C$6=5,'Laskenta poistopuoli 350'!AD11,'Laskenta poistopuoli 130'!AD11)))))</f>
        <v>57.073060803556054</v>
      </c>
      <c r="R17" s="305">
        <f>IF($C$6=1,'Laskenta poistopuoli 60'!AE11,IF($C$6=2,'Laskenta poistopuoli 100'!AE11,IF($C$6=3,'Laskenta poistopuoli 150'!AE11,IF($C$6=4,'Laskenta poistopuoli 250'!AE11,IF($C$6=5,'Laskenta poistopuoli 350'!AE11,'Laskenta poistopuoli 130'!AE11)))))</f>
        <v>140</v>
      </c>
      <c r="S17" s="465">
        <f>IF($C$6=1,'Laskenta poistopuoli 60'!AF11,IF($C$6=2,'Laskenta poistopuoli 100'!AF11,IF($C$6=3,'Laskenta poistopuoli 150'!AF11,IF($C$6=4,'Laskenta poistopuoli 250'!AF11,IF($C$6=5,'Laskenta poistopuoli 350'!AF11,'Laskenta poistopuoli 130'!AF11)))))</f>
        <v>19.574933517601881</v>
      </c>
      <c r="T17" s="305"/>
      <c r="U17" s="462"/>
      <c r="W17" s="485">
        <v>6</v>
      </c>
      <c r="X17" s="485" t="s">
        <v>560</v>
      </c>
      <c r="Y17" s="485">
        <v>5</v>
      </c>
      <c r="AI17" s="304">
        <f t="shared" si="8"/>
        <v>390</v>
      </c>
      <c r="AJ17" s="465">
        <f t="shared" si="9"/>
        <v>163.20727778859165</v>
      </c>
      <c r="AK17" s="305">
        <f t="shared" si="0"/>
        <v>300</v>
      </c>
      <c r="AL17" s="465">
        <f t="shared" si="9"/>
        <v>139.39684893217751</v>
      </c>
      <c r="AM17" s="305">
        <f t="shared" si="0"/>
        <v>125</v>
      </c>
      <c r="AN17" s="465">
        <f t="shared" si="9"/>
        <v>75.29568053506101</v>
      </c>
      <c r="AO17" s="305"/>
      <c r="AP17" s="462"/>
      <c r="AR17" s="304">
        <f t="shared" si="10"/>
        <v>390</v>
      </c>
      <c r="AS17" s="465">
        <f t="shared" si="11"/>
        <v>212.33102060754882</v>
      </c>
      <c r="AT17" s="305">
        <f t="shared" si="1"/>
        <v>300</v>
      </c>
      <c r="AU17" s="465">
        <f t="shared" si="11"/>
        <v>205.46301889280178</v>
      </c>
      <c r="AV17" s="305">
        <f t="shared" si="1"/>
        <v>140</v>
      </c>
      <c r="AW17" s="465">
        <f t="shared" si="11"/>
        <v>70.46976066336677</v>
      </c>
      <c r="AX17" s="305"/>
      <c r="AY17" s="462"/>
      <c r="BB17" s="129" t="s">
        <v>560</v>
      </c>
      <c r="BC17" s="299">
        <f>BD27</f>
        <v>52.945167094673948</v>
      </c>
      <c r="BD17" s="299">
        <f t="shared" si="17"/>
        <v>46.945167094673948</v>
      </c>
      <c r="BE17" s="299">
        <f t="shared" si="17"/>
        <v>37.945167094673948</v>
      </c>
      <c r="BF17" s="299">
        <f t="shared" si="17"/>
        <v>24.945167094673948</v>
      </c>
      <c r="BG17" s="299">
        <f t="shared" si="17"/>
        <v>20.945167094673948</v>
      </c>
      <c r="BH17" s="299">
        <f t="shared" si="17"/>
        <v>16.945167094673948</v>
      </c>
      <c r="BI17" s="299">
        <f t="shared" si="17"/>
        <v>16.945167094673948</v>
      </c>
      <c r="BJ17" s="299">
        <f t="shared" si="17"/>
        <v>15.945167094673948</v>
      </c>
      <c r="BK17" s="299">
        <f t="shared" si="17"/>
        <v>54.036662078318741</v>
      </c>
      <c r="BL17" s="299">
        <f t="shared" si="17"/>
        <v>34.945167094673948</v>
      </c>
      <c r="BM17" s="299">
        <f t="shared" si="17"/>
        <v>30.965767007953573</v>
      </c>
      <c r="BN17" s="299">
        <f t="shared" si="17"/>
        <v>36.986366921233198</v>
      </c>
      <c r="BO17" s="286" t="s">
        <v>578</v>
      </c>
      <c r="BV17" s="2" t="s">
        <v>21</v>
      </c>
      <c r="BW17" s="2" t="str">
        <f>IF(BT15,BW15,BW16)</f>
        <v>Kitchen bypass</v>
      </c>
      <c r="BY17" s="2" t="str">
        <f>IF(BT15,IF(OR($C$6=3,$C$6=4,$C$6=5),BY16,BY15),"")</f>
        <v/>
      </c>
      <c r="CR17" s="611">
        <f>(Tulostus!E39/Tulostus!E33^2)*Tulokset!CR16^2</f>
        <v>72</v>
      </c>
      <c r="CS17" s="611">
        <f>(Tulostus!G39/Tulostus!G33^2)*Tulokset!CS16^2</f>
        <v>72</v>
      </c>
      <c r="CT17" t="s">
        <v>14</v>
      </c>
      <c r="DN17" t="s">
        <v>1334</v>
      </c>
    </row>
    <row r="18" spans="1:118" ht="14" thickBot="1" x14ac:dyDescent="0.2">
      <c r="B18" s="597">
        <f t="shared" si="6"/>
        <v>40.227692796254239</v>
      </c>
      <c r="C18" s="306">
        <f>IF($C$6=1,'Laskenta tulopuoli 60'!AA12,IF($C$6=2,'Laskenta tulopuoli 100'!AA12,IF($C$6=3,'Laskenta tulopuoli 150'!AA12,IF($C$6=4,'Laskenta tulopuoli 250'!AA12,IF($C$6=5,'Laskenta tulopuoli 350'!AA12,'Laskenta tulopuoli 130'!AA12)))))</f>
        <v>410</v>
      </c>
      <c r="D18" s="466">
        <f>IF($C$6=1,'Laskenta tulopuoli 60'!$AB$12,IF($C$6=2,'Laskenta tulopuoli 100'!$AB$12,IF($C$6=3,'Laskenta tulopuoli 150'!$AB$12,IF($C$6=4,'Laskenta tulopuoli 250'!$AB$12,IF($C$6=5,'Laskenta tulopuoli 350'!$AB$12,'Laskenta tulopuoli 130'!$AB$12)))))</f>
        <v>40.227692796254239</v>
      </c>
      <c r="E18" s="307">
        <f>IF($C$6=1,'Laskenta tulopuoli 60'!AC12,IF($C$6=2,'Laskenta tulopuoli 100'!AC12,IF($C$6=3,'Laskenta tulopuoli 150'!AC12,IF($C$6=4,'Laskenta tulopuoli 250'!AC12,IF($C$6=5,'Laskenta tulopuoli 350'!AC12,'Laskenta tulopuoli 130'!AC12)))))</f>
        <v>315</v>
      </c>
      <c r="F18" s="466">
        <f>IF($C$6=1,'Laskenta tulopuoli 60'!AD12,IF($C$6=2,'Laskenta tulopuoli 100'!AD12,IF($C$6=3,'Laskenta tulopuoli 150'!AD12,IF($C$6=4,'Laskenta tulopuoli 250'!AD12,IF($C$6=5,'Laskenta tulopuoli 350'!AD12,'Laskenta tulopuoli 130'!AD12)))))</f>
        <v>33.921064483256508</v>
      </c>
      <c r="G18" s="307"/>
      <c r="H18" s="466"/>
      <c r="I18" s="307"/>
      <c r="J18" s="463"/>
      <c r="M18" s="597">
        <f t="shared" si="7"/>
        <v>44.277754454596312</v>
      </c>
      <c r="N18" s="306">
        <f>IF($C$6=1,'Laskenta poistopuoli 60'!AA12,IF($C$6=2,'Laskenta poistopuoli 100'!AA12,IF($C$6=3,'Laskenta poistopuoli 150'!AA12,IF($C$6=4,'Laskenta poistopuoli 250'!AA12,IF($C$6=5,'Laskenta poistopuoli 350'!AA12,'Laskenta poistopuoli 130'!AA12)))))</f>
        <v>422</v>
      </c>
      <c r="O18" s="466">
        <f>IF($C$6=1,'Laskenta poistopuoli 60'!AB12,IF($C$6=2,'Laskenta poistopuoli 100'!AB12,IF($C$6=3,'Laskenta poistopuoli 150'!AB12,IF($C$6=4,'Laskenta poistopuoli 250'!AB12,IF($C$6=5,'Laskenta poistopuoli 350'!AB12,'Laskenta poistopuoli 130'!AB12)))))</f>
        <v>44.277754454596312</v>
      </c>
      <c r="P18" s="307">
        <f>IF($C$6=1,'Laskenta poistopuoli 60'!AC12,IF($C$6=2,'Laskenta poistopuoli 100'!AC12,IF($C$6=3,'Laskenta poistopuoli 150'!AC12,IF($C$6=4,'Laskenta poistopuoli 250'!AC12,IF($C$6=5,'Laskenta poistopuoli 350'!AC12,'Laskenta poistopuoli 130'!AC12)))))</f>
        <v>340</v>
      </c>
      <c r="Q18" s="466">
        <f>IF($C$6=1,'Laskenta poistopuoli 60'!AD12,IF($C$6=2,'Laskenta poistopuoli 100'!AD12,IF($C$6=3,'Laskenta poistopuoli 150'!AD12,IF($C$6=4,'Laskenta poistopuoli 250'!AD12,IF($C$6=5,'Laskenta poistopuoli 350'!AD12,'Laskenta poistopuoli 130'!AD12)))))</f>
        <v>39.254349206872753</v>
      </c>
      <c r="R18" s="307"/>
      <c r="S18" s="466"/>
      <c r="T18" s="307"/>
      <c r="U18" s="463"/>
      <c r="AI18" s="306">
        <f t="shared" si="8"/>
        <v>410</v>
      </c>
      <c r="AJ18" s="466">
        <f t="shared" si="9"/>
        <v>144.81969406651527</v>
      </c>
      <c r="AK18" s="307">
        <f t="shared" si="0"/>
        <v>315</v>
      </c>
      <c r="AL18" s="466">
        <f t="shared" si="9"/>
        <v>122.11583213972344</v>
      </c>
      <c r="AM18" s="307"/>
      <c r="AN18" s="466"/>
      <c r="AO18" s="307"/>
      <c r="AP18" s="463"/>
      <c r="AR18" s="306">
        <f t="shared" si="10"/>
        <v>422</v>
      </c>
      <c r="AS18" s="466">
        <f t="shared" si="11"/>
        <v>159.39991603654673</v>
      </c>
      <c r="AT18" s="307">
        <f t="shared" si="1"/>
        <v>340</v>
      </c>
      <c r="AU18" s="466">
        <f t="shared" si="11"/>
        <v>141.31565714474192</v>
      </c>
      <c r="AV18" s="307"/>
      <c r="AW18" s="466"/>
      <c r="AX18" s="307"/>
      <c r="AY18" s="463"/>
      <c r="BB18" s="129" t="s">
        <v>585</v>
      </c>
      <c r="BC18" s="80">
        <f>BD28-BD$8</f>
        <v>36.345325455046833</v>
      </c>
      <c r="BD18" s="80">
        <f t="shared" ref="BD18:BJ18" si="18">BE28-BE$8</f>
        <v>40.345325455046833</v>
      </c>
      <c r="BE18" s="80">
        <f t="shared" si="18"/>
        <v>32.345325455046833</v>
      </c>
      <c r="BF18" s="80">
        <f t="shared" si="18"/>
        <v>24.345325455046833</v>
      </c>
      <c r="BG18" s="80">
        <f t="shared" si="18"/>
        <v>16.345325455046833</v>
      </c>
      <c r="BH18" s="80">
        <f t="shared" si="18"/>
        <v>10.345325455046833</v>
      </c>
      <c r="BI18" s="80">
        <f t="shared" si="18"/>
        <v>4.345325455046833</v>
      </c>
      <c r="BJ18" s="80">
        <f t="shared" si="18"/>
        <v>-0.65467454495316701</v>
      </c>
      <c r="BK18" s="80">
        <f t="array" ref="BK18">10*LOG10(SUM(10^(BC18:BJ18/10)))</f>
        <v>42.35116873889865</v>
      </c>
      <c r="BL18" s="80">
        <f t="array" ref="BL18">10*LOG10(SUM(10^((BC18:BJ18+BC9:BJ9)/10)))</f>
        <v>28.479771404464159</v>
      </c>
      <c r="BM18" s="80">
        <f>BL18+10*LOG10(4/10)</f>
        <v>24.500371317743785</v>
      </c>
      <c r="BN18" s="80">
        <f>BL18+10*LOG10(4/2.5)</f>
        <v>30.520971231023406</v>
      </c>
      <c r="CM18" t="s">
        <v>513</v>
      </c>
      <c r="DN18" t="b">
        <f>D40</f>
        <v>0</v>
      </c>
    </row>
    <row r="19" spans="1:118" x14ac:dyDescent="0.15"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CM19" t="b">
        <f>D40</f>
        <v>0</v>
      </c>
      <c r="CR19" s="4">
        <f>IF($AC$7,CR16,CR16*3.6)</f>
        <v>172.8</v>
      </c>
      <c r="CS19" s="4">
        <f>IF($AC$7,CS16,CS16*3.6)</f>
        <v>172.8</v>
      </c>
      <c r="CT19" s="4" t="str">
        <f>IF(AC7,"dm³/s","m³/h")</f>
        <v>m³/h</v>
      </c>
    </row>
    <row r="20" spans="1:118" x14ac:dyDescent="0.15">
      <c r="O20" s="420" t="s">
        <v>1266</v>
      </c>
      <c r="P20" t="s">
        <v>118</v>
      </c>
      <c r="BT20" s="2" t="s">
        <v>390</v>
      </c>
      <c r="CR20" s="5">
        <f>IF($AC$7,CR16*3.6,CR16)</f>
        <v>48</v>
      </c>
      <c r="CS20" s="5">
        <f>IF($AC$7,CS16*3.6,CS16)</f>
        <v>48</v>
      </c>
      <c r="CT20" s="4" t="str">
        <f t="shared" ref="CT20" si="19">IF(AC8,"dm³/s","m³/h")</f>
        <v>dm³/s</v>
      </c>
      <c r="CV20" s="2" t="s">
        <v>1111</v>
      </c>
      <c r="CX20" s="2" t="s">
        <v>117</v>
      </c>
      <c r="CZ20" s="2" t="s">
        <v>79</v>
      </c>
    </row>
    <row r="21" spans="1:118" x14ac:dyDescent="0.15">
      <c r="D21" s="2" t="s">
        <v>44</v>
      </c>
      <c r="G21" s="2" t="s">
        <v>58</v>
      </c>
      <c r="J21" s="2" t="s">
        <v>73</v>
      </c>
      <c r="O21" s="420" t="s">
        <v>187</v>
      </c>
      <c r="P21" s="2" t="s">
        <v>29</v>
      </c>
      <c r="Z21" s="2" t="s">
        <v>26</v>
      </c>
      <c r="AJ21" s="2" t="s">
        <v>55</v>
      </c>
      <c r="AT21" s="2" t="s">
        <v>56</v>
      </c>
      <c r="BD21" s="2" t="s">
        <v>96</v>
      </c>
      <c r="BT21" s="104">
        <v>63</v>
      </c>
      <c r="BU21" s="104">
        <v>125</v>
      </c>
      <c r="BV21" s="104">
        <v>250</v>
      </c>
      <c r="BW21" s="104">
        <v>500</v>
      </c>
      <c r="BX21" s="104">
        <v>1000</v>
      </c>
      <c r="BY21" s="104">
        <v>2000</v>
      </c>
      <c r="BZ21" s="104">
        <v>4000</v>
      </c>
      <c r="CA21" s="104">
        <v>8000</v>
      </c>
      <c r="CB21" s="104" t="s">
        <v>70</v>
      </c>
      <c r="CC21" s="104" t="s">
        <v>27</v>
      </c>
      <c r="CI21" t="s">
        <v>530</v>
      </c>
      <c r="CJ21" t="s">
        <v>531</v>
      </c>
      <c r="CL21" s="2" t="s">
        <v>568</v>
      </c>
      <c r="CM21" s="2" t="s">
        <v>566</v>
      </c>
      <c r="CT21" s="4"/>
      <c r="CV21" s="4" t="s">
        <v>7</v>
      </c>
      <c r="CW21" s="4" t="s">
        <v>8</v>
      </c>
      <c r="CX21" s="4" t="s">
        <v>7</v>
      </c>
      <c r="CY21" s="4" t="s">
        <v>8</v>
      </c>
      <c r="CZ21" s="4" t="s">
        <v>7</v>
      </c>
      <c r="DA21" s="4" t="s">
        <v>8</v>
      </c>
      <c r="DG21" s="2" t="s">
        <v>1268</v>
      </c>
      <c r="DN21" t="s">
        <v>1275</v>
      </c>
    </row>
    <row r="22" spans="1:118" x14ac:dyDescent="0.15">
      <c r="D22" s="2" t="s">
        <v>117</v>
      </c>
      <c r="E22" s="2" t="s">
        <v>18</v>
      </c>
      <c r="F22" s="2" t="s">
        <v>54</v>
      </c>
      <c r="G22" s="2" t="s">
        <v>117</v>
      </c>
      <c r="H22" s="2" t="s">
        <v>18</v>
      </c>
      <c r="I22" s="2" t="s">
        <v>54</v>
      </c>
      <c r="J22" s="2" t="s">
        <v>54</v>
      </c>
      <c r="K22" s="2" t="s">
        <v>124</v>
      </c>
      <c r="L22" s="2" t="s">
        <v>75</v>
      </c>
      <c r="M22" s="2" t="s">
        <v>203</v>
      </c>
      <c r="N22" s="2" t="s">
        <v>202</v>
      </c>
      <c r="O22" s="420" t="s">
        <v>188</v>
      </c>
      <c r="P22" s="104">
        <v>63</v>
      </c>
      <c r="Q22" s="104">
        <v>125</v>
      </c>
      <c r="R22" s="104">
        <v>250</v>
      </c>
      <c r="S22" s="104">
        <v>500</v>
      </c>
      <c r="T22" s="104">
        <v>1000</v>
      </c>
      <c r="U22" s="104">
        <v>2000</v>
      </c>
      <c r="V22" s="104">
        <v>4000</v>
      </c>
      <c r="W22" s="104">
        <v>8000</v>
      </c>
      <c r="X22" s="104" t="s">
        <v>70</v>
      </c>
      <c r="Y22" s="104" t="s">
        <v>27</v>
      </c>
      <c r="Z22" s="104">
        <v>63</v>
      </c>
      <c r="AA22" s="104">
        <v>125</v>
      </c>
      <c r="AB22" s="104">
        <v>250</v>
      </c>
      <c r="AC22" s="104">
        <v>500</v>
      </c>
      <c r="AD22" s="104">
        <v>1000</v>
      </c>
      <c r="AE22" s="104">
        <v>2000</v>
      </c>
      <c r="AF22" s="104">
        <v>4000</v>
      </c>
      <c r="AG22" s="104">
        <v>8000</v>
      </c>
      <c r="AH22" s="104" t="s">
        <v>70</v>
      </c>
      <c r="AI22" s="104" t="s">
        <v>27</v>
      </c>
      <c r="AJ22" s="104">
        <v>63</v>
      </c>
      <c r="AK22" s="104">
        <v>125</v>
      </c>
      <c r="AL22" s="104">
        <v>250</v>
      </c>
      <c r="AM22" s="104">
        <v>500</v>
      </c>
      <c r="AN22" s="104">
        <v>1000</v>
      </c>
      <c r="AO22" s="104">
        <v>2000</v>
      </c>
      <c r="AP22" s="104">
        <v>4000</v>
      </c>
      <c r="AQ22" s="104">
        <v>8000</v>
      </c>
      <c r="AR22" s="104" t="s">
        <v>70</v>
      </c>
      <c r="AS22" s="104" t="s">
        <v>27</v>
      </c>
      <c r="AT22" s="104">
        <v>63</v>
      </c>
      <c r="AU22" s="104">
        <v>125</v>
      </c>
      <c r="AV22" s="104">
        <v>250</v>
      </c>
      <c r="AW22" s="104">
        <v>500</v>
      </c>
      <c r="AX22" s="104">
        <v>1000</v>
      </c>
      <c r="AY22" s="104">
        <v>2000</v>
      </c>
      <c r="AZ22" s="104">
        <v>4000</v>
      </c>
      <c r="BA22" s="104">
        <v>8000</v>
      </c>
      <c r="BB22" s="104" t="s">
        <v>70</v>
      </c>
      <c r="BC22" s="104" t="s">
        <v>27</v>
      </c>
      <c r="BD22" s="104">
        <v>63</v>
      </c>
      <c r="BE22" s="104">
        <v>125</v>
      </c>
      <c r="BF22" s="104">
        <v>250</v>
      </c>
      <c r="BG22" s="104">
        <v>500</v>
      </c>
      <c r="BH22" s="104">
        <v>1000</v>
      </c>
      <c r="BI22" s="104">
        <v>2000</v>
      </c>
      <c r="BJ22" s="104">
        <v>4000</v>
      </c>
      <c r="BK22" s="104">
        <v>8000</v>
      </c>
      <c r="BL22" s="104" t="s">
        <v>70</v>
      </c>
      <c r="BM22" s="104" t="s">
        <v>27</v>
      </c>
      <c r="BN22" t="s">
        <v>97</v>
      </c>
      <c r="BO22" t="s">
        <v>98</v>
      </c>
      <c r="BS22" t="s">
        <v>115</v>
      </c>
      <c r="BT22" s="80">
        <f>'Laskenta keittiöohitus'!C32</f>
        <v>68</v>
      </c>
      <c r="BU22" s="80">
        <f>'Laskenta keittiöohitus'!D32</f>
        <v>63</v>
      </c>
      <c r="BV22" s="80">
        <f>'Laskenta keittiöohitus'!E32</f>
        <v>59</v>
      </c>
      <c r="BW22" s="80">
        <f>'Laskenta keittiöohitus'!F32</f>
        <v>52</v>
      </c>
      <c r="BX22" s="80">
        <f>'Laskenta keittiöohitus'!G32</f>
        <v>49</v>
      </c>
      <c r="BY22" s="80">
        <f>'Laskenta keittiöohitus'!H32</f>
        <v>40</v>
      </c>
      <c r="BZ22" s="80">
        <f>'Laskenta keittiöohitus'!I32</f>
        <v>29</v>
      </c>
      <c r="CA22" s="80">
        <f>'Laskenta keittiöohitus'!J32</f>
        <v>21</v>
      </c>
      <c r="CB22" s="80">
        <f>'Laskenta keittiöohitus'!K32</f>
        <v>69.707189991030347</v>
      </c>
      <c r="CC22" s="80">
        <f>'Laskenta keittiöohitus'!D27</f>
        <v>54.623792264383411</v>
      </c>
      <c r="CI22" s="39" t="s">
        <v>393</v>
      </c>
      <c r="CJ22" s="39" t="s">
        <v>393</v>
      </c>
      <c r="CL22" t="s">
        <v>569</v>
      </c>
      <c r="CM22" t="str" cm="1">
        <f t="array" ref="CM22">INDEX(Kirjasto!D4:K125,9,Kirjasto!B4)</f>
        <v>Electric plug 230 V, 50 Hz, 10 A, max 1165 W</v>
      </c>
      <c r="CR22" t="str">
        <f t="shared" ref="CR22:CR27" si="20">C23</f>
        <v>Model 60</v>
      </c>
      <c r="CV22" s="621">
        <f>'Laskenta tulopuoli 60'!AI34</f>
        <v>1.0447082616601771</v>
      </c>
      <c r="CW22" s="621">
        <f>'Laskenta poistopuoli 60'!AI34</f>
        <v>1.2244599184395049</v>
      </c>
      <c r="CX22" s="4" t="b">
        <f>'Laskenta tulopuoli 60'!AL34</f>
        <v>1</v>
      </c>
      <c r="CY22" s="4" t="b">
        <f>'Laskenta poistopuoli 60'!AL34</f>
        <v>1</v>
      </c>
      <c r="CZ22" s="5">
        <f>'Laskenta tulopuoli 60'!AL36</f>
        <v>5.3310493925409403</v>
      </c>
      <c r="DA22" s="5">
        <f>'Laskenta poistopuoli 60'!AL36</f>
        <v>4.7292356585093431</v>
      </c>
      <c r="DK22" s="4" t="s">
        <v>1257</v>
      </c>
      <c r="DL22" s="4" t="s">
        <v>1260</v>
      </c>
      <c r="DN22" t="s">
        <v>1276</v>
      </c>
    </row>
    <row r="23" spans="1:118" x14ac:dyDescent="0.15">
      <c r="A23" s="485">
        <v>1</v>
      </c>
      <c r="C23" t="s">
        <v>115</v>
      </c>
      <c r="D23" t="b">
        <f>'Laskenta tulopuoli 60'!W10</f>
        <v>1</v>
      </c>
      <c r="E23" s="5">
        <f>'Laskenta tulopuoli 60'!W9</f>
        <v>4.6056989925805771</v>
      </c>
      <c r="F23" s="5">
        <f>'Laskenta tulopuoli 60'!W14</f>
        <v>17.415404182904666</v>
      </c>
      <c r="G23" t="b">
        <f>'Laskenta poistopuoli 60'!W10</f>
        <v>1</v>
      </c>
      <c r="H23" s="5">
        <f>'Laskenta poistopuoli 60'!W9</f>
        <v>4.0607088592057181</v>
      </c>
      <c r="I23" s="5">
        <f>'Laskenta poistopuoli 60'!W14</f>
        <v>14.606785358742272</v>
      </c>
      <c r="J23" s="4">
        <v>4.4000000000000004</v>
      </c>
      <c r="K23" s="5">
        <f t="shared" ref="K23:K28" si="21">F23+I23+J23</f>
        <v>36.422189541646937</v>
      </c>
      <c r="L23" s="32">
        <f>K23/MAX(Tulostus!$E$33,Tulostus!$G$33)</f>
        <v>0.91055473854117341</v>
      </c>
      <c r="M23" s="4">
        <f>90*0.7</f>
        <v>62.999999999999993</v>
      </c>
      <c r="N23" s="99">
        <v>1.1864630512155652</v>
      </c>
      <c r="O23" s="852">
        <v>0.79500000000000004</v>
      </c>
      <c r="P23" s="80">
        <f>'Laskenta tulopuoli 60'!$AF$44</f>
        <v>81.554075562111791</v>
      </c>
      <c r="Q23" s="80">
        <f>'Laskenta tulopuoli 60'!$AG$44</f>
        <v>64.554075562111791</v>
      </c>
      <c r="R23" s="80">
        <f>'Laskenta tulopuoli 60'!$AH$44</f>
        <v>60.554075562111798</v>
      </c>
      <c r="S23" s="80">
        <f>'Laskenta tulopuoli 60'!$AI$44</f>
        <v>57.554075562111798</v>
      </c>
      <c r="T23" s="80">
        <f>'Laskenta tulopuoli 60'!$AJ$44</f>
        <v>51.554075562111798</v>
      </c>
      <c r="U23" s="80">
        <f>'Laskenta tulopuoli 60'!$AK$44</f>
        <v>49.554075562111798</v>
      </c>
      <c r="V23" s="80">
        <f>'Laskenta tulopuoli 60'!$AL$44</f>
        <v>44.554075562111798</v>
      </c>
      <c r="W23" s="80">
        <f>'Laskenta tulopuoli 60'!$AM$44</f>
        <v>36.554075562111798</v>
      </c>
      <c r="X23" s="80">
        <f>'Laskenta tulopuoli 60'!$AN$44</f>
        <v>81.698184925789533</v>
      </c>
      <c r="Y23" s="108">
        <f>'Laskenta tulopuoli 60'!$W$6</f>
        <v>60.554075562111798</v>
      </c>
      <c r="Z23" s="80">
        <f>'Laskenta tulopuoli 60'!$AF$43</f>
        <v>72.966638054503562</v>
      </c>
      <c r="AA23" s="80">
        <f>'Laskenta tulopuoli 60'!$AG$43</f>
        <v>55.966638054503562</v>
      </c>
      <c r="AB23" s="80">
        <f>'Laskenta tulopuoli 60'!$AH$43</f>
        <v>52.966638054503562</v>
      </c>
      <c r="AC23" s="80">
        <f>'Laskenta tulopuoli 60'!$AI$43</f>
        <v>43.966638054503562</v>
      </c>
      <c r="AD23" s="80">
        <f>'Laskenta tulopuoli 60'!$AJ$43</f>
        <v>33.966638054503562</v>
      </c>
      <c r="AE23" s="80">
        <f>'Laskenta tulopuoli 60'!$AK$43</f>
        <v>27.966638054503562</v>
      </c>
      <c r="AF23" s="80">
        <f>'Laskenta tulopuoli 60'!$AL$43</f>
        <v>19.966638054503562</v>
      </c>
      <c r="AG23" s="80">
        <f>'Laskenta tulopuoli 60'!$AM$43</f>
        <v>16.966638054503562</v>
      </c>
      <c r="AH23" s="80">
        <f>'Laskenta tulopuoli 60'!$AN$43</f>
        <v>73.100810741004437</v>
      </c>
      <c r="AI23" s="108">
        <f>'Laskenta tulopuoli 60'!$W$5</f>
        <v>49.966638054503562</v>
      </c>
      <c r="AJ23" s="80">
        <f>'Laskenta poistopuoli 60'!$AF$43</f>
        <v>71.666327398220631</v>
      </c>
      <c r="AK23" s="80">
        <f>'Laskenta poistopuoli 60'!$AG$43</f>
        <v>52.666327398220631</v>
      </c>
      <c r="AL23" s="80">
        <f>'Laskenta poistopuoli 60'!$AH$43</f>
        <v>47.666327398220631</v>
      </c>
      <c r="AM23" s="80">
        <f>'Laskenta poistopuoli 60'!$AI$43</f>
        <v>44.666327398220631</v>
      </c>
      <c r="AN23" s="80">
        <f>'Laskenta poistopuoli 60'!$AJ$43</f>
        <v>38.666327398220631</v>
      </c>
      <c r="AO23" s="80">
        <f>'Laskenta poistopuoli 60'!$AK$43</f>
        <v>31.666327398220631</v>
      </c>
      <c r="AP23" s="80">
        <f>'Laskenta poistopuoli 60'!$AL$43</f>
        <v>22.666327398220631</v>
      </c>
      <c r="AQ23" s="80">
        <f>'Laskenta poistopuoli 60'!$AM$43</f>
        <v>16.666327398220631</v>
      </c>
      <c r="AR23" s="80">
        <f>'Laskenta poistopuoli 60'!$AN$43</f>
        <v>71.74884709234172</v>
      </c>
      <c r="AS23" s="108">
        <f>'Laskenta poistopuoli 60'!$W$5</f>
        <v>48.666327398220631</v>
      </c>
      <c r="AT23" s="80">
        <f>'Laskenta poistopuoli 60'!$AF$44</f>
        <v>78.69453842504565</v>
      </c>
      <c r="AU23" s="80">
        <f>'Laskenta poistopuoli 60'!$AG$44</f>
        <v>62.69453842504565</v>
      </c>
      <c r="AV23" s="80">
        <f>'Laskenta poistopuoli 60'!$AH$44</f>
        <v>60.69453842504565</v>
      </c>
      <c r="AW23" s="80">
        <f>'Laskenta poistopuoli 60'!$AI$44</f>
        <v>53.69453842504565</v>
      </c>
      <c r="AX23" s="80">
        <f>'Laskenta poistopuoli 60'!$AJ$44</f>
        <v>50.69453842504565</v>
      </c>
      <c r="AY23" s="80">
        <f>'Laskenta poistopuoli 60'!$AK$44</f>
        <v>48.69453842504565</v>
      </c>
      <c r="AZ23" s="80">
        <f>'Laskenta poistopuoli 60'!$AL$44</f>
        <v>43.69453842504565</v>
      </c>
      <c r="BA23" s="80">
        <f>'Laskenta poistopuoli 60'!$AM$44</f>
        <v>39.69453842504565</v>
      </c>
      <c r="BB23" s="80">
        <f>'Laskenta poistopuoli 60'!$AN$44</f>
        <v>78.894656789813283</v>
      </c>
      <c r="BC23" s="108">
        <f>'Laskenta poistopuoli 60'!$W$6</f>
        <v>58.69453842504565</v>
      </c>
      <c r="BD23" s="80">
        <f>'Laskenta vaipan läpi 60'!L39</f>
        <v>48.294685941096091</v>
      </c>
      <c r="BE23" s="80">
        <f>'Laskenta vaipan läpi 60'!M39</f>
        <v>44.294685941096091</v>
      </c>
      <c r="BF23" s="80">
        <f>'Laskenta vaipan läpi 60'!N39</f>
        <v>39.294685941096091</v>
      </c>
      <c r="BG23" s="80">
        <f>'Laskenta vaipan läpi 60'!O39</f>
        <v>30.294685941096091</v>
      </c>
      <c r="BH23" s="80">
        <f>'Laskenta vaipan läpi 60'!P39</f>
        <v>22.294685941096091</v>
      </c>
      <c r="BI23" s="80">
        <f>'Laskenta vaipan läpi 60'!Q39</f>
        <v>16.294685941096091</v>
      </c>
      <c r="BJ23" s="80">
        <f>'Laskenta vaipan läpi 60'!R39</f>
        <v>9.2946859410960911</v>
      </c>
      <c r="BK23" s="80">
        <f>'Laskenta vaipan läpi 60'!S39</f>
        <v>8.2946859410960911</v>
      </c>
      <c r="BL23" s="80">
        <f>'Laskenta vaipan läpi 60'!T39</f>
        <v>50.178956998707633</v>
      </c>
      <c r="BM23" s="108">
        <f>'Laskenta vaipan läpi 60'!C35</f>
        <v>34.294685941096091</v>
      </c>
      <c r="BN23" s="80">
        <f>BM23+10*LOG10(4/10)</f>
        <v>30.315285854375716</v>
      </c>
      <c r="BO23" s="80">
        <f>BM23+10*LOG10(4/2.5)</f>
        <v>36.335885767655341</v>
      </c>
      <c r="BS23" t="s">
        <v>116</v>
      </c>
      <c r="BT23" s="80">
        <f>BT22</f>
        <v>68</v>
      </c>
      <c r="BU23" s="80">
        <f t="shared" ref="BU23:CC23" si="22">BU22</f>
        <v>63</v>
      </c>
      <c r="BV23" s="80">
        <f t="shared" si="22"/>
        <v>59</v>
      </c>
      <c r="BW23" s="80">
        <f t="shared" si="22"/>
        <v>52</v>
      </c>
      <c r="BX23" s="80">
        <f t="shared" si="22"/>
        <v>49</v>
      </c>
      <c r="BY23" s="80">
        <f t="shared" si="22"/>
        <v>40</v>
      </c>
      <c r="BZ23" s="80">
        <f t="shared" si="22"/>
        <v>29</v>
      </c>
      <c r="CA23" s="80">
        <f t="shared" si="22"/>
        <v>21</v>
      </c>
      <c r="CB23" s="80">
        <f t="shared" si="22"/>
        <v>69.707189991030347</v>
      </c>
      <c r="CC23" s="80">
        <f t="shared" si="22"/>
        <v>54.623792264383411</v>
      </c>
      <c r="CI23" s="39" t="s">
        <v>393</v>
      </c>
      <c r="CJ23" s="39" t="s">
        <v>393</v>
      </c>
      <c r="CL23" t="s">
        <v>570</v>
      </c>
      <c r="CM23" t="str" cm="1">
        <f t="array" ref="CM23">INDEX(Kirjasto!D4:K125,10,Kirjasto!B4)</f>
        <v>Electric plug 230 V, 50 Hz, 10 A, max 1165 W</v>
      </c>
      <c r="CR23" t="str">
        <f t="shared" si="20"/>
        <v>Model 100</v>
      </c>
      <c r="CV23" s="621">
        <f>'Laskenta tulopuoli 100'!AL34</f>
        <v>0.97496895457449106</v>
      </c>
      <c r="CW23" s="621">
        <f>'Laskenta poistopuoli 100'!AL34</f>
        <v>1.1611436754242059</v>
      </c>
      <c r="CX23" s="4" t="b">
        <f>'Laskenta tulopuoli 100'!AO34</f>
        <v>1</v>
      </c>
      <c r="CY23" s="4" t="b">
        <f>'Laskenta poistopuoli 100'!AO34</f>
        <v>1</v>
      </c>
      <c r="CZ23" s="5">
        <f>'Laskenta tulopuoli 100'!AO36</f>
        <v>5.555140891889673</v>
      </c>
      <c r="DA23" s="5">
        <f>'Laskenta poistopuoli 100'!AO36</f>
        <v>4.9882529919520833</v>
      </c>
      <c r="DG23" s="485">
        <v>1</v>
      </c>
      <c r="DI23" t="s">
        <v>115</v>
      </c>
      <c r="DK23" s="621">
        <f>'Kojeet ja kennon hyötysuhde'!N4</f>
        <v>0.79584313725490186</v>
      </c>
      <c r="DL23" s="621">
        <f>'Kojeet ja kennon hyötysuhde'!O4</f>
        <v>0.80890196078431376</v>
      </c>
      <c r="DN23">
        <v>920</v>
      </c>
    </row>
    <row r="24" spans="1:118" x14ac:dyDescent="0.15">
      <c r="A24" s="485">
        <v>2</v>
      </c>
      <c r="C24" t="s">
        <v>116</v>
      </c>
      <c r="D24" t="b">
        <f>'Laskenta tulopuoli 100'!$W$10</f>
        <v>1</v>
      </c>
      <c r="E24" s="5">
        <f>'Laskenta tulopuoli 100'!$W$9</f>
        <v>4.8478786723976857</v>
      </c>
      <c r="F24" s="5">
        <f>'Laskenta tulopuoli 100'!$W$14</f>
        <v>18.524476463783195</v>
      </c>
      <c r="G24" t="b">
        <f>'Laskenta poistopuoli 100'!$W$10</f>
        <v>1</v>
      </c>
      <c r="H24" s="5">
        <f>'Laskenta poistopuoli 100'!$W$9</f>
        <v>4.3326553262786769</v>
      </c>
      <c r="I24" s="5">
        <f>'Laskenta poistopuoli 100'!$W$14</f>
        <v>15.076573926310481</v>
      </c>
      <c r="J24" s="4">
        <v>4.4000000000000004</v>
      </c>
      <c r="K24" s="5">
        <f t="shared" si="21"/>
        <v>38.001050390093674</v>
      </c>
      <c r="L24" s="32">
        <f>K24/MAX(Tulostus!$E$33,Tulostus!$G$33)</f>
        <v>0.9500262597523419</v>
      </c>
      <c r="M24" s="4">
        <f>90*0.7</f>
        <v>62.999999999999993</v>
      </c>
      <c r="N24" s="99">
        <v>1.2159469045764615</v>
      </c>
      <c r="O24" s="852">
        <v>0.82499999999999996</v>
      </c>
      <c r="P24" s="80">
        <f>'Laskenta tulopuoli 100'!$AF$44</f>
        <v>83.357079658636081</v>
      </c>
      <c r="Q24" s="80">
        <f>'Laskenta tulopuoli 100'!$AG$44</f>
        <v>68.357079658636081</v>
      </c>
      <c r="R24" s="80">
        <f>'Laskenta tulopuoli 100'!$AH$44</f>
        <v>60.357079658636088</v>
      </c>
      <c r="S24" s="80">
        <f>'Laskenta tulopuoli 100'!$AI$44</f>
        <v>57.357079658636088</v>
      </c>
      <c r="T24" s="80">
        <f>'Laskenta tulopuoli 100'!$AJ$44</f>
        <v>51.357079658636088</v>
      </c>
      <c r="U24" s="80">
        <f>'Laskenta tulopuoli 100'!$AK$44</f>
        <v>49.357079658636088</v>
      </c>
      <c r="V24" s="80">
        <f>'Laskenta tulopuoli 100'!$AL$44</f>
        <v>43.357079658636088</v>
      </c>
      <c r="W24" s="80">
        <f>'Laskenta tulopuoli 100'!$AM$44</f>
        <v>33.357079658636088</v>
      </c>
      <c r="X24" s="80">
        <f>'Laskenta tulopuoli 100'!$AN$44</f>
        <v>83.528605526874955</v>
      </c>
      <c r="Y24" s="108">
        <f>'Laskenta tulopuoli 100'!$W$6</f>
        <v>61.357079658636088</v>
      </c>
      <c r="Z24" s="80">
        <f>'Laskenta tulopuoli 100'!$AF$43</f>
        <v>71.261760152608929</v>
      </c>
      <c r="AA24" s="80">
        <f>'Laskenta tulopuoli 100'!$AG$43</f>
        <v>60.261760152608929</v>
      </c>
      <c r="AB24" s="80">
        <f>'Laskenta tulopuoli 100'!$AH$43</f>
        <v>53.261760152608929</v>
      </c>
      <c r="AC24" s="80">
        <f>'Laskenta tulopuoli 100'!$AI$43</f>
        <v>42.261760152608929</v>
      </c>
      <c r="AD24" s="80">
        <f>'Laskenta tulopuoli 100'!$AJ$43</f>
        <v>30.261760152608929</v>
      </c>
      <c r="AE24" s="80">
        <f>'Laskenta tulopuoli 100'!$AK$43</f>
        <v>24.261760152608929</v>
      </c>
      <c r="AF24" s="80">
        <f>'Laskenta tulopuoli 100'!$AL$43</f>
        <v>16.261760152608929</v>
      </c>
      <c r="AG24" s="80">
        <f>'Laskenta tulopuoli 100'!$AM$43</f>
        <v>11.261760152608929</v>
      </c>
      <c r="AH24" s="80">
        <f>'Laskenta tulopuoli 100'!$AN$43</f>
        <v>71.662417726031109</v>
      </c>
      <c r="AI24" s="108">
        <f>'Laskenta tulopuoli 100'!$W$5</f>
        <v>50.261760152608929</v>
      </c>
      <c r="AJ24" s="80">
        <f>'Laskenta poistopuoli 100'!$AF$43</f>
        <v>66.631801710170095</v>
      </c>
      <c r="AK24" s="80">
        <f>'Laskenta poistopuoli 100'!$AG$43</f>
        <v>57.631801710170095</v>
      </c>
      <c r="AL24" s="80">
        <f>'Laskenta poistopuoli 100'!$AH$43</f>
        <v>50.631801710170095</v>
      </c>
      <c r="AM24" s="80">
        <f>'Laskenta poistopuoli 100'!$AI$43</f>
        <v>42.631801710170095</v>
      </c>
      <c r="AN24" s="80">
        <f>'Laskenta poistopuoli 100'!$AJ$43</f>
        <v>34.631801710170095</v>
      </c>
      <c r="AO24" s="80">
        <f>'Laskenta poistopuoli 100'!$AK$43</f>
        <v>28.631801710170095</v>
      </c>
      <c r="AP24" s="80">
        <f>'Laskenta poistopuoli 100'!$AL$43</f>
        <v>18.631801710170095</v>
      </c>
      <c r="AQ24" s="80">
        <f>'Laskenta poistopuoli 100'!$AM$43</f>
        <v>13.631801710170095</v>
      </c>
      <c r="AR24" s="80">
        <f>'Laskenta poistopuoli 100'!$AN$43</f>
        <v>67.260639074914678</v>
      </c>
      <c r="AS24" s="108">
        <f>'Laskenta poistopuoli 100'!$W$5</f>
        <v>47.631801710170095</v>
      </c>
      <c r="AT24" s="80">
        <f>'Laskenta poistopuoli 100'!$AF$44</f>
        <v>81.853771795434739</v>
      </c>
      <c r="AU24" s="80">
        <f>'Laskenta poistopuoli 100'!$AG$44</f>
        <v>65.853771795434739</v>
      </c>
      <c r="AV24" s="80">
        <f>'Laskenta poistopuoli 100'!$AH$44</f>
        <v>62.853771795434739</v>
      </c>
      <c r="AW24" s="80">
        <f>'Laskenta poistopuoli 100'!$AI$44</f>
        <v>55.853771795434739</v>
      </c>
      <c r="AX24" s="80">
        <f>'Laskenta poistopuoli 100'!$AJ$44</f>
        <v>50.853771795434739</v>
      </c>
      <c r="AY24" s="80">
        <f>'Laskenta poistopuoli 100'!$AK$44</f>
        <v>48.853771795434739</v>
      </c>
      <c r="AZ24" s="80">
        <f>'Laskenta poistopuoli 100'!$AL$44</f>
        <v>41.853771795434739</v>
      </c>
      <c r="BA24" s="80">
        <f>'Laskenta poistopuoli 100'!$AM$44</f>
        <v>37.853771795434739</v>
      </c>
      <c r="BB24" s="80">
        <f>'Laskenta poistopuoli 100'!$AN$44</f>
        <v>82.031012204022375</v>
      </c>
      <c r="BC24" s="108">
        <f>'Laskenta poistopuoli 100'!$W$6</f>
        <v>59.853771795434739</v>
      </c>
      <c r="BD24" s="80">
        <f>'Laskenta vaipan läpi 100'!$L$39</f>
        <v>50.107903165072415</v>
      </c>
      <c r="BE24" s="80">
        <f>'Laskenta vaipan läpi 100'!$M$39</f>
        <v>45.107903165072415</v>
      </c>
      <c r="BF24" s="80">
        <f>'Laskenta vaipan läpi 100'!$N$39</f>
        <v>40.107903165072415</v>
      </c>
      <c r="BG24" s="80">
        <f>'Laskenta vaipan läpi 100'!$O$39</f>
        <v>30.107903165072415</v>
      </c>
      <c r="BH24" s="80">
        <f>'Laskenta vaipan läpi 100'!$P$39</f>
        <v>21.107903165072415</v>
      </c>
      <c r="BI24" s="80">
        <f>'Laskenta vaipan läpi 100'!$Q$39</f>
        <v>15.107903165072415</v>
      </c>
      <c r="BJ24" s="80">
        <f>'Laskenta vaipan läpi 100'!$R$39</f>
        <v>9.1079031650724147</v>
      </c>
      <c r="BK24" s="80">
        <f>'Laskenta vaipan läpi 100'!$S$39</f>
        <v>5.1079031650724147</v>
      </c>
      <c r="BL24" s="80">
        <f>'Laskenta vaipan läpi 100'!$T$39</f>
        <v>51.654923605038931</v>
      </c>
      <c r="BM24" s="108">
        <f>'Laskenta vaipan läpi 100'!$C$35</f>
        <v>35.107903165072415</v>
      </c>
      <c r="BN24" s="80">
        <f t="shared" ref="BN24" si="23">BM24+10*LOG10(4/10)</f>
        <v>31.12850307835204</v>
      </c>
      <c r="BO24" s="80">
        <f t="shared" ref="BO24" si="24">BM24+10*LOG10(4/2.5)</f>
        <v>37.149102991631665</v>
      </c>
      <c r="BS24" t="s">
        <v>129</v>
      </c>
      <c r="BT24" s="4" t="s">
        <v>393</v>
      </c>
      <c r="BU24" s="4" t="s">
        <v>393</v>
      </c>
      <c r="BV24" s="4" t="s">
        <v>393</v>
      </c>
      <c r="BW24" s="4" t="s">
        <v>393</v>
      </c>
      <c r="BX24" s="4" t="s">
        <v>393</v>
      </c>
      <c r="BY24" s="4" t="s">
        <v>393</v>
      </c>
      <c r="BZ24" s="4" t="s">
        <v>393</v>
      </c>
      <c r="CA24" s="4" t="s">
        <v>393</v>
      </c>
      <c r="CB24" s="4" t="s">
        <v>393</v>
      </c>
      <c r="CC24" s="4" t="s">
        <v>393</v>
      </c>
      <c r="CI24" s="39" t="s">
        <v>393</v>
      </c>
      <c r="CJ24" s="39" t="s">
        <v>393</v>
      </c>
      <c r="CL24" t="s">
        <v>571</v>
      </c>
      <c r="CM24" t="str" cm="1">
        <f t="array" ref="CM24">INDEX(Kirjasto!D4:K125,11,Kirjasto!B4)</f>
        <v>Electric plug 230 V, 50 Hz, 16 A, max 2200 W</v>
      </c>
      <c r="CR24" t="str">
        <f t="shared" si="20"/>
        <v>Model 150</v>
      </c>
      <c r="CV24" s="621">
        <f>'Laskenta tulopuoli 150'!AL34</f>
        <v>1.8690852568263798</v>
      </c>
      <c r="CW24" s="621">
        <f>'Laskenta poistopuoli 150'!AL34</f>
        <v>2.1211094879778289</v>
      </c>
      <c r="CX24" s="4" t="b">
        <f>'Laskenta tulopuoli 150'!AO34</f>
        <v>1</v>
      </c>
      <c r="CY24" s="4" t="b">
        <f>'Laskenta poistopuoli 150'!AO34</f>
        <v>1</v>
      </c>
      <c r="CZ24" s="5">
        <f>'Laskenta tulopuoli 150'!AO36</f>
        <v>3.9231691289924289</v>
      </c>
      <c r="DA24" s="5">
        <f>'Laskenta poistopuoli 150'!AO36</f>
        <v>3.6370761982954569</v>
      </c>
      <c r="DG24" s="485">
        <v>2</v>
      </c>
      <c r="DI24" t="s">
        <v>116</v>
      </c>
      <c r="DK24" s="621" t="str">
        <f>'Kojeet ja kennon hyötysuhde'!N5</f>
        <v>-</v>
      </c>
      <c r="DL24" s="621" t="str">
        <f>'Kojeet ja kennon hyötysuhde'!O5</f>
        <v>-</v>
      </c>
      <c r="DN24">
        <v>920</v>
      </c>
    </row>
    <row r="25" spans="1:118" ht="14" thickBot="1" x14ac:dyDescent="0.2">
      <c r="A25" s="485">
        <v>3</v>
      </c>
      <c r="C25" t="s">
        <v>129</v>
      </c>
      <c r="D25" s="4" t="b">
        <f>'Laskenta tulopuoli 150'!$W$13</f>
        <v>1</v>
      </c>
      <c r="E25" s="5">
        <f>'Laskenta tulopuoli 150'!$W$12</f>
        <v>3.3567309697840533</v>
      </c>
      <c r="F25" s="5">
        <f>'Laskenta tulopuoli 150'!$W$16</f>
        <v>14.57939135094486</v>
      </c>
      <c r="G25" s="4" t="b">
        <f>'Laskenta poistopuoli 150'!$W$13</f>
        <v>1</v>
      </c>
      <c r="H25" s="5">
        <f>'Laskenta poistopuoli 150'!$W$12</f>
        <v>3.0633878157795436</v>
      </c>
      <c r="I25" s="5">
        <f>'Laskenta poistopuoli 150'!$W$16</f>
        <v>11.734752495286632</v>
      </c>
      <c r="J25" s="4">
        <v>4.4000000000000004</v>
      </c>
      <c r="K25" s="5">
        <f t="shared" si="21"/>
        <v>30.714143846231494</v>
      </c>
      <c r="L25" s="32">
        <f>K25/MAX(Tulostus!$E$33,Tulostus!$G$33)</f>
        <v>0.7678535961557873</v>
      </c>
      <c r="M25" s="4">
        <f>160*0.7</f>
        <v>112</v>
      </c>
      <c r="N25" s="99">
        <v>1.1878622810630028</v>
      </c>
      <c r="O25" s="853">
        <v>0.79500000000000004</v>
      </c>
      <c r="P25" s="80">
        <f>'Laskenta tulopuoli 150'!$AH$43</f>
        <v>63.378746591952229</v>
      </c>
      <c r="Q25" s="80">
        <f>'Laskenta tulopuoli 150'!$AI$43</f>
        <v>62.420294038782814</v>
      </c>
      <c r="R25" s="80">
        <f>'Laskenta tulopuoli 150'!$AJ$43</f>
        <v>57.803218965288906</v>
      </c>
      <c r="S25" s="80">
        <f>'Laskenta tulopuoli 150'!$AK$43</f>
        <v>47.971363191509099</v>
      </c>
      <c r="T25" s="80">
        <f>'Laskenta tulopuoli 150'!$AL$43</f>
        <v>38.908524979289254</v>
      </c>
      <c r="U25" s="80">
        <f>'Laskenta tulopuoli 150'!$AM$43</f>
        <v>38.479833631809889</v>
      </c>
      <c r="V25" s="80">
        <f>'Laskenta tulopuoli 150'!$AN$43</f>
        <v>28.36087954153556</v>
      </c>
      <c r="W25" s="80">
        <f>'Laskenta tulopuoli 150'!$AO$43</f>
        <v>23.535191159125691</v>
      </c>
      <c r="X25" s="80">
        <f>'Laskenta tulopuoli 150'!$AP$43</f>
        <v>66.631772750548265</v>
      </c>
      <c r="Y25" s="108">
        <f>'Laskenta tulopuoli 150'!$AQ$43</f>
        <v>52.538821737197033</v>
      </c>
      <c r="Z25" s="80">
        <f>'Laskenta tulopuoli 150'!$AH$42</f>
        <v>61.47831150700528</v>
      </c>
      <c r="AA25" s="80">
        <f>'Laskenta tulopuoli 150'!$AI$42</f>
        <v>54.758785142808129</v>
      </c>
      <c r="AB25" s="80">
        <f>'Laskenta tulopuoli 150'!$AJ$42</f>
        <v>49.226925804434707</v>
      </c>
      <c r="AC25" s="80">
        <f>'Laskenta tulopuoli 150'!$AK$42</f>
        <v>39.661581099675473</v>
      </c>
      <c r="AD25" s="80">
        <f>'Laskenta tulopuoli 150'!$AL$42</f>
        <v>25.139907806472358</v>
      </c>
      <c r="AE25" s="80">
        <f>'Laskenta tulopuoli 150'!$AM$42</f>
        <v>20.389615163859212</v>
      </c>
      <c r="AF25" s="80">
        <f>'Laskenta tulopuoli 150'!$AN$42</f>
        <v>14.127996393900823</v>
      </c>
      <c r="AG25" s="80">
        <f>'Laskenta tulopuoli 150'!$AO$42</f>
        <v>9.1279963939008226</v>
      </c>
      <c r="AH25" s="80">
        <f>'Laskenta tulopuoli 150'!$AP$42</f>
        <v>62.548036426445641</v>
      </c>
      <c r="AI25" s="108">
        <f>'Laskenta tulopuoli 150'!$AQ$42</f>
        <v>44.346452494857154</v>
      </c>
      <c r="AJ25" s="80">
        <f>'Laskenta poistopuoli 150'!$AH$42</f>
        <v>55.252731110573755</v>
      </c>
      <c r="AK25" s="80">
        <f>'Laskenta poistopuoli 150'!$AI$42</f>
        <v>55.056250947032183</v>
      </c>
      <c r="AL25" s="80">
        <f>'Laskenta poistopuoli 150'!$AJ$42</f>
        <v>50.389217065779633</v>
      </c>
      <c r="AM25" s="80">
        <f>'Laskenta poistopuoli 150'!$AK$42</f>
        <v>35.831352643523957</v>
      </c>
      <c r="AN25" s="80">
        <f>'Laskenta poistopuoli 150'!$AL$42</f>
        <v>25.253516185604408</v>
      </c>
      <c r="AO25" s="80">
        <f>'Laskenta poistopuoli 150'!$AM$42</f>
        <v>18.837774782897775</v>
      </c>
      <c r="AP25" s="80">
        <f>'Laskenta poistopuoli 150'!$AN$42</f>
        <v>13.943323190248968</v>
      </c>
      <c r="AQ25" s="80">
        <f>'Laskenta poistopuoli 150'!$AO$42</f>
        <v>9.943323190248968</v>
      </c>
      <c r="AR25" s="80">
        <f>'Laskenta poistopuoli 150'!$AP$42</f>
        <v>58.860269670182682</v>
      </c>
      <c r="AS25" s="108">
        <f>'Laskenta poistopuoli 150'!$AQ$42</f>
        <v>44.162017952160888</v>
      </c>
      <c r="AT25" s="80">
        <f>'Laskenta poistopuoli 150'!$AH$43</f>
        <v>59.08830673875994</v>
      </c>
      <c r="AU25" s="80">
        <f>'Laskenta poistopuoli 150'!$AI$43</f>
        <v>58.891628778600548</v>
      </c>
      <c r="AV25" s="80">
        <f>'Laskenta poistopuoli 150'!$AJ$43</f>
        <v>57.923804851826503</v>
      </c>
      <c r="AW25" s="80">
        <f>'Laskenta poistopuoli 150'!$AK$43</f>
        <v>46.801539415466735</v>
      </c>
      <c r="AX25" s="80">
        <f>'Laskenta poistopuoli 150'!$AL$43</f>
        <v>36.813420337582329</v>
      </c>
      <c r="AY25" s="80">
        <f>'Laskenta poistopuoli 150'!$AM$43</f>
        <v>35.865648164296154</v>
      </c>
      <c r="AZ25" s="80">
        <f>'Laskenta poistopuoli 150'!$AN$43</f>
        <v>26.414818004826714</v>
      </c>
      <c r="BA25" s="80">
        <f>'Laskenta poistopuoli 150'!$AO$43</f>
        <v>20.560271175270103</v>
      </c>
      <c r="BB25" s="80">
        <f>'Laskenta poistopuoli 150'!$AP$43</f>
        <v>63.545835811094243</v>
      </c>
      <c r="BC25" s="108">
        <f>'Laskenta poistopuoli 150'!$AQ$43</f>
        <v>51.460969661471907</v>
      </c>
      <c r="BD25" s="80">
        <f>'Laskenta vaipan läpi 150'!$L$39</f>
        <v>48.884312745759061</v>
      </c>
      <c r="BE25" s="80">
        <f>'Laskenta vaipan läpi 150'!$M$39</f>
        <v>43.884312745759061</v>
      </c>
      <c r="BF25" s="80">
        <f>'Laskenta vaipan läpi 150'!$N$39</f>
        <v>43.884312745759061</v>
      </c>
      <c r="BG25" s="80">
        <f>'Laskenta vaipan läpi 150'!$O$39</f>
        <v>33.884312745759061</v>
      </c>
      <c r="BH25" s="80">
        <f>'Laskenta vaipan läpi 150'!$P$39</f>
        <v>21.884312745759061</v>
      </c>
      <c r="BI25" s="80">
        <f>'Laskenta vaipan läpi 150'!$Q$39</f>
        <v>19.884312745759061</v>
      </c>
      <c r="BJ25" s="80">
        <f>'Laskenta vaipan läpi 150'!$R$39</f>
        <v>14.884312745759061</v>
      </c>
      <c r="BK25" s="80">
        <f>'Laskenta vaipan läpi 150'!$S$39</f>
        <v>13.884312745759061</v>
      </c>
      <c r="BL25" s="80">
        <f>'Laskenta vaipan läpi 150'!$T$39</f>
        <v>51.106395140965063</v>
      </c>
      <c r="BM25" s="108">
        <f>'Laskenta vaipan läpi 150'!$C$35</f>
        <v>37.884312745759061</v>
      </c>
      <c r="BN25" s="80">
        <f>BM25+10*LOG10(4/10)</f>
        <v>33.904912659038686</v>
      </c>
      <c r="BO25" s="80">
        <f>BM25+10*LOG10(4/2.5)</f>
        <v>39.925512572318311</v>
      </c>
      <c r="BS25" t="s">
        <v>561</v>
      </c>
      <c r="BT25" s="4" t="s">
        <v>393</v>
      </c>
      <c r="BU25" s="4" t="s">
        <v>393</v>
      </c>
      <c r="BV25" s="4" t="s">
        <v>393</v>
      </c>
      <c r="BW25" s="4" t="s">
        <v>393</v>
      </c>
      <c r="BX25" s="4" t="s">
        <v>393</v>
      </c>
      <c r="BY25" s="4" t="s">
        <v>393</v>
      </c>
      <c r="BZ25" s="4" t="s">
        <v>393</v>
      </c>
      <c r="CA25" s="4" t="s">
        <v>393</v>
      </c>
      <c r="CB25" s="4" t="s">
        <v>393</v>
      </c>
      <c r="CC25" s="4" t="s">
        <v>393</v>
      </c>
      <c r="CI25" s="39" t="s">
        <v>393</v>
      </c>
      <c r="CJ25" s="39" t="s">
        <v>393</v>
      </c>
      <c r="CL25" t="str">
        <f>IF($CM$19,"Airfi-Model 250 Water","Airfi-Model 250 Electric")</f>
        <v>Airfi-Model 250 Electric</v>
      </c>
      <c r="CM25" t="str" cm="1">
        <f t="array" ref="CM25">IF(CM19,INDEX(Kirjasto!D4:K129,123,Kirjasto!B4),INDEX(Kirjasto!D4:K129,12,Kirjasto!B4))</f>
        <v>Electric plug 230 V, 50 Hz, 16 A, max 3500 W</v>
      </c>
      <c r="CR25" t="str">
        <f t="shared" si="20"/>
        <v>Model 250</v>
      </c>
      <c r="CV25" s="621">
        <f>'Laskenta tulopuoli 250'!AP34</f>
        <v>1.6102532799985232</v>
      </c>
      <c r="CW25" s="621">
        <f>'Laskenta poistopuoli 250'!AP34</f>
        <v>1.6360423200904832</v>
      </c>
      <c r="CX25" s="4" t="b">
        <f>'Laskenta tulopuoli 250'!AS34</f>
        <v>1</v>
      </c>
      <c r="CY25" s="4" t="b">
        <f>'Laskenta poistopuoli 250'!AS34</f>
        <v>1</v>
      </c>
      <c r="CZ25" s="5">
        <f>'Laskenta tulopuoli 250'!AS36</f>
        <v>3.868632451362664</v>
      </c>
      <c r="DA25" s="5">
        <f>'Laskenta poistopuoli 250'!AS36</f>
        <v>3.830252929557652</v>
      </c>
      <c r="DG25" s="485">
        <v>3</v>
      </c>
      <c r="DI25" t="s">
        <v>129</v>
      </c>
      <c r="DK25" s="621" t="str">
        <f>'Kojeet ja kennon hyötysuhde'!N6</f>
        <v>-</v>
      </c>
      <c r="DL25" s="621" t="str">
        <f>'Kojeet ja kennon hyötysuhde'!O6</f>
        <v>-</v>
      </c>
      <c r="DN25">
        <f>2*920</f>
        <v>1840</v>
      </c>
    </row>
    <row r="26" spans="1:118" ht="14" thickBot="1" x14ac:dyDescent="0.2">
      <c r="A26" s="485">
        <v>4</v>
      </c>
      <c r="C26" t="s">
        <v>561</v>
      </c>
      <c r="D26" s="4" t="b">
        <f>'Laskenta tulopuoli 250'!$W$10</f>
        <v>1</v>
      </c>
      <c r="E26" s="5">
        <f>'Laskenta tulopuoli 250'!$W$9</f>
        <v>3.36194665396199</v>
      </c>
      <c r="F26" s="5">
        <f>'Laskenta tulopuoli 250'!$W$14</f>
        <v>22.655408973240419</v>
      </c>
      <c r="G26" s="4" t="b">
        <f>'Laskenta poistopuoli 250'!$W$10</f>
        <v>1</v>
      </c>
      <c r="H26" s="5">
        <f>'Laskenta poistopuoli 250'!$W$9</f>
        <v>3.3294638131130845</v>
      </c>
      <c r="I26" s="5">
        <f>'Laskenta poistopuoli 250'!$W$14</f>
        <v>21.927930181056698</v>
      </c>
      <c r="J26" s="301">
        <v>4.4000000000000004</v>
      </c>
      <c r="K26" s="5">
        <f t="shared" si="21"/>
        <v>48.98333915429712</v>
      </c>
      <c r="L26" s="32">
        <f>K26/MAX(Tulostus!$E$33,Tulostus!$G$33)</f>
        <v>1.2245834788574279</v>
      </c>
      <c r="M26" s="426">
        <f>250*0.7</f>
        <v>175</v>
      </c>
      <c r="N26" s="301">
        <v>1.0567749967474349</v>
      </c>
      <c r="O26" s="854">
        <f>'Kojeet ja kennon hyötysuhde'!M7</f>
        <v>0.79500000000000004</v>
      </c>
      <c r="P26" s="80">
        <f>'Laskenta tulopuoli 250'!$AF$44</f>
        <v>58.677320809186426</v>
      </c>
      <c r="Q26" s="80">
        <f>'Laskenta tulopuoli 250'!$AG$44</f>
        <v>60.677320809186426</v>
      </c>
      <c r="R26" s="80">
        <f>'Laskenta tulopuoli 250'!$AH$44</f>
        <v>51.677320809186426</v>
      </c>
      <c r="S26" s="80">
        <f>'Laskenta tulopuoli 250'!$AI$44</f>
        <v>48.677320809186426</v>
      </c>
      <c r="T26" s="80">
        <f>'Laskenta tulopuoli 250'!$AJ$44</f>
        <v>47.677320809186426</v>
      </c>
      <c r="U26" s="80">
        <f>'Laskenta tulopuoli 250'!$AK$44</f>
        <v>42.677320809186426</v>
      </c>
      <c r="V26" s="80">
        <f>'Laskenta tulopuoli 250'!$AL$44</f>
        <v>38.677320809186426</v>
      </c>
      <c r="W26" s="80">
        <f>'Laskenta tulopuoli 250'!$AM$44</f>
        <v>36.677320809186426</v>
      </c>
      <c r="X26" s="80">
        <f>'Laskenta tulopuoli 250'!$AN$44</f>
        <v>63.456171210965245</v>
      </c>
      <c r="Y26" s="108">
        <f>'Laskenta tulopuoli 250'!$W$6</f>
        <v>52.677320809186426</v>
      </c>
      <c r="Z26" s="80">
        <f>'Laskenta tulopuoli 250'!$AF$43</f>
        <v>50.088723734289019</v>
      </c>
      <c r="AA26" s="80">
        <f>'Laskenta tulopuoli 250'!$AG$43</f>
        <v>48.088723734289019</v>
      </c>
      <c r="AB26" s="80">
        <f>'Laskenta tulopuoli 250'!$AH$43</f>
        <v>36.088723734289019</v>
      </c>
      <c r="AC26" s="80">
        <f>'Laskenta tulopuoli 250'!$AI$43</f>
        <v>30.088723734289019</v>
      </c>
      <c r="AD26" s="80">
        <f>'Laskenta tulopuoli 250'!$AJ$43</f>
        <v>26.088723734289019</v>
      </c>
      <c r="AE26" s="80">
        <f>'Laskenta tulopuoli 250'!$AK$43</f>
        <v>21.088723734289019</v>
      </c>
      <c r="AF26" s="80">
        <f>'Laskenta tulopuoli 250'!$AL$43</f>
        <v>11.088723734289019</v>
      </c>
      <c r="AG26" s="80">
        <f>'Laskenta tulopuoli 250'!$AM$43</f>
        <v>6.0887237342890188</v>
      </c>
      <c r="AH26" s="80">
        <f>'Laskenta tulopuoli 250'!$AN$43</f>
        <v>52.357747005092705</v>
      </c>
      <c r="AI26" s="108">
        <f>'Laskenta tulopuoli 250'!$W$5</f>
        <v>35.088723734289019</v>
      </c>
      <c r="AJ26" s="80">
        <f>'Laskenta poistopuoli 250'!$AF$43</f>
        <v>50.778034318558305</v>
      </c>
      <c r="AK26" s="80">
        <f>'Laskenta poistopuoli 250'!$AG$43</f>
        <v>47.778034318558305</v>
      </c>
      <c r="AL26" s="80">
        <f>'Laskenta poistopuoli 250'!$AH$43</f>
        <v>34.778034318558305</v>
      </c>
      <c r="AM26" s="80">
        <f>'Laskenta poistopuoli 250'!$AI$43</f>
        <v>30.778034318558305</v>
      </c>
      <c r="AN26" s="80">
        <f>'Laskenta poistopuoli 250'!$AJ$43</f>
        <v>25.778034318558305</v>
      </c>
      <c r="AO26" s="80">
        <f>'Laskenta poistopuoli 250'!$AK$43</f>
        <v>20.778034318558305</v>
      </c>
      <c r="AP26" s="80">
        <f>'Laskenta poistopuoli 250'!$AL$43</f>
        <v>11.778034318558305</v>
      </c>
      <c r="AQ26" s="80">
        <f>'Laskenta poistopuoli 250'!$AM$43</f>
        <v>2.778034318558305</v>
      </c>
      <c r="AR26" s="80">
        <f>'Laskenta poistopuoli 250'!$AN$43</f>
        <v>52.654961773709516</v>
      </c>
      <c r="AS26" s="108">
        <f>'Laskenta poistopuoli 250'!$W$5</f>
        <v>34.778034318558305</v>
      </c>
      <c r="AT26" s="80">
        <f>'Laskenta poistopuoli 250'!$AF$44</f>
        <v>57.891596560798192</v>
      </c>
      <c r="AU26" s="80">
        <f>'Laskenta poistopuoli 250'!$AG$44</f>
        <v>57.891596560798192</v>
      </c>
      <c r="AV26" s="80">
        <f>'Laskenta poistopuoli 250'!$AH$44</f>
        <v>48.891596560798192</v>
      </c>
      <c r="AW26" s="80">
        <f>'Laskenta poistopuoli 250'!$AI$44</f>
        <v>45.891596560798192</v>
      </c>
      <c r="AX26" s="80">
        <f>'Laskenta poistopuoli 250'!$AJ$44</f>
        <v>44.891596560798192</v>
      </c>
      <c r="AY26" s="80">
        <f>'Laskenta poistopuoli 250'!$AK$44</f>
        <v>39.891596560798192</v>
      </c>
      <c r="AZ26" s="80">
        <f>'Laskenta poistopuoli 250'!$AL$44</f>
        <v>35.891596560798192</v>
      </c>
      <c r="BA26" s="80">
        <f>'Laskenta poistopuoli 250'!$AM$44</f>
        <v>33.891596560798192</v>
      </c>
      <c r="BB26" s="80">
        <f>'Laskenta poistopuoli 250'!$AN$44</f>
        <v>61.442751387182746</v>
      </c>
      <c r="BC26" s="108">
        <f>'Laskenta poistopuoli 250'!$W$6</f>
        <v>49.891596560798192</v>
      </c>
      <c r="BD26" s="299">
        <f>'Laskenta vaipan läpi 250'!$L$39</f>
        <v>52.945167094673948</v>
      </c>
      <c r="BE26" s="299">
        <f>'Laskenta vaipan läpi 250'!$M$39</f>
        <v>46.945167094673948</v>
      </c>
      <c r="BF26" s="299">
        <f>'Laskenta vaipan läpi 250'!$N$39</f>
        <v>37.945167094673948</v>
      </c>
      <c r="BG26" s="299">
        <f>'Laskenta vaipan läpi 250'!$O$39</f>
        <v>24.945167094673948</v>
      </c>
      <c r="BH26" s="299">
        <f>'Laskenta vaipan läpi 250'!$P$39</f>
        <v>20.945167094673948</v>
      </c>
      <c r="BI26" s="299">
        <f>'Laskenta vaipan läpi 250'!$Q$39</f>
        <v>16.945167094673948</v>
      </c>
      <c r="BJ26" s="299">
        <f>'Laskenta vaipan läpi 250'!$R$39</f>
        <v>16.945167094673948</v>
      </c>
      <c r="BK26" s="299">
        <f>'Laskenta vaipan läpi 250'!$S$39</f>
        <v>15.945167094673948</v>
      </c>
      <c r="BL26" s="299">
        <f>'Laskenta vaipan läpi 250'!$T$39</f>
        <v>54.036662078318741</v>
      </c>
      <c r="BM26" s="300">
        <f>'Laskenta vaipan läpi 250'!$C$35</f>
        <v>34.945167094673948</v>
      </c>
      <c r="BN26" s="80">
        <f>BM26+10*LOG10(4/10)</f>
        <v>30.965767007953573</v>
      </c>
      <c r="BO26" s="80">
        <f>BM26+10*LOG10(4/2.5)</f>
        <v>36.986366921233198</v>
      </c>
      <c r="BS26" t="s">
        <v>560</v>
      </c>
      <c r="BT26" s="4" t="s">
        <v>393</v>
      </c>
      <c r="BU26" s="4" t="s">
        <v>393</v>
      </c>
      <c r="BV26" s="4" t="s">
        <v>393</v>
      </c>
      <c r="BW26" s="4" t="s">
        <v>393</v>
      </c>
      <c r="BX26" s="4" t="s">
        <v>393</v>
      </c>
      <c r="BY26" s="4" t="s">
        <v>393</v>
      </c>
      <c r="BZ26" s="4" t="s">
        <v>393</v>
      </c>
      <c r="CA26" s="4" t="s">
        <v>393</v>
      </c>
      <c r="CB26" s="4" t="s">
        <v>393</v>
      </c>
      <c r="CC26" s="4" t="s">
        <v>393</v>
      </c>
      <c r="CI26">
        <f>'Laskenta tulopuoli 350'!$AN$18</f>
        <v>363.79669195775102</v>
      </c>
      <c r="CJ26">
        <f>'Laskenta tulopuoli 350'!$AN$14</f>
        <v>1289.0000000000002</v>
      </c>
      <c r="CL26" t="str">
        <f>IF($CM$19,"Airfi-Model 350 Water","Airfi-Model 350 Electric")</f>
        <v>Airfi-Model 350 Electric</v>
      </c>
      <c r="CM26" t="str" cm="1">
        <f t="array" ref="CM26">IF(CM19,INDEX(Kirjasto!D4:K129,123,Kirjasto!B4),INDEX(Kirjasto!D4:K129,13,Kirjasto!B4))</f>
        <v>Electric plug 400 VAC, 50 Hz, 3 x 16 A, max 8250 W</v>
      </c>
      <c r="CR26" t="str">
        <f t="shared" si="20"/>
        <v>Model 350</v>
      </c>
      <c r="CV26" s="621">
        <f>'Laskenta tulopuoli 350'!AO34</f>
        <v>2.4975761868028585</v>
      </c>
      <c r="CW26" s="621">
        <f>'Laskenta poistopuoli 350'!AO34</f>
        <v>2.5152623091715123</v>
      </c>
      <c r="CX26" s="4" t="b">
        <f>'Laskenta tulopuoli 350'!AR34</f>
        <v>1</v>
      </c>
      <c r="CY26" s="4" t="b">
        <f>'Laskenta poistopuoli 350'!AR34</f>
        <v>1</v>
      </c>
      <c r="CZ26" s="5">
        <f>'Laskenta tulopuoli 350'!AR36</f>
        <v>3.868632451362664</v>
      </c>
      <c r="DA26" s="5">
        <f>'Laskenta poistopuoli 350'!AR36</f>
        <v>3.830252929557652</v>
      </c>
      <c r="DG26" s="485">
        <v>4</v>
      </c>
      <c r="DI26" t="s">
        <v>561</v>
      </c>
      <c r="DK26" s="621" t="str">
        <f>'Kojeet ja kennon hyötysuhde'!N7</f>
        <v>-</v>
      </c>
      <c r="DL26" s="621" t="str">
        <f>'Kojeet ja kennon hyötysuhde'!O7</f>
        <v>-</v>
      </c>
      <c r="DN26" s="39">
        <f>IF($DN$18,"-",2380)</f>
        <v>2380</v>
      </c>
    </row>
    <row r="27" spans="1:118" ht="14" thickBot="1" x14ac:dyDescent="0.2">
      <c r="A27" s="485">
        <v>5</v>
      </c>
      <c r="C27" t="s">
        <v>560</v>
      </c>
      <c r="D27" s="4" t="b">
        <f>'Laskenta tulopuoli 350'!$W$10</f>
        <v>1</v>
      </c>
      <c r="E27" s="5">
        <f>'Laskenta tulopuoli 350'!$W$9</f>
        <v>3.36194665396199</v>
      </c>
      <c r="F27" s="5">
        <f>'Laskenta tulopuoli 350'!$W$14</f>
        <v>22.655408973240419</v>
      </c>
      <c r="G27" s="4" t="b">
        <f>'Laskenta poistopuoli 350'!$W$10</f>
        <v>1</v>
      </c>
      <c r="H27" s="5">
        <f>'Laskenta poistopuoli 350'!$W$9</f>
        <v>3.3294638131130845</v>
      </c>
      <c r="I27" s="5">
        <f>'Laskenta poistopuoli 350'!$W$14</f>
        <v>21.927930181056698</v>
      </c>
      <c r="J27" s="301">
        <v>4.4000000000000004</v>
      </c>
      <c r="K27" s="5">
        <f t="shared" si="21"/>
        <v>48.98333915429712</v>
      </c>
      <c r="L27" s="32">
        <f>K27/MAX(Tulostus!$E$33,Tulostus!$G$33)</f>
        <v>1.2245834788574279</v>
      </c>
      <c r="M27" s="426">
        <f>1000/3.6*0.7</f>
        <v>194.44444444444443</v>
      </c>
      <c r="N27" s="301">
        <v>1.1717822676463812</v>
      </c>
      <c r="O27" s="854">
        <f>'Kojeet ja kennon hyötysuhde'!M8</f>
        <v>0.79500000000000004</v>
      </c>
      <c r="P27" s="80">
        <f>'Laskenta tulopuoli 350'!$AF$44</f>
        <v>58.677320809186426</v>
      </c>
      <c r="Q27" s="80">
        <f>'Laskenta tulopuoli 350'!$AG$44</f>
        <v>60.677320809186426</v>
      </c>
      <c r="R27" s="80">
        <f>'Laskenta tulopuoli 350'!$AH$44</f>
        <v>51.677320809186426</v>
      </c>
      <c r="S27" s="80">
        <f>'Laskenta tulopuoli 350'!$AI$44</f>
        <v>48.677320809186426</v>
      </c>
      <c r="T27" s="80">
        <f>'Laskenta tulopuoli 350'!$AJ$44</f>
        <v>47.677320809186426</v>
      </c>
      <c r="U27" s="80">
        <f>'Laskenta tulopuoli 350'!$AK$44</f>
        <v>42.677320809186426</v>
      </c>
      <c r="V27" s="80">
        <f>'Laskenta tulopuoli 350'!$AL$44</f>
        <v>38.677320809186426</v>
      </c>
      <c r="W27" s="80">
        <f>'Laskenta tulopuoli 350'!$AM$44</f>
        <v>36.677320809186426</v>
      </c>
      <c r="X27" s="80">
        <f>'Laskenta tulopuoli 350'!$AN$44</f>
        <v>63.456171210965245</v>
      </c>
      <c r="Y27" s="108">
        <f>'Laskenta tulopuoli 350'!$W$6</f>
        <v>52.677320809186426</v>
      </c>
      <c r="Z27" s="80">
        <f>'Laskenta tulopuoli 350'!$AF$43</f>
        <v>50.088723734289019</v>
      </c>
      <c r="AA27" s="80">
        <f>'Laskenta tulopuoli 350'!$AG$43</f>
        <v>48.088723734289019</v>
      </c>
      <c r="AB27" s="80">
        <f>'Laskenta tulopuoli 350'!$AH$43</f>
        <v>36.088723734289019</v>
      </c>
      <c r="AC27" s="80">
        <f>'Laskenta tulopuoli 350'!$AI$43</f>
        <v>30.088723734289019</v>
      </c>
      <c r="AD27" s="80">
        <f>'Laskenta tulopuoli 350'!$AJ$43</f>
        <v>26.088723734289019</v>
      </c>
      <c r="AE27" s="80">
        <f>'Laskenta tulopuoli 350'!$AK$43</f>
        <v>21.088723734289019</v>
      </c>
      <c r="AF27" s="80">
        <f>'Laskenta tulopuoli 350'!$AL$43</f>
        <v>11.088723734289019</v>
      </c>
      <c r="AG27" s="80">
        <f>'Laskenta tulopuoli 350'!$AM$43</f>
        <v>6.0887237342890188</v>
      </c>
      <c r="AH27" s="80">
        <f>'Laskenta tulopuoli 350'!$AN$43</f>
        <v>52.357747005092705</v>
      </c>
      <c r="AI27" s="108">
        <f>'Laskenta tulopuoli 350'!$W$5</f>
        <v>35.088723734289019</v>
      </c>
      <c r="AJ27" s="80">
        <f>'Laskenta poistopuoli 350'!$AF$43</f>
        <v>50.778034318558305</v>
      </c>
      <c r="AK27" s="80">
        <f>'Laskenta poistopuoli 350'!$AG$43</f>
        <v>47.778034318558305</v>
      </c>
      <c r="AL27" s="80">
        <f>'Laskenta poistopuoli 350'!$AH$43</f>
        <v>34.778034318558305</v>
      </c>
      <c r="AM27" s="80">
        <f>'Laskenta poistopuoli 350'!$AI$43</f>
        <v>30.778034318558305</v>
      </c>
      <c r="AN27" s="80">
        <f>'Laskenta poistopuoli 350'!$AJ$43</f>
        <v>25.778034318558305</v>
      </c>
      <c r="AO27" s="80">
        <f>'Laskenta poistopuoli 350'!$AK$43</f>
        <v>20.778034318558305</v>
      </c>
      <c r="AP27" s="80">
        <f>'Laskenta poistopuoli 350'!$AL$43</f>
        <v>11.778034318558305</v>
      </c>
      <c r="AQ27" s="80">
        <f>'Laskenta poistopuoli 350'!$AM$43</f>
        <v>2.778034318558305</v>
      </c>
      <c r="AR27" s="80">
        <f>'Laskenta poistopuoli 350'!$AN$43</f>
        <v>52.654961773709516</v>
      </c>
      <c r="AS27" s="108">
        <f>'Laskenta poistopuoli 350'!$W$5</f>
        <v>34.778034318558305</v>
      </c>
      <c r="AT27" s="80">
        <f>'Laskenta poistopuoli 350'!$AF$44</f>
        <v>57.891596560798192</v>
      </c>
      <c r="AU27" s="80">
        <f>'Laskenta poistopuoli 350'!$AG$44</f>
        <v>57.891596560798192</v>
      </c>
      <c r="AV27" s="80">
        <f>'Laskenta poistopuoli 350'!$AH$44</f>
        <v>48.891596560798192</v>
      </c>
      <c r="AW27" s="80">
        <f>'Laskenta poistopuoli 350'!$AI$44</f>
        <v>45.891596560798192</v>
      </c>
      <c r="AX27" s="80">
        <f>'Laskenta poistopuoli 350'!$AJ$44</f>
        <v>44.891596560798192</v>
      </c>
      <c r="AY27" s="80">
        <f>'Laskenta poistopuoli 350'!$AK$44</f>
        <v>39.891596560798192</v>
      </c>
      <c r="AZ27" s="80">
        <f>'Laskenta poistopuoli 350'!$AL$44</f>
        <v>35.891596560798192</v>
      </c>
      <c r="BA27" s="80">
        <f>'Laskenta poistopuoli 350'!$AM$44</f>
        <v>33.891596560798192</v>
      </c>
      <c r="BB27" s="80">
        <f>'Laskenta poistopuoli 350'!$AN$44</f>
        <v>61.442751387182746</v>
      </c>
      <c r="BC27" s="108">
        <f>'Laskenta poistopuoli 350'!$W$6</f>
        <v>49.891596560798192</v>
      </c>
      <c r="BD27" s="299">
        <f>'Laskenta vaipan läpi 350'!$L$39</f>
        <v>52.945167094673948</v>
      </c>
      <c r="BE27" s="299">
        <f>'Laskenta vaipan läpi 350'!$M$39</f>
        <v>46.945167094673948</v>
      </c>
      <c r="BF27" s="299">
        <f>'Laskenta vaipan läpi 350'!$N$39</f>
        <v>37.945167094673948</v>
      </c>
      <c r="BG27" s="299">
        <f>'Laskenta vaipan läpi 350'!$O$39</f>
        <v>24.945167094673948</v>
      </c>
      <c r="BH27" s="299">
        <f>'Laskenta vaipan läpi 350'!$P$39</f>
        <v>20.945167094673948</v>
      </c>
      <c r="BI27" s="299">
        <f>'Laskenta vaipan läpi 350'!$Q$39</f>
        <v>16.945167094673948</v>
      </c>
      <c r="BJ27" s="299">
        <f>'Laskenta vaipan läpi 350'!$R$39</f>
        <v>16.945167094673948</v>
      </c>
      <c r="BK27" s="299">
        <f>'Laskenta vaipan läpi 350'!$S$39</f>
        <v>15.945167094673948</v>
      </c>
      <c r="BL27" s="299">
        <f>'Laskenta vaipan läpi 350'!$T$39</f>
        <v>54.036662078318741</v>
      </c>
      <c r="BM27" s="300">
        <f>'Laskenta vaipan läpi 350'!$C$35</f>
        <v>34.945167094673948</v>
      </c>
      <c r="BN27" s="80">
        <f>BM27+10*LOG10(4/10)</f>
        <v>30.965767007953573</v>
      </c>
      <c r="BO27" s="80">
        <f>BM27+10*LOG10(4/2.5)</f>
        <v>36.986366921233198</v>
      </c>
      <c r="BS27" t="s">
        <v>585</v>
      </c>
      <c r="BT27" s="487">
        <f>BT22</f>
        <v>68</v>
      </c>
      <c r="BU27" s="487">
        <f t="shared" ref="BU27:CC27" si="25">BU22</f>
        <v>63</v>
      </c>
      <c r="BV27" s="487">
        <f t="shared" si="25"/>
        <v>59</v>
      </c>
      <c r="BW27" s="487">
        <f t="shared" si="25"/>
        <v>52</v>
      </c>
      <c r="BX27" s="487">
        <f t="shared" si="25"/>
        <v>49</v>
      </c>
      <c r="BY27" s="487">
        <f t="shared" si="25"/>
        <v>40</v>
      </c>
      <c r="BZ27" s="487">
        <f t="shared" si="25"/>
        <v>29</v>
      </c>
      <c r="CA27" s="487">
        <f t="shared" si="25"/>
        <v>21</v>
      </c>
      <c r="CB27" s="487">
        <f t="shared" si="25"/>
        <v>69.707189991030347</v>
      </c>
      <c r="CC27" s="487">
        <f t="shared" si="25"/>
        <v>54.623792264383411</v>
      </c>
      <c r="CI27" s="39" t="s">
        <v>393</v>
      </c>
      <c r="CJ27" s="39" t="s">
        <v>393</v>
      </c>
      <c r="CL27" t="s">
        <v>587</v>
      </c>
      <c r="CM27" t="str" cm="1">
        <f t="array" ref="CM27">INDEX(Kirjasto!D4:K125,14,Kirjasto!B4)</f>
        <v>Electric plug 230 V, 50 Hz, 10 A, max 1255 W</v>
      </c>
      <c r="CR27" t="str">
        <f t="shared" si="20"/>
        <v>Model 130</v>
      </c>
      <c r="CV27" s="621">
        <f>'Laskenta tulopuoli 130'!AS34</f>
        <v>1.493215439283043</v>
      </c>
      <c r="CW27" s="621">
        <f>'Laskenta poistopuoli 130'!AS34</f>
        <v>1.7241667665177456</v>
      </c>
      <c r="CX27" s="4" t="b">
        <f>'Laskenta tulopuoli 130'!AV34</f>
        <v>1</v>
      </c>
      <c r="CY27" s="4" t="b">
        <f>'Laskenta poistopuoli 130'!AV34</f>
        <v>1</v>
      </c>
      <c r="CZ27" s="5">
        <f>'Laskenta tulopuoli 130'!AV36</f>
        <v>5.0057320287012264</v>
      </c>
      <c r="DA27" s="5">
        <f>'Laskenta poistopuoli 130'!AV36</f>
        <v>4.492988973957333</v>
      </c>
      <c r="DG27" s="485">
        <v>5</v>
      </c>
      <c r="DI27" t="s">
        <v>560</v>
      </c>
      <c r="DK27" s="621" t="str">
        <f>'Kojeet ja kennon hyötysuhde'!N8</f>
        <v>-</v>
      </c>
      <c r="DL27" s="621" t="str">
        <f>'Kojeet ja kennon hyötysuhde'!O8</f>
        <v>-</v>
      </c>
      <c r="DN27" s="39">
        <f>IF($DN$18,"-",3*2380)</f>
        <v>7140</v>
      </c>
    </row>
    <row r="28" spans="1:118" x14ac:dyDescent="0.15">
      <c r="A28" s="485">
        <v>6</v>
      </c>
      <c r="C28" t="s">
        <v>585</v>
      </c>
      <c r="D28" t="b">
        <f>'Laskenta tulopuoli 130'!$W$10</f>
        <v>1</v>
      </c>
      <c r="E28" s="5">
        <f>'Laskenta tulopuoli 130'!$W$9</f>
        <v>4.3112531189344354</v>
      </c>
      <c r="F28" s="5">
        <f>'Laskenta tulopuoli 130'!$W$14</f>
        <v>18.214901301215839</v>
      </c>
      <c r="G28" t="b">
        <f>'Laskenta poistopuoli 130'!$W$10</f>
        <v>1</v>
      </c>
      <c r="H28" s="5">
        <f>'Laskenta poistopuoli 130'!$W$9</f>
        <v>3.8101231455787632</v>
      </c>
      <c r="I28" s="5">
        <f>'Laskenta poistopuoli 130'!$W$14</f>
        <v>14.21126308678042</v>
      </c>
      <c r="J28" s="4">
        <v>4.4000000000000004</v>
      </c>
      <c r="K28" s="5">
        <f t="shared" si="21"/>
        <v>36.826164387996258</v>
      </c>
      <c r="L28" s="32">
        <f>K28/MAX(Tulostus!$E$33,Tulostus!$G$33)</f>
        <v>0.92065410969990646</v>
      </c>
      <c r="M28" s="4">
        <f>130*0.7</f>
        <v>91</v>
      </c>
      <c r="N28" s="99">
        <v>1.5171246730812864</v>
      </c>
      <c r="O28" s="852">
        <v>0.77500000000000002</v>
      </c>
      <c r="P28" s="80">
        <f>'Laskenta tulopuoli 130'!$AF$44</f>
        <v>67.635817492778415</v>
      </c>
      <c r="Q28" s="80">
        <f>'Laskenta tulopuoli 130'!$AG$44</f>
        <v>66.635817492778415</v>
      </c>
      <c r="R28" s="80">
        <f>'Laskenta tulopuoli 130'!$AH$44</f>
        <v>59.635817492778415</v>
      </c>
      <c r="S28" s="80">
        <f>'Laskenta tulopuoli 130'!$AI$44</f>
        <v>54.635817492778415</v>
      </c>
      <c r="T28" s="80">
        <f>'Laskenta tulopuoli 130'!$AJ$44</f>
        <v>49.635817492778415</v>
      </c>
      <c r="U28" s="80">
        <f>'Laskenta tulopuoli 130'!$AK$44</f>
        <v>48.635817492778415</v>
      </c>
      <c r="V28" s="80">
        <f>'Laskenta tulopuoli 130'!$AL$44</f>
        <v>42.635817492778415</v>
      </c>
      <c r="W28" s="80">
        <f>'Laskenta tulopuoli 130'!$AM$44</f>
        <v>32.635817492778415</v>
      </c>
      <c r="X28" s="80">
        <f>'Laskenta tulopuoli 130'!$AN$44</f>
        <v>70.721147834066841</v>
      </c>
      <c r="Y28" s="108">
        <f>'Laskenta tulopuoli 130'!$W$6</f>
        <v>57.635817492778415</v>
      </c>
      <c r="Z28" s="80">
        <f>'Laskenta tulopuoli 130'!$AF$43</f>
        <v>56.269750836614307</v>
      </c>
      <c r="AA28" s="80">
        <f>'Laskenta tulopuoli 130'!$AG$43</f>
        <v>53.269750836614307</v>
      </c>
      <c r="AB28" s="80">
        <f>'Laskenta tulopuoli 130'!$AH$43</f>
        <v>46.269750836614307</v>
      </c>
      <c r="AC28" s="80">
        <f>'Laskenta tulopuoli 130'!$AI$43</f>
        <v>39.269750836614307</v>
      </c>
      <c r="AD28" s="80">
        <f>'Laskenta tulopuoli 130'!$AJ$43</f>
        <v>31.269750836614307</v>
      </c>
      <c r="AE28" s="80">
        <f>'Laskenta tulopuoli 130'!$AK$43</f>
        <v>25.269750836614307</v>
      </c>
      <c r="AF28" s="80">
        <f>'Laskenta tulopuoli 130'!$AL$43</f>
        <v>17.269750836614307</v>
      </c>
      <c r="AG28" s="80">
        <f>'Laskenta tulopuoli 130'!$AM$43</f>
        <v>8.2697508366143069</v>
      </c>
      <c r="AH28" s="80">
        <f>'Laskenta tulopuoli 130'!$AN$43</f>
        <v>58.378921063081314</v>
      </c>
      <c r="AI28" s="108">
        <f>'Laskenta tulopuoli 130'!$W$5</f>
        <v>42.269750836614307</v>
      </c>
      <c r="AJ28" s="80">
        <f>'Laskenta poistopuoli 130'!$AF$43</f>
        <v>54.493008775503654</v>
      </c>
      <c r="AK28" s="80">
        <f>'Laskenta poistopuoli 130'!$AG$43</f>
        <v>52.493008775503654</v>
      </c>
      <c r="AL28" s="80">
        <f>'Laskenta poistopuoli 130'!$AH$43</f>
        <v>45.493008775503654</v>
      </c>
      <c r="AM28" s="80">
        <f>'Laskenta poistopuoli 130'!$AI$43</f>
        <v>40.493008775503654</v>
      </c>
      <c r="AN28" s="80">
        <f>'Laskenta poistopuoli 130'!$AJ$43</f>
        <v>37.493008775503654</v>
      </c>
      <c r="AO28" s="80">
        <f>'Laskenta poistopuoli 130'!$AK$43</f>
        <v>30.493008775503654</v>
      </c>
      <c r="AP28" s="80">
        <f>'Laskenta poistopuoli 130'!$AL$43</f>
        <v>19.493008775503654</v>
      </c>
      <c r="AQ28" s="80">
        <f>'Laskenta poistopuoli 130'!$AM$43</f>
        <v>11.493008775503654</v>
      </c>
      <c r="AR28" s="80">
        <f>'Laskenta poistopuoli 130'!$AN$43</f>
        <v>57.096014371550261</v>
      </c>
      <c r="AS28" s="108">
        <f>'Laskenta poistopuoli 130'!$W$5</f>
        <v>43.493008775503654</v>
      </c>
      <c r="AT28" s="80">
        <f>'Laskenta poistopuoli 130'!$AF$44</f>
        <v>63.706929874614787</v>
      </c>
      <c r="AU28" s="80">
        <f>'Laskenta poistopuoli 130'!$AG$44</f>
        <v>61.706929874614787</v>
      </c>
      <c r="AV28" s="80">
        <f>'Laskenta poistopuoli 130'!$AH$44</f>
        <v>57.706929874614787</v>
      </c>
      <c r="AW28" s="80">
        <f>'Laskenta poistopuoli 130'!$AI$44</f>
        <v>51.706929874614787</v>
      </c>
      <c r="AX28" s="80">
        <f>'Laskenta poistopuoli 130'!$AJ$44</f>
        <v>47.706929874614787</v>
      </c>
      <c r="AY28" s="80">
        <f>'Laskenta poistopuoli 130'!$AK$44</f>
        <v>45.706929874614787</v>
      </c>
      <c r="AZ28" s="80">
        <f>'Laskenta poistopuoli 130'!$AL$44</f>
        <v>38.706929874614787</v>
      </c>
      <c r="BA28" s="80">
        <f>'Laskenta poistopuoli 130'!$AM$44</f>
        <v>28.706929874614787</v>
      </c>
      <c r="BB28" s="80">
        <f>'Laskenta poistopuoli 130'!$AN$44</f>
        <v>66.694779733246548</v>
      </c>
      <c r="BC28" s="108">
        <f>'Laskenta poistopuoli 130'!$W$6</f>
        <v>54.706929874614787</v>
      </c>
      <c r="BD28" s="80">
        <f>'Laskenta vaipan läpi 130'!$L$39</f>
        <v>44.345325455046833</v>
      </c>
      <c r="BE28" s="80">
        <f>'Laskenta vaipan läpi 130'!$M$39</f>
        <v>43.345325455046833</v>
      </c>
      <c r="BF28" s="80">
        <f>'Laskenta vaipan läpi 130'!$N$39</f>
        <v>37.345325455046833</v>
      </c>
      <c r="BG28" s="80">
        <f>'Laskenta vaipan läpi 130'!$O$39</f>
        <v>28.345325455046833</v>
      </c>
      <c r="BH28" s="80">
        <f>'Laskenta vaipan läpi 130'!$P$39</f>
        <v>19.345325455046833</v>
      </c>
      <c r="BI28" s="80">
        <f>'Laskenta vaipan läpi 130'!$Q$39</f>
        <v>13.345325455046833</v>
      </c>
      <c r="BJ28" s="80">
        <f>'Laskenta vaipan läpi 130'!$R$39</f>
        <v>9.345325455046833</v>
      </c>
      <c r="BK28" s="80">
        <f>'Laskenta vaipan läpi 130'!$S$39</f>
        <v>2.345325455046833</v>
      </c>
      <c r="BL28" s="80">
        <f>'Laskenta vaipan läpi 130'!$T$39</f>
        <v>47.405948146406473</v>
      </c>
      <c r="BM28" s="108">
        <f>'Laskenta vaipan läpi 130'!$C$35</f>
        <v>32.345325455046833</v>
      </c>
      <c r="BN28" s="80">
        <f t="shared" ref="BN28" si="26">BM28+10*LOG10(4/10)</f>
        <v>28.365925368326458</v>
      </c>
      <c r="BO28" s="80">
        <f t="shared" ref="BO28" si="27">BM28+10*LOG10(4/2.5)</f>
        <v>34.386525281606083</v>
      </c>
      <c r="DG28" s="485">
        <v>6</v>
      </c>
      <c r="DI28" t="s">
        <v>585</v>
      </c>
      <c r="DK28" s="621" t="str">
        <f>'Kojeet ja kennon hyötysuhde'!N9</f>
        <v>-</v>
      </c>
      <c r="DL28" s="621" t="str">
        <f>'Kojeet ja kennon hyötysuhde'!O9</f>
        <v>-</v>
      </c>
      <c r="DN28">
        <v>920</v>
      </c>
    </row>
    <row r="29" spans="1:118" x14ac:dyDescent="0.15">
      <c r="O29" s="317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</row>
    <row r="30" spans="1:118" x14ac:dyDescent="0.15">
      <c r="O30" s="736" t="s">
        <v>426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118" x14ac:dyDescent="0.15">
      <c r="O31" s="2" t="s">
        <v>1267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118" x14ac:dyDescent="0.15">
      <c r="O32" s="272" t="s">
        <v>1995</v>
      </c>
      <c r="BD32" t="s">
        <v>586</v>
      </c>
    </row>
    <row r="33" spans="3:118" x14ac:dyDescent="0.15">
      <c r="D33" s="2" t="s">
        <v>44</v>
      </c>
      <c r="G33" s="2" t="s">
        <v>58</v>
      </c>
      <c r="J33" s="2" t="s">
        <v>73</v>
      </c>
      <c r="P33" s="2" t="s">
        <v>29</v>
      </c>
      <c r="Z33" s="2" t="s">
        <v>26</v>
      </c>
      <c r="AJ33" s="2" t="s">
        <v>55</v>
      </c>
      <c r="AT33" s="2" t="s">
        <v>56</v>
      </c>
      <c r="BD33" s="2" t="s">
        <v>96</v>
      </c>
      <c r="BT33" s="2" t="s">
        <v>390</v>
      </c>
      <c r="CR33" s="2" t="s">
        <v>1121</v>
      </c>
      <c r="CV33" s="2" t="s">
        <v>1111</v>
      </c>
      <c r="CX33" s="2" t="s">
        <v>117</v>
      </c>
      <c r="CZ33" s="2" t="s">
        <v>79</v>
      </c>
      <c r="DC33" t="s">
        <v>1157</v>
      </c>
    </row>
    <row r="34" spans="3:118" x14ac:dyDescent="0.15">
      <c r="D34" s="2" t="s">
        <v>117</v>
      </c>
      <c r="E34" s="2" t="s">
        <v>18</v>
      </c>
      <c r="F34" s="2" t="s">
        <v>54</v>
      </c>
      <c r="G34" s="2" t="s">
        <v>117</v>
      </c>
      <c r="H34" s="2" t="s">
        <v>18</v>
      </c>
      <c r="I34" s="2" t="s">
        <v>54</v>
      </c>
      <c r="J34" s="2" t="s">
        <v>54</v>
      </c>
      <c r="K34" s="2" t="s">
        <v>121</v>
      </c>
      <c r="L34" s="2" t="s">
        <v>75</v>
      </c>
      <c r="M34" s="2" t="s">
        <v>203</v>
      </c>
      <c r="N34" s="2" t="s">
        <v>202</v>
      </c>
      <c r="O34" s="2" t="s">
        <v>189</v>
      </c>
      <c r="P34" s="104">
        <v>63</v>
      </c>
      <c r="Q34" s="104">
        <v>125</v>
      </c>
      <c r="R34" s="104">
        <v>250</v>
      </c>
      <c r="S34" s="104">
        <v>500</v>
      </c>
      <c r="T34" s="104">
        <v>1000</v>
      </c>
      <c r="U34" s="104">
        <v>2000</v>
      </c>
      <c r="V34" s="104">
        <v>4000</v>
      </c>
      <c r="W34" s="104">
        <v>8000</v>
      </c>
      <c r="X34" s="104" t="s">
        <v>70</v>
      </c>
      <c r="Y34" s="104" t="s">
        <v>27</v>
      </c>
      <c r="Z34" s="104">
        <v>63</v>
      </c>
      <c r="AA34" s="104">
        <v>125</v>
      </c>
      <c r="AB34" s="104">
        <v>250</v>
      </c>
      <c r="AC34" s="104">
        <v>500</v>
      </c>
      <c r="AD34" s="104">
        <v>1000</v>
      </c>
      <c r="AE34" s="104">
        <v>2000</v>
      </c>
      <c r="AF34" s="104">
        <v>4000</v>
      </c>
      <c r="AG34" s="104">
        <v>8000</v>
      </c>
      <c r="AH34" s="104" t="s">
        <v>70</v>
      </c>
      <c r="AI34" s="104" t="s">
        <v>27</v>
      </c>
      <c r="AJ34" s="104">
        <v>63</v>
      </c>
      <c r="AK34" s="104">
        <v>125</v>
      </c>
      <c r="AL34" s="104">
        <v>250</v>
      </c>
      <c r="AM34" s="104">
        <v>500</v>
      </c>
      <c r="AN34" s="104">
        <v>1000</v>
      </c>
      <c r="AO34" s="104">
        <v>2000</v>
      </c>
      <c r="AP34" s="104">
        <v>4000</v>
      </c>
      <c r="AQ34" s="104">
        <v>8000</v>
      </c>
      <c r="AR34" s="104" t="s">
        <v>70</v>
      </c>
      <c r="AS34" s="104" t="s">
        <v>27</v>
      </c>
      <c r="AT34" s="104">
        <v>63</v>
      </c>
      <c r="AU34" s="104">
        <v>125</v>
      </c>
      <c r="AV34" s="104">
        <v>250</v>
      </c>
      <c r="AW34" s="104">
        <v>500</v>
      </c>
      <c r="AX34" s="104">
        <v>1000</v>
      </c>
      <c r="AY34" s="104">
        <v>2000</v>
      </c>
      <c r="AZ34" s="104">
        <v>4000</v>
      </c>
      <c r="BA34" s="104">
        <v>8000</v>
      </c>
      <c r="BB34" s="104" t="s">
        <v>70</v>
      </c>
      <c r="BC34" s="104" t="s">
        <v>27</v>
      </c>
      <c r="BD34" s="104">
        <v>63</v>
      </c>
      <c r="BE34" s="104">
        <v>125</v>
      </c>
      <c r="BF34" s="104">
        <v>250</v>
      </c>
      <c r="BG34" s="104">
        <v>500</v>
      </c>
      <c r="BH34" s="104">
        <v>1000</v>
      </c>
      <c r="BI34" s="104">
        <v>2000</v>
      </c>
      <c r="BJ34" s="104">
        <v>4000</v>
      </c>
      <c r="BK34" s="104">
        <v>8000</v>
      </c>
      <c r="BL34" s="104" t="s">
        <v>70</v>
      </c>
      <c r="BM34" s="104" t="s">
        <v>27</v>
      </c>
      <c r="BN34" t="s">
        <v>97</v>
      </c>
      <c r="BO34" t="s">
        <v>98</v>
      </c>
      <c r="BQ34" s="2" t="s">
        <v>166</v>
      </c>
      <c r="BR34" s="2" t="s">
        <v>186</v>
      </c>
      <c r="BT34" s="104">
        <v>63</v>
      </c>
      <c r="BU34" s="104">
        <v>125</v>
      </c>
      <c r="BV34" s="104">
        <v>250</v>
      </c>
      <c r="BW34" s="104">
        <v>500</v>
      </c>
      <c r="BX34" s="104">
        <v>1000</v>
      </c>
      <c r="BY34" s="104">
        <v>2000</v>
      </c>
      <c r="BZ34" s="104">
        <v>4000</v>
      </c>
      <c r="CA34" s="104">
        <v>8000</v>
      </c>
      <c r="CB34" s="104" t="s">
        <v>70</v>
      </c>
      <c r="CC34" s="104" t="s">
        <v>27</v>
      </c>
      <c r="CI34" s="104" t="s">
        <v>530</v>
      </c>
      <c r="CJ34" s="104" t="s">
        <v>531</v>
      </c>
      <c r="CM34" s="241" t="str">
        <f>CM21</f>
        <v>Sähkönsyöttö, teksti</v>
      </c>
      <c r="CR34" t="s">
        <v>7</v>
      </c>
      <c r="CS34" t="s">
        <v>8</v>
      </c>
      <c r="CT34" t="s">
        <v>7</v>
      </c>
      <c r="CU34" t="s">
        <v>8</v>
      </c>
      <c r="CV34" t="s">
        <v>7</v>
      </c>
      <c r="CW34" t="s">
        <v>8</v>
      </c>
      <c r="CX34" t="s">
        <v>7</v>
      </c>
      <c r="CY34" t="s">
        <v>8</v>
      </c>
      <c r="CZ34" t="s">
        <v>7</v>
      </c>
      <c r="DA34" t="s">
        <v>8</v>
      </c>
      <c r="DK34" s="4" t="s">
        <v>1257</v>
      </c>
      <c r="DL34" s="4" t="s">
        <v>1260</v>
      </c>
    </row>
    <row r="35" spans="3:118" x14ac:dyDescent="0.15">
      <c r="C35" t="s">
        <v>21</v>
      </c>
      <c r="D35" t="b">
        <f>INDEX(D23:D28,$C$6)</f>
        <v>1</v>
      </c>
      <c r="E35" s="5">
        <f>INDEX(E23:E28,$C$6)</f>
        <v>4.6056989925805771</v>
      </c>
      <c r="F35" s="5">
        <f>INDEX(F23:F28,$C$6)</f>
        <v>17.415404182904666</v>
      </c>
      <c r="G35" s="5" t="b">
        <f t="shared" ref="G35:BC35" si="28">INDEX(G23:G28,$C$6)</f>
        <v>1</v>
      </c>
      <c r="H35" s="5">
        <f t="shared" si="28"/>
        <v>4.0607088592057181</v>
      </c>
      <c r="I35" s="5">
        <f t="shared" si="28"/>
        <v>14.606785358742272</v>
      </c>
      <c r="J35" s="5">
        <f t="shared" si="28"/>
        <v>4.4000000000000004</v>
      </c>
      <c r="K35" s="5">
        <f t="shared" si="28"/>
        <v>36.422189541646937</v>
      </c>
      <c r="L35" s="5">
        <f t="shared" si="28"/>
        <v>0.91055473854117341</v>
      </c>
      <c r="M35" s="5">
        <f t="shared" si="28"/>
        <v>62.999999999999993</v>
      </c>
      <c r="N35" s="5">
        <f t="shared" si="28"/>
        <v>1.1864630512155652</v>
      </c>
      <c r="O35" s="5">
        <f t="shared" si="28"/>
        <v>0.79500000000000004</v>
      </c>
      <c r="P35" s="80">
        <f t="shared" si="28"/>
        <v>81.554075562111791</v>
      </c>
      <c r="Q35" s="80">
        <f t="shared" si="28"/>
        <v>64.554075562111791</v>
      </c>
      <c r="R35" s="80">
        <f t="shared" si="28"/>
        <v>60.554075562111798</v>
      </c>
      <c r="S35" s="80">
        <f t="shared" si="28"/>
        <v>57.554075562111798</v>
      </c>
      <c r="T35" s="80">
        <f t="shared" si="28"/>
        <v>51.554075562111798</v>
      </c>
      <c r="U35" s="80">
        <f t="shared" si="28"/>
        <v>49.554075562111798</v>
      </c>
      <c r="V35" s="80">
        <f t="shared" si="28"/>
        <v>44.554075562111798</v>
      </c>
      <c r="W35" s="80">
        <f t="shared" si="28"/>
        <v>36.554075562111798</v>
      </c>
      <c r="X35" s="80">
        <f t="shared" si="28"/>
        <v>81.698184925789533</v>
      </c>
      <c r="Y35" s="80">
        <f t="shared" si="28"/>
        <v>60.554075562111798</v>
      </c>
      <c r="Z35" s="80">
        <f t="shared" si="28"/>
        <v>72.966638054503562</v>
      </c>
      <c r="AA35" s="80">
        <f t="shared" si="28"/>
        <v>55.966638054503562</v>
      </c>
      <c r="AB35" s="80">
        <f t="shared" si="28"/>
        <v>52.966638054503562</v>
      </c>
      <c r="AC35" s="80">
        <f t="shared" si="28"/>
        <v>43.966638054503562</v>
      </c>
      <c r="AD35" s="80">
        <f t="shared" si="28"/>
        <v>33.966638054503562</v>
      </c>
      <c r="AE35" s="80">
        <f t="shared" si="28"/>
        <v>27.966638054503562</v>
      </c>
      <c r="AF35" s="80">
        <f t="shared" si="28"/>
        <v>19.966638054503562</v>
      </c>
      <c r="AG35" s="80">
        <f t="shared" si="28"/>
        <v>16.966638054503562</v>
      </c>
      <c r="AH35" s="80">
        <f t="shared" si="28"/>
        <v>73.100810741004437</v>
      </c>
      <c r="AI35" s="80">
        <f t="shared" si="28"/>
        <v>49.966638054503562</v>
      </c>
      <c r="AJ35" s="80">
        <f t="shared" si="28"/>
        <v>71.666327398220631</v>
      </c>
      <c r="AK35" s="80">
        <f t="shared" si="28"/>
        <v>52.666327398220631</v>
      </c>
      <c r="AL35" s="80">
        <f t="shared" si="28"/>
        <v>47.666327398220631</v>
      </c>
      <c r="AM35" s="80">
        <f t="shared" si="28"/>
        <v>44.666327398220631</v>
      </c>
      <c r="AN35" s="80">
        <f t="shared" si="28"/>
        <v>38.666327398220631</v>
      </c>
      <c r="AO35" s="80">
        <f t="shared" si="28"/>
        <v>31.666327398220631</v>
      </c>
      <c r="AP35" s="80">
        <f t="shared" si="28"/>
        <v>22.666327398220631</v>
      </c>
      <c r="AQ35" s="80">
        <f t="shared" si="28"/>
        <v>16.666327398220631</v>
      </c>
      <c r="AR35" s="80">
        <f t="shared" si="28"/>
        <v>71.74884709234172</v>
      </c>
      <c r="AS35" s="80">
        <f t="shared" si="28"/>
        <v>48.666327398220631</v>
      </c>
      <c r="AT35" s="80">
        <f t="shared" si="28"/>
        <v>78.69453842504565</v>
      </c>
      <c r="AU35" s="80">
        <f t="shared" si="28"/>
        <v>62.69453842504565</v>
      </c>
      <c r="AV35" s="80">
        <f t="shared" si="28"/>
        <v>60.69453842504565</v>
      </c>
      <c r="AW35" s="80">
        <f t="shared" si="28"/>
        <v>53.69453842504565</v>
      </c>
      <c r="AX35" s="80">
        <f t="shared" si="28"/>
        <v>50.69453842504565</v>
      </c>
      <c r="AY35" s="80">
        <f t="shared" si="28"/>
        <v>48.69453842504565</v>
      </c>
      <c r="AZ35" s="80">
        <f t="shared" si="28"/>
        <v>43.69453842504565</v>
      </c>
      <c r="BA35" s="80">
        <f t="shared" si="28"/>
        <v>39.69453842504565</v>
      </c>
      <c r="BB35" s="80">
        <f t="shared" si="28"/>
        <v>78.894656789813283</v>
      </c>
      <c r="BC35" s="80">
        <f t="shared" si="28"/>
        <v>58.69453842504565</v>
      </c>
      <c r="BD35" s="459" cm="1">
        <f t="array" ref="BD35">IF($BD$4,INDEX(BC13:BC18,$C$6),INDEX(BD23:BD28,$C$6))</f>
        <v>48.294685941096091</v>
      </c>
      <c r="BE35" s="460" cm="1">
        <f t="array" ref="BE35">IF($BD$4,INDEX(BD13:BD18,$C$6),INDEX(BE23:BE28,$C$6))</f>
        <v>44.294685941096091</v>
      </c>
      <c r="BF35" s="460" cm="1">
        <f t="array" ref="BF35">IF($BD$4,INDEX(BE13:BE18,$C$6),INDEX(BF23:BF28,$C$6))</f>
        <v>39.294685941096091</v>
      </c>
      <c r="BG35" s="460" cm="1">
        <f t="array" ref="BG35">IF($BD$4,INDEX(BF13:BF18,$C$6),INDEX(BG23:BG28,$C$6))</f>
        <v>30.294685941096091</v>
      </c>
      <c r="BH35" s="460" cm="1">
        <f t="array" ref="BH35">IF($BD$4,INDEX(BG13:BG18,$C$6),INDEX(BH23:BH28,$C$6))</f>
        <v>22.294685941096091</v>
      </c>
      <c r="BI35" s="460" cm="1">
        <f t="array" ref="BI35">IF($BD$4,INDEX(BH13:BH18,$C$6),INDEX(BI23:BI28,$C$6))</f>
        <v>16.294685941096091</v>
      </c>
      <c r="BJ35" s="460" cm="1">
        <f t="array" ref="BJ35">IF($BD$4,INDEX(BI13:BI18,$C$6),INDEX(BJ23:BJ28,$C$6))</f>
        <v>9.2946859410960911</v>
      </c>
      <c r="BK35" s="460" cm="1">
        <f t="array" ref="BK35">IF($BD$4,INDEX(BJ13:BJ18,$C$6),INDEX(BK23:BK28,$C$6))</f>
        <v>8.2946859410960911</v>
      </c>
      <c r="BL35" s="460" cm="1">
        <f t="array" ref="BL35">IF($BD$4,INDEX(BK13:BK18,$C$6),INDEX(BL23:BL28,$C$6))</f>
        <v>50.178956998707633</v>
      </c>
      <c r="BM35" s="460" cm="1">
        <f t="array" ref="BM35">IF($BD$4,INDEX(BL13:BL18,$C$6),INDEX(BM23:BM28,$C$6))</f>
        <v>34.294685941096091</v>
      </c>
      <c r="BN35" s="460" cm="1">
        <f t="array" ref="BN35">IF($BD$4,INDEX(BM13:BM18,$C$6),INDEX(BN23:BN28,$C$6))</f>
        <v>30.315285854375716</v>
      </c>
      <c r="BO35" s="461" cm="1">
        <f t="array" ref="BO35">IF($BD$4,INDEX(BN13:BN18,$C$6),INDEX(BO23:BO28,$C$6))</f>
        <v>36.335885767655341</v>
      </c>
      <c r="BQ35" s="5">
        <f>'SEC-laskenta'!M5</f>
        <v>-39.949203661680336</v>
      </c>
      <c r="BR35" s="5" t="str">
        <f>'SEC-laskenta'!T5</f>
        <v>A</v>
      </c>
      <c r="BT35" s="80" cm="1">
        <f t="array" ref="BT35">INDEX(BT22:BT27,$C$6)</f>
        <v>68</v>
      </c>
      <c r="BU35" s="80" cm="1">
        <f t="array" ref="BU35">INDEX(BU22:BU27,$C$6)</f>
        <v>63</v>
      </c>
      <c r="BV35" s="80" cm="1">
        <f t="array" ref="BV35">INDEX(BV22:BV27,$C$6)</f>
        <v>59</v>
      </c>
      <c r="BW35" s="80" cm="1">
        <f t="array" ref="BW35">INDEX(BW22:BW27,$C$6)</f>
        <v>52</v>
      </c>
      <c r="BX35" s="80" cm="1">
        <f t="array" ref="BX35">INDEX(BX22:BX27,$C$6)</f>
        <v>49</v>
      </c>
      <c r="BY35" s="80" cm="1">
        <f t="array" ref="BY35">INDEX(BY22:BY27,$C$6)</f>
        <v>40</v>
      </c>
      <c r="BZ35" s="80" cm="1">
        <f t="array" ref="BZ35">INDEX(BZ22:BZ27,$C$6)</f>
        <v>29</v>
      </c>
      <c r="CA35" s="80" cm="1">
        <f t="array" ref="CA35">INDEX(CA22:CA27,$C$6)</f>
        <v>21</v>
      </c>
      <c r="CB35" s="80" cm="1">
        <f t="array" ref="CB35">INDEX(CB22:CB27,$C$6)</f>
        <v>69.707189991030347</v>
      </c>
      <c r="CC35" s="80" cm="1">
        <f t="array" ref="CC35">INDEX(CC22:CC27,$C$6)</f>
        <v>54.623792264383411</v>
      </c>
      <c r="CI35" s="32" t="str" cm="1">
        <f t="array" ref="CI35">INDEX(CI22:CI27,$C$6)</f>
        <v>-</v>
      </c>
      <c r="CJ35" s="32" t="str" cm="1">
        <f t="array" ref="CJ35">INDEX(CJ22:CJ27,$C$6)</f>
        <v>-</v>
      </c>
      <c r="CL35" s="376" t="str" cm="1">
        <f t="array" ref="CL35">INDEX(CL22:CL27,$C$6)</f>
        <v>Airfi-Model 60 Electric</v>
      </c>
      <c r="CM35" s="376" t="str" cm="1">
        <f t="array" ref="CM35">INDEX(CM22:CM27,$C$6)</f>
        <v>Electric plug 230 V, 50 Hz, 10 A, max 1165 W</v>
      </c>
      <c r="CR35" s="110">
        <f>CR19</f>
        <v>172.8</v>
      </c>
      <c r="CS35" s="110">
        <f>CS19</f>
        <v>172.8</v>
      </c>
      <c r="CT35" s="110">
        <f>CR17</f>
        <v>72</v>
      </c>
      <c r="CU35" s="110">
        <f>CS17</f>
        <v>72</v>
      </c>
      <c r="CV35" s="617" cm="1">
        <f t="array" ref="CV35">INDEX(CV22:CV27,$C$6)</f>
        <v>1.0447082616601771</v>
      </c>
      <c r="CW35" s="617" cm="1">
        <f t="array" ref="CW35">INDEX(CW22:CW27,$C$6)</f>
        <v>1.2244599184395049</v>
      </c>
      <c r="CX35" s="617" t="b" cm="1">
        <f t="array" ref="CX35">IF($DC$35,INDEX(CX22:CX27,$C$6),FALSE)</f>
        <v>1</v>
      </c>
      <c r="CY35" s="617" t="b" cm="1">
        <f t="array" ref="CY35">IF(DC35,INDEX(CY22:CY27,$C$6),FALSE)</f>
        <v>1</v>
      </c>
      <c r="CZ35" s="622" cm="1">
        <f t="array" ref="CZ35">INDEX(CZ22:CZ27,$C$6)</f>
        <v>5.3310493925409403</v>
      </c>
      <c r="DA35" s="622" cm="1">
        <f t="array" ref="DA35">INDEX(DA22:DA27,$C$6)</f>
        <v>4.7292356585093431</v>
      </c>
      <c r="DC35" t="b">
        <f>IF(CR11&gt;=0,TRUE,FALSE)</f>
        <v>1</v>
      </c>
      <c r="DG35" t="s">
        <v>21</v>
      </c>
      <c r="DI35" t="str">
        <f t="shared" ref="DI35:DN35" si="29">INDEX(DI23:DI28,$C$6)</f>
        <v>Model 60</v>
      </c>
      <c r="DK35">
        <f t="shared" si="29"/>
        <v>0.79584313725490186</v>
      </c>
      <c r="DL35">
        <f t="shared" si="29"/>
        <v>0.80890196078431376</v>
      </c>
      <c r="DN35">
        <f t="shared" si="29"/>
        <v>920</v>
      </c>
    </row>
    <row r="36" spans="3:118" x14ac:dyDescent="0.15">
      <c r="E36" s="5"/>
      <c r="F36" s="5"/>
      <c r="H36" s="5"/>
      <c r="I36" s="5"/>
      <c r="K36" s="5"/>
      <c r="L36" s="5"/>
      <c r="M36" s="5"/>
      <c r="N36" s="5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CI36" s="314"/>
      <c r="CJ36" s="314"/>
      <c r="CL36" s="376"/>
      <c r="CM36" s="376"/>
      <c r="CR36" s="3">
        <f>CR20</f>
        <v>48</v>
      </c>
      <c r="CS36" s="3">
        <f>CS20</f>
        <v>48</v>
      </c>
    </row>
    <row r="37" spans="3:118" x14ac:dyDescent="0.15">
      <c r="C37" t="s">
        <v>120</v>
      </c>
      <c r="D37" t="str" cm="1">
        <f t="array" ref="D37">IF(D35,"",INDEX(Kirjasto!D4:K125,23,Kirjasto!B4))</f>
        <v/>
      </c>
      <c r="E37" s="5">
        <f>IF($D$35,E35,"-")</f>
        <v>4.6056989925805771</v>
      </c>
      <c r="F37" s="5">
        <f>IF($D$35,F35,"-")</f>
        <v>17.415404182904666</v>
      </c>
      <c r="G37" t="str" cm="1">
        <f t="array" ref="G37">IF(G35,"",INDEX(Kirjasto!D4:K125,23,Kirjasto!B4))</f>
        <v/>
      </c>
      <c r="H37" s="5">
        <f>IF($G$35,H35,"-")</f>
        <v>4.0607088592057181</v>
      </c>
      <c r="I37" s="5">
        <f>IF($G$35,I35,"-")</f>
        <v>14.606785358742272</v>
      </c>
      <c r="K37" s="5">
        <f>IF(AND($D$35,$G$35),K35,"-")</f>
        <v>36.422189541646937</v>
      </c>
      <c r="L37" s="5">
        <f>IF(AND(D35,G35),L35,"-")</f>
        <v>0.91055473854117341</v>
      </c>
      <c r="M37" s="5">
        <f>M35</f>
        <v>62.999999999999993</v>
      </c>
      <c r="N37" s="5">
        <f>N35</f>
        <v>1.1864630512155652</v>
      </c>
      <c r="O37" s="32">
        <f>O35</f>
        <v>0.79500000000000004</v>
      </c>
      <c r="P37" s="80">
        <f>IF($D$35,P35,"-")</f>
        <v>81.554075562111791</v>
      </c>
      <c r="Q37" s="80">
        <f t="shared" ref="Q37:Y37" si="30">IF($D$35,Q35,"-")</f>
        <v>64.554075562111791</v>
      </c>
      <c r="R37" s="80">
        <f t="shared" si="30"/>
        <v>60.554075562111798</v>
      </c>
      <c r="S37" s="80">
        <f t="shared" si="30"/>
        <v>57.554075562111798</v>
      </c>
      <c r="T37" s="80">
        <f t="shared" si="30"/>
        <v>51.554075562111798</v>
      </c>
      <c r="U37" s="80">
        <f t="shared" si="30"/>
        <v>49.554075562111798</v>
      </c>
      <c r="V37" s="80">
        <f t="shared" si="30"/>
        <v>44.554075562111798</v>
      </c>
      <c r="W37" s="80">
        <f t="shared" si="30"/>
        <v>36.554075562111798</v>
      </c>
      <c r="X37" s="80">
        <f t="shared" si="30"/>
        <v>81.698184925789533</v>
      </c>
      <c r="Y37" s="80">
        <f t="shared" si="30"/>
        <v>60.554075562111798</v>
      </c>
      <c r="Z37" s="80">
        <f>IF($D$35,Z35,"-")</f>
        <v>72.966638054503562</v>
      </c>
      <c r="AA37" s="80">
        <f t="shared" ref="AA37" si="31">IF($D$35,AA35,"-")</f>
        <v>55.966638054503562</v>
      </c>
      <c r="AB37" s="80">
        <f t="shared" ref="AB37" si="32">IF($D$35,AB35,"-")</f>
        <v>52.966638054503562</v>
      </c>
      <c r="AC37" s="80">
        <f t="shared" ref="AC37" si="33">IF($D$35,AC35,"-")</f>
        <v>43.966638054503562</v>
      </c>
      <c r="AD37" s="80">
        <f t="shared" ref="AD37" si="34">IF($D$35,AD35,"-")</f>
        <v>33.966638054503562</v>
      </c>
      <c r="AE37" s="80">
        <f t="shared" ref="AE37" si="35">IF($D$35,AE35,"-")</f>
        <v>27.966638054503562</v>
      </c>
      <c r="AF37" s="80">
        <f t="shared" ref="AF37" si="36">IF($D$35,AF35,"-")</f>
        <v>19.966638054503562</v>
      </c>
      <c r="AG37" s="80">
        <f t="shared" ref="AG37" si="37">IF($D$35,AG35,"-")</f>
        <v>16.966638054503562</v>
      </c>
      <c r="AH37" s="80">
        <f t="shared" ref="AH37" si="38">IF($D$35,AH35,"-")</f>
        <v>73.100810741004437</v>
      </c>
      <c r="AI37" s="80">
        <f t="shared" ref="AI37" si="39">IF($D$35,AI35,"-")</f>
        <v>49.966638054503562</v>
      </c>
      <c r="AJ37" s="80">
        <f>IF($G$35,AJ35,"-")</f>
        <v>71.666327398220631</v>
      </c>
      <c r="AK37" s="80">
        <f t="shared" ref="AK37:BC37" si="40">IF($G$35,AK35,"-")</f>
        <v>52.666327398220631</v>
      </c>
      <c r="AL37" s="80">
        <f t="shared" si="40"/>
        <v>47.666327398220631</v>
      </c>
      <c r="AM37" s="80">
        <f t="shared" si="40"/>
        <v>44.666327398220631</v>
      </c>
      <c r="AN37" s="80">
        <f t="shared" si="40"/>
        <v>38.666327398220631</v>
      </c>
      <c r="AO37" s="80">
        <f t="shared" si="40"/>
        <v>31.666327398220631</v>
      </c>
      <c r="AP37" s="80">
        <f t="shared" si="40"/>
        <v>22.666327398220631</v>
      </c>
      <c r="AQ37" s="80">
        <f t="shared" si="40"/>
        <v>16.666327398220631</v>
      </c>
      <c r="AR37" s="80">
        <f t="shared" si="40"/>
        <v>71.74884709234172</v>
      </c>
      <c r="AS37" s="80">
        <f t="shared" si="40"/>
        <v>48.666327398220631</v>
      </c>
      <c r="AT37" s="80">
        <f t="shared" si="40"/>
        <v>78.69453842504565</v>
      </c>
      <c r="AU37" s="80">
        <f t="shared" si="40"/>
        <v>62.69453842504565</v>
      </c>
      <c r="AV37" s="80">
        <f t="shared" si="40"/>
        <v>60.69453842504565</v>
      </c>
      <c r="AW37" s="80">
        <f t="shared" si="40"/>
        <v>53.69453842504565</v>
      </c>
      <c r="AX37" s="80">
        <f t="shared" si="40"/>
        <v>50.69453842504565</v>
      </c>
      <c r="AY37" s="80">
        <f t="shared" si="40"/>
        <v>48.69453842504565</v>
      </c>
      <c r="AZ37" s="80">
        <f t="shared" si="40"/>
        <v>43.69453842504565</v>
      </c>
      <c r="BA37" s="80">
        <f t="shared" si="40"/>
        <v>39.69453842504565</v>
      </c>
      <c r="BB37" s="80">
        <f t="shared" si="40"/>
        <v>78.894656789813283</v>
      </c>
      <c r="BC37" s="80">
        <f t="shared" si="40"/>
        <v>58.69453842504565</v>
      </c>
      <c r="BD37" s="80">
        <f>IF(AND($D$35,$G$35),BD35,"-")</f>
        <v>48.294685941096091</v>
      </c>
      <c r="BE37" s="80">
        <f t="shared" ref="BE37:BK37" si="41">IF(AND($D$35,$G$35),BE35,"-")</f>
        <v>44.294685941096091</v>
      </c>
      <c r="BF37" s="80">
        <f t="shared" si="41"/>
        <v>39.294685941096091</v>
      </c>
      <c r="BG37" s="80">
        <f t="shared" si="41"/>
        <v>30.294685941096091</v>
      </c>
      <c r="BH37" s="80">
        <f t="shared" si="41"/>
        <v>22.294685941096091</v>
      </c>
      <c r="BI37" s="80">
        <f t="shared" si="41"/>
        <v>16.294685941096091</v>
      </c>
      <c r="BJ37" s="80">
        <f t="shared" si="41"/>
        <v>9.2946859410960911</v>
      </c>
      <c r="BK37" s="80">
        <f t="shared" si="41"/>
        <v>8.2946859410960911</v>
      </c>
      <c r="BL37" s="80">
        <f>IF(AND($D$35,$G$35),BL35,"-")</f>
        <v>50.178956998707633</v>
      </c>
      <c r="BM37" s="108">
        <f t="shared" ref="BM37" si="42">IF(AND($D$35,$G$35),BM35,"-")</f>
        <v>34.294685941096091</v>
      </c>
      <c r="BN37" s="80">
        <f t="shared" ref="BN37" si="43">IF(AND($D$35,$G$35),BN35,"-")</f>
        <v>30.315285854375716</v>
      </c>
      <c r="BO37" s="80">
        <f t="shared" ref="BO37" si="44">IF(AND($D$35,$G$35),BO35,"-")</f>
        <v>36.335885767655341</v>
      </c>
      <c r="BQ37" s="5">
        <f>BQ35</f>
        <v>-39.949203661680336</v>
      </c>
      <c r="BR37" s="5" t="str">
        <f>BR35</f>
        <v>A</v>
      </c>
      <c r="BT37" s="4" t="str">
        <f t="shared" ref="BT37:CC37" si="45">IF(AND($BT$15,$G$35),BT35,"-")</f>
        <v>-</v>
      </c>
      <c r="BU37" s="4" t="str">
        <f t="shared" si="45"/>
        <v>-</v>
      </c>
      <c r="BV37" s="4" t="str">
        <f t="shared" si="45"/>
        <v>-</v>
      </c>
      <c r="BW37" s="4" t="str">
        <f t="shared" si="45"/>
        <v>-</v>
      </c>
      <c r="BX37" s="4" t="str">
        <f t="shared" si="45"/>
        <v>-</v>
      </c>
      <c r="BY37" s="4" t="str">
        <f t="shared" si="45"/>
        <v>-</v>
      </c>
      <c r="BZ37" s="4" t="str">
        <f t="shared" si="45"/>
        <v>-</v>
      </c>
      <c r="CA37" s="4" t="str">
        <f t="shared" si="45"/>
        <v>-</v>
      </c>
      <c r="CB37" s="80" t="str">
        <f t="shared" si="45"/>
        <v>-</v>
      </c>
      <c r="CC37" s="80" t="str">
        <f t="shared" si="45"/>
        <v>-</v>
      </c>
      <c r="CI37" s="32" t="str">
        <f t="shared" ref="CI37:CJ37" si="46">IF(AND($D$35,$G$35),CI35,"-")</f>
        <v>-</v>
      </c>
      <c r="CJ37" s="32" t="str">
        <f t="shared" si="46"/>
        <v>-</v>
      </c>
      <c r="CL37" s="376" t="str">
        <f>CL35</f>
        <v>Airfi-Model 60 Electric</v>
      </c>
      <c r="CM37" s="376" t="str" cm="1">
        <f t="array" ref="CM37">CONCATENATE(INDEX(Kirjasto!D4:K129,124,Kirjasto!B4),CM35)</f>
        <v>Power supply: Electric plug 230 V, 50 Hz, 10 A, max 1165 W</v>
      </c>
      <c r="CR37" s="622">
        <f>IF(AND($CX$35,$D$35),CR35,"-")</f>
        <v>172.8</v>
      </c>
      <c r="CS37" s="622">
        <f>IF(AND($CY$35,$G$35),CS35,"-")</f>
        <v>172.8</v>
      </c>
      <c r="CT37" s="622">
        <f>IF(AND($CX$35,$D$35),CT35,"-")</f>
        <v>72</v>
      </c>
      <c r="CU37" s="622">
        <f>IF(AND($CY$35,$G$35),CU35,"-")</f>
        <v>72</v>
      </c>
      <c r="CV37" s="617">
        <f>IF(AND($D$35),CV35,"-")</f>
        <v>1.0447082616601771</v>
      </c>
      <c r="CW37" s="617">
        <f>IF(AND($G$35),CW35,"-")</f>
        <v>1.2244599184395049</v>
      </c>
      <c r="CX37" t="str" cm="1">
        <f t="array" ref="CX37">IF(AND(CX35,CY35),"",INDEX(Kirjasto!D4:K150,139,Kirjasto!B4))</f>
        <v/>
      </c>
      <c r="CZ37" s="622">
        <f>IF(AND($CX$35,$D$35),CZ35,"-")</f>
        <v>5.3310493925409403</v>
      </c>
      <c r="DA37" s="622">
        <f>IF(AND($CY$35,$G$35),DA35,"-")</f>
        <v>4.7292356585093431</v>
      </c>
      <c r="DG37" t="s">
        <v>120</v>
      </c>
      <c r="DK37">
        <f>DK35</f>
        <v>0.79584313725490186</v>
      </c>
      <c r="DL37">
        <f>DL35</f>
        <v>0.80890196078431376</v>
      </c>
      <c r="DN37">
        <f>DN35</f>
        <v>920</v>
      </c>
    </row>
    <row r="38" spans="3:118" x14ac:dyDescent="0.15">
      <c r="C38" t="s">
        <v>119</v>
      </c>
      <c r="CR38" s="622">
        <f>IF(AND($CX$35,D35),CR36,"-")</f>
        <v>48</v>
      </c>
      <c r="CS38" s="622">
        <f>IF(AND($CY$35,$G$35),CS36,"-")</f>
        <v>48</v>
      </c>
    </row>
    <row r="39" spans="3:118" x14ac:dyDescent="0.15">
      <c r="D39" s="2" t="s">
        <v>513</v>
      </c>
      <c r="G39">
        <v>1</v>
      </c>
      <c r="H39">
        <v>2</v>
      </c>
      <c r="I39">
        <v>3</v>
      </c>
      <c r="J39">
        <v>4</v>
      </c>
      <c r="K39">
        <v>5</v>
      </c>
    </row>
    <row r="40" spans="3:118" x14ac:dyDescent="0.15">
      <c r="C40" t="s">
        <v>567</v>
      </c>
      <c r="D40" t="b">
        <v>0</v>
      </c>
      <c r="J40" t="s">
        <v>561</v>
      </c>
      <c r="K40" t="s">
        <v>560</v>
      </c>
      <c r="M40" t="s">
        <v>120</v>
      </c>
      <c r="R40" s="2" t="s">
        <v>173</v>
      </c>
    </row>
    <row r="41" spans="3:118" x14ac:dyDescent="0.15">
      <c r="D41" s="10" t="s">
        <v>491</v>
      </c>
      <c r="E41" s="22"/>
      <c r="F41" s="22"/>
      <c r="G41" s="449" t="s">
        <v>393</v>
      </c>
      <c r="H41" s="449" t="s">
        <v>393</v>
      </c>
      <c r="I41" s="449" t="s">
        <v>393</v>
      </c>
      <c r="J41" s="21">
        <f>'Laskenta vesipatteri 250'!$I$16</f>
        <v>50</v>
      </c>
      <c r="K41" s="21">
        <f>'Laskenta vesipatteri 350'!$I$16</f>
        <v>50</v>
      </c>
      <c r="M41" t="str" cm="1">
        <f t="array" ref="M41">INDEX(G41:K41,1,$C$6)</f>
        <v>-</v>
      </c>
      <c r="N41" t="str">
        <f>IF($M$47,"-",M41)</f>
        <v>-</v>
      </c>
      <c r="P41" t="s">
        <v>120</v>
      </c>
      <c r="R41" s="39">
        <f>IF(AND(D35,G35),L35/3.6,"-")</f>
        <v>0.25293187181699262</v>
      </c>
    </row>
    <row r="42" spans="3:118" x14ac:dyDescent="0.15">
      <c r="D42" s="12" t="s">
        <v>492</v>
      </c>
      <c r="G42" s="39" t="s">
        <v>393</v>
      </c>
      <c r="H42" s="39" t="s">
        <v>393</v>
      </c>
      <c r="I42" s="39" t="s">
        <v>393</v>
      </c>
      <c r="J42" s="24">
        <f>'Laskenta vesipatteri 250'!$I$17</f>
        <v>3.0009023627128002</v>
      </c>
      <c r="K42" s="24">
        <f>'Laskenta vesipatteri 350'!$I$17</f>
        <v>-10.401549902878479</v>
      </c>
      <c r="M42" t="str" cm="1">
        <f t="array" ref="M42">INDEX(G42:K42,1,$C$6)</f>
        <v>-</v>
      </c>
      <c r="N42" t="str">
        <f t="shared" ref="N42:N46" si="47">IF($M$47,"-",M42)</f>
        <v>-</v>
      </c>
    </row>
    <row r="43" spans="3:118" x14ac:dyDescent="0.15">
      <c r="D43" s="12" t="s">
        <v>498</v>
      </c>
      <c r="G43" s="39" t="s">
        <v>393</v>
      </c>
      <c r="H43" s="39" t="s">
        <v>393</v>
      </c>
      <c r="I43" s="39" t="s">
        <v>393</v>
      </c>
      <c r="J43" s="24">
        <f>'Laskenta vesipatteri 250'!$I$18</f>
        <v>4.6356014984733716E-3</v>
      </c>
      <c r="K43" s="24">
        <f>'Laskenta vesipatteri 350'!$I$18</f>
        <v>3.607011538356603E-3</v>
      </c>
      <c r="M43" t="str" cm="1">
        <f t="array" ref="M43">INDEX(G43:K43,1,$C$6)</f>
        <v>-</v>
      </c>
      <c r="N43" t="str">
        <f t="shared" si="47"/>
        <v>-</v>
      </c>
    </row>
    <row r="44" spans="3:118" ht="12.75" customHeight="1" x14ac:dyDescent="0.15">
      <c r="D44" s="12" t="s">
        <v>553</v>
      </c>
      <c r="G44" s="39" t="s">
        <v>393</v>
      </c>
      <c r="H44" s="39" t="s">
        <v>393</v>
      </c>
      <c r="I44" s="39" t="s">
        <v>393</v>
      </c>
      <c r="J44" s="24">
        <f>'Laskenta vesipatteri 250'!$I$19</f>
        <v>5.1628273070877778E-2</v>
      </c>
      <c r="K44" s="24">
        <f>'Laskenta vesipatteri 350'!$I$19</f>
        <v>2.7935202638013926E-2</v>
      </c>
      <c r="M44" t="str" cm="1">
        <f t="array" ref="M44">INDEX(G44:K44,1,$C$6)</f>
        <v>-</v>
      </c>
      <c r="N44" t="str">
        <f t="shared" si="47"/>
        <v>-</v>
      </c>
    </row>
    <row r="45" spans="3:118" ht="12.75" customHeight="1" x14ac:dyDescent="0.15">
      <c r="D45" s="12" t="s">
        <v>554</v>
      </c>
      <c r="G45" s="39" t="s">
        <v>393</v>
      </c>
      <c r="H45" s="39" t="s">
        <v>393</v>
      </c>
      <c r="I45" s="39" t="s">
        <v>393</v>
      </c>
      <c r="J45" s="24">
        <f>'Laskenta vesipatteri 250'!$I$20</f>
        <v>2.7849486423432549E-2</v>
      </c>
      <c r="K45" s="24">
        <f>'Laskenta vesipatteri 350'!$I$20</f>
        <v>1.686164978023762E-2</v>
      </c>
      <c r="M45" t="str" cm="1">
        <f t="array" ref="M45">INDEX(G45:K45,1,$C$6)</f>
        <v>-</v>
      </c>
      <c r="N45" t="str">
        <f t="shared" si="47"/>
        <v>-</v>
      </c>
    </row>
    <row r="46" spans="3:118" x14ac:dyDescent="0.15">
      <c r="D46" s="14" t="s">
        <v>501</v>
      </c>
      <c r="E46" s="25"/>
      <c r="F46" s="25"/>
      <c r="G46" s="450" t="s">
        <v>393</v>
      </c>
      <c r="H46" s="450" t="s">
        <v>393</v>
      </c>
      <c r="I46" s="450" t="s">
        <v>393</v>
      </c>
      <c r="J46" s="26">
        <f>'Laskenta vesipatteri 250'!$I$21</f>
        <v>3.7774279305535188E-2</v>
      </c>
      <c r="K46" s="26">
        <f>'Laskenta vesipatteri 350'!$I$21</f>
        <v>2.9392574265290496E-2</v>
      </c>
      <c r="M46" t="str" cm="1">
        <f t="array" ref="M46">INDEX(G46:K46,1,$C$6)</f>
        <v>-</v>
      </c>
      <c r="N46" t="str">
        <f t="shared" si="47"/>
        <v>-</v>
      </c>
    </row>
    <row r="47" spans="3:118" x14ac:dyDescent="0.15">
      <c r="F47" t="s">
        <v>537</v>
      </c>
      <c r="H47" s="39"/>
      <c r="J47" t="b">
        <f>'Laskenta vesipatteri 250'!$E$22</f>
        <v>1</v>
      </c>
      <c r="K47" t="b">
        <f>'Laskenta vesipatteri 350'!$E$22</f>
        <v>1</v>
      </c>
      <c r="M47" t="b" cm="1">
        <f t="array" ref="M47">IF(D40,INDEX(G47:K47,1,$C$6),TRUE)</f>
        <v>1</v>
      </c>
    </row>
    <row r="48" spans="3:118" x14ac:dyDescent="0.15">
      <c r="D48" s="389" t="s">
        <v>491</v>
      </c>
      <c r="E48" s="22"/>
      <c r="F48" s="22"/>
      <c r="G48" s="449" t="s">
        <v>393</v>
      </c>
      <c r="H48" s="449" t="s">
        <v>393</v>
      </c>
      <c r="I48" s="449" t="s">
        <v>393</v>
      </c>
      <c r="J48" s="21">
        <f>'Laskenta vesipatteri 250'!$I$25</f>
        <v>23.0009023627128</v>
      </c>
      <c r="K48" s="21">
        <f>'Laskenta vesipatteri 350'!$I$25</f>
        <v>9.5984500971215212</v>
      </c>
      <c r="M48" t="str" cm="1">
        <f t="array" ref="M48">INDEX(G48:K48,1,$C$6)</f>
        <v>-</v>
      </c>
      <c r="N48" t="str">
        <f>IF($M$54,"-",M48)</f>
        <v>-</v>
      </c>
    </row>
    <row r="49" spans="4:16" x14ac:dyDescent="0.15">
      <c r="D49" s="390" t="s">
        <v>492</v>
      </c>
      <c r="G49" s="39" t="s">
        <v>393</v>
      </c>
      <c r="H49" s="39" t="s">
        <v>393</v>
      </c>
      <c r="I49" s="39" t="s">
        <v>393</v>
      </c>
      <c r="J49" s="24">
        <f>'Laskenta vesipatteri 250'!$I$26</f>
        <v>30</v>
      </c>
      <c r="K49" s="24">
        <f>'Laskenta vesipatteri 350'!$I$26</f>
        <v>30</v>
      </c>
      <c r="M49" t="str" cm="1">
        <f t="array" ref="M49">INDEX(G49:K49,1,$C$6)</f>
        <v>-</v>
      </c>
      <c r="N49" t="str">
        <f t="shared" ref="N49:N53" si="48">IF($M$54,"-",M49)</f>
        <v>-</v>
      </c>
    </row>
    <row r="50" spans="4:16" x14ac:dyDescent="0.15">
      <c r="D50" s="390" t="s">
        <v>498</v>
      </c>
      <c r="G50" s="39" t="s">
        <v>393</v>
      </c>
      <c r="H50" s="39" t="s">
        <v>393</v>
      </c>
      <c r="I50" s="39" t="s">
        <v>393</v>
      </c>
      <c r="J50" s="24">
        <f>'Laskenta vesipatteri 250'!$I$27</f>
        <v>-3.1128168047495523E-2</v>
      </c>
      <c r="K50" s="24">
        <f>'Laskenta vesipatteri 350'!$I$27</f>
        <v>-1.0679045879919418E-2</v>
      </c>
      <c r="M50" t="str" cm="1">
        <f t="array" ref="M50">INDEX(G50:K50,1,$C$6)</f>
        <v>-</v>
      </c>
      <c r="N50" t="str">
        <f t="shared" si="48"/>
        <v>-</v>
      </c>
    </row>
    <row r="51" spans="4:16" x14ac:dyDescent="0.15">
      <c r="D51" s="390" t="s">
        <v>553</v>
      </c>
      <c r="G51" s="39" t="s">
        <v>393</v>
      </c>
      <c r="H51" s="39" t="s">
        <v>393</v>
      </c>
      <c r="I51" s="39" t="s">
        <v>393</v>
      </c>
      <c r="J51" s="24" t="e">
        <f>'Laskenta vesipatteri 250'!$I$28</f>
        <v>#NUM!</v>
      </c>
      <c r="K51" s="24" t="e">
        <f>'Laskenta vesipatteri 350'!$I$28</f>
        <v>#NUM!</v>
      </c>
      <c r="M51" t="str" cm="1">
        <f t="array" ref="M51">INDEX(G51:K51,1,$C$6)</f>
        <v>-</v>
      </c>
      <c r="N51" t="str">
        <f t="shared" si="48"/>
        <v>-</v>
      </c>
    </row>
    <row r="52" spans="4:16" x14ac:dyDescent="0.15">
      <c r="D52" s="390" t="s">
        <v>555</v>
      </c>
      <c r="G52" s="39" t="s">
        <v>393</v>
      </c>
      <c r="H52" s="39" t="s">
        <v>393</v>
      </c>
      <c r="I52" s="39" t="s">
        <v>393</v>
      </c>
      <c r="J52" s="24">
        <f>'Laskenta vesipatteri 250'!$I$29</f>
        <v>1.2557758484070849</v>
      </c>
      <c r="K52" s="24">
        <f>'Laskenta vesipatteri 350'!$I$29</f>
        <v>0.1477984590934294</v>
      </c>
      <c r="M52" t="str" cm="1">
        <f t="array" ref="M52">INDEX(G52:K52,1,$C$6)</f>
        <v>-</v>
      </c>
      <c r="N52" t="str">
        <f t="shared" si="48"/>
        <v>-</v>
      </c>
    </row>
    <row r="53" spans="4:16" x14ac:dyDescent="0.15">
      <c r="D53" s="391" t="s">
        <v>501</v>
      </c>
      <c r="E53" s="25"/>
      <c r="F53" s="25"/>
      <c r="G53" s="450" t="s">
        <v>393</v>
      </c>
      <c r="H53" s="450" t="s">
        <v>393</v>
      </c>
      <c r="I53" s="450" t="s">
        <v>393</v>
      </c>
      <c r="J53" s="26">
        <f>'Laskenta vesipatteri 250'!$I$30</f>
        <v>-0.2536551328846901</v>
      </c>
      <c r="K53" s="26">
        <f>'Laskenta vesipatteri 350'!$I$30</f>
        <v>-8.7020694491868888E-2</v>
      </c>
      <c r="M53" t="str" cm="1">
        <f t="array" ref="M53">INDEX(G53:K53,1,$C$6)</f>
        <v>-</v>
      </c>
      <c r="N53" t="str">
        <f t="shared" si="48"/>
        <v>-</v>
      </c>
    </row>
    <row r="54" spans="4:16" x14ac:dyDescent="0.15">
      <c r="F54" t="s">
        <v>537</v>
      </c>
      <c r="J54" t="b">
        <f>'Laskenta vesipatteri 250'!$E$31</f>
        <v>1</v>
      </c>
      <c r="K54" t="b">
        <f>'Laskenta vesipatteri 350'!$E$31</f>
        <v>1</v>
      </c>
      <c r="M54" t="b" cm="1">
        <f t="array" ref="M54">IF(D40,INDEX(G54:K54,1,$C$6),TRUE)</f>
        <v>1</v>
      </c>
    </row>
    <row r="55" spans="4:16" x14ac:dyDescent="0.15">
      <c r="D55" s="233" t="s">
        <v>486</v>
      </c>
    </row>
    <row r="56" spans="4:16" x14ac:dyDescent="0.15">
      <c r="D56">
        <f>'Laskenta vesipatteri 350'!$I$7</f>
        <v>912</v>
      </c>
    </row>
    <row r="57" spans="4:16" x14ac:dyDescent="0.15">
      <c r="D57" s="2" t="str">
        <f>IF(OR($C$6=4,$C$6=5),D56,"-")</f>
        <v>-</v>
      </c>
    </row>
    <row r="58" spans="4:16" x14ac:dyDescent="0.15">
      <c r="M58" s="2" t="s">
        <v>565</v>
      </c>
    </row>
    <row r="59" spans="4:16" x14ac:dyDescent="0.15">
      <c r="M59" s="10" t="str" cm="1">
        <f t="array" ref="M59">IF(M47,INDEX(Kirjasto!D4:K130,127,Kirjasto!B4),"")</f>
        <v>Value out of range. Check parameters.</v>
      </c>
      <c r="N59" s="22"/>
      <c r="O59" s="22"/>
      <c r="P59" s="21"/>
    </row>
    <row r="60" spans="4:16" x14ac:dyDescent="0.15">
      <c r="M60" s="14" t="str" cm="1">
        <f t="array" ref="M60">IF(M54,INDEX(Kirjasto!D4:K130,127,Kirjasto!B4),"")</f>
        <v>Value out of range. Check parameters.</v>
      </c>
      <c r="N60" s="25"/>
      <c r="O60" s="25"/>
      <c r="P60" s="26"/>
    </row>
    <row r="62" spans="4:16" x14ac:dyDescent="0.15">
      <c r="M62" s="10" t="str" cm="1">
        <f t="array" ref="M62">IF(OR($C$6=4,$C$6=5),IF('Laskenta tulopuoli 350'!AU14,"",INDEX(Kirjasto!D4:K129,126,Kirjasto!B4)),INDEX(Kirjasto!D4:K125,105,Kirjasto!B4))</f>
        <v>Not available for selected model</v>
      </c>
      <c r="N62" s="22"/>
      <c r="O62" s="22"/>
      <c r="P62" s="21"/>
    </row>
    <row r="63" spans="4:16" x14ac:dyDescent="0.15">
      <c r="M63" s="10" t="str">
        <f>IF(OR($C$6=4,$C$6=5),M59,"")</f>
        <v/>
      </c>
      <c r="N63" s="22"/>
      <c r="O63" s="22"/>
      <c r="P63" s="21"/>
    </row>
    <row r="64" spans="4:16" x14ac:dyDescent="0.15">
      <c r="M64" s="14" t="str">
        <f>IF(OR($C$6=4,$C$6=5),M60,"")</f>
        <v/>
      </c>
      <c r="N64" s="25"/>
      <c r="O64" s="25"/>
      <c r="P64" s="26"/>
    </row>
  </sheetData>
  <phoneticPr fontId="82" type="noConversion"/>
  <pageMargins left="0.7" right="0.7" top="0.75" bottom="0.75" header="0.3" footer="0.3"/>
  <pageSetup paperSize="9" orientation="portrait" r:id="rId1"/>
  <ignoredErrors>
    <ignoredError sqref="AW11 AJ11 AL11 AN11 AS11 AU11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Drop Down 1">
              <controlPr defaultSize="0" autoLine="0" autoPict="0">
                <anchor moveWithCells="1">
                  <from>
                    <xdr:col>4</xdr:col>
                    <xdr:colOff>152400</xdr:colOff>
                    <xdr:row>3</xdr:row>
                    <xdr:rowOff>12700</xdr:rowOff>
                  </from>
                  <to>
                    <xdr:col>11</xdr:col>
                    <xdr:colOff>152400</xdr:colOff>
                    <xdr:row>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Drop Down 2">
              <controlPr defaultSize="0" autoLine="0" autoPict="0">
                <anchor moveWithCells="1">
                  <from>
                    <xdr:col>116</xdr:col>
                    <xdr:colOff>88900</xdr:colOff>
                    <xdr:row>3</xdr:row>
                    <xdr:rowOff>12700</xdr:rowOff>
                  </from>
                  <to>
                    <xdr:col>117</xdr:col>
                    <xdr:colOff>50800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5A54-1495-47CD-850D-6F53EF45BDDD}">
  <dimension ref="B1:K861"/>
  <sheetViews>
    <sheetView showGridLines="0" topLeftCell="F1" zoomScaleNormal="100" workbookViewId="0">
      <selection activeCell="K13" sqref="K13"/>
    </sheetView>
  </sheetViews>
  <sheetFormatPr baseColWidth="10" defaultColWidth="9.1640625" defaultRowHeight="15" x14ac:dyDescent="0.2"/>
  <cols>
    <col min="1" max="3" width="9.1640625" style="570"/>
    <col min="4" max="4" width="59.5" style="571" customWidth="1"/>
    <col min="5" max="11" width="59.5" style="570" customWidth="1"/>
    <col min="12" max="16384" width="9.1640625" style="570"/>
  </cols>
  <sheetData>
    <row r="1" spans="2:11" x14ac:dyDescent="0.2">
      <c r="B1" s="569" t="str" cm="1">
        <f t="array" aca="1" ref="B1" ca="1">MID(CELL("filename",$A$1),FIND("]",CELL("filename",$A$1))+1,255)</f>
        <v>Kirjasto (kaupungit)</v>
      </c>
    </row>
    <row r="3" spans="2:11" ht="18" thickBot="1" x14ac:dyDescent="0.25">
      <c r="B3" s="569" t="s">
        <v>705</v>
      </c>
      <c r="D3" s="572" t="s">
        <v>706</v>
      </c>
      <c r="E3" s="573" t="s">
        <v>708</v>
      </c>
      <c r="F3" s="574" t="s">
        <v>709</v>
      </c>
      <c r="G3" s="575" t="s">
        <v>710</v>
      </c>
      <c r="H3" s="764" t="s">
        <v>1400</v>
      </c>
      <c r="I3" s="766" t="s">
        <v>1401</v>
      </c>
      <c r="J3" s="768" t="s">
        <v>1402</v>
      </c>
      <c r="K3" s="770" t="s">
        <v>1403</v>
      </c>
    </row>
    <row r="4" spans="2:11" ht="16" x14ac:dyDescent="0.2">
      <c r="B4" s="504">
        <f>Kirjasto!$B$4</f>
        <v>2</v>
      </c>
      <c r="C4" s="569">
        <v>1</v>
      </c>
      <c r="D4" s="576" t="s">
        <v>1016</v>
      </c>
      <c r="E4" s="577" t="s">
        <v>1016</v>
      </c>
      <c r="F4" s="578" t="s">
        <v>1017</v>
      </c>
      <c r="G4" s="579" t="s">
        <v>1016</v>
      </c>
      <c r="H4" s="772" t="s">
        <v>1016</v>
      </c>
      <c r="I4" s="775" t="s">
        <v>1016</v>
      </c>
      <c r="J4" s="778" t="s">
        <v>1016</v>
      </c>
      <c r="K4" s="781" t="s">
        <v>1016</v>
      </c>
    </row>
    <row r="5" spans="2:11" ht="16" x14ac:dyDescent="0.2">
      <c r="C5" s="569">
        <v>2</v>
      </c>
      <c r="D5" s="580" t="s">
        <v>270</v>
      </c>
      <c r="E5" s="581" t="s">
        <v>270</v>
      </c>
      <c r="F5" s="582" t="s">
        <v>1018</v>
      </c>
      <c r="G5" s="583" t="s">
        <v>270</v>
      </c>
      <c r="H5" s="773" t="s">
        <v>270</v>
      </c>
      <c r="I5" s="776" t="s">
        <v>270</v>
      </c>
      <c r="J5" s="779" t="s">
        <v>270</v>
      </c>
      <c r="K5" s="782" t="s">
        <v>270</v>
      </c>
    </row>
    <row r="6" spans="2:11" ht="16" x14ac:dyDescent="0.2">
      <c r="C6" s="569">
        <v>3</v>
      </c>
      <c r="D6" s="580" t="s">
        <v>271</v>
      </c>
      <c r="E6" s="581" t="s">
        <v>271</v>
      </c>
      <c r="F6" s="582" t="s">
        <v>271</v>
      </c>
      <c r="G6" s="583" t="s">
        <v>271</v>
      </c>
      <c r="H6" s="773" t="s">
        <v>271</v>
      </c>
      <c r="I6" s="776" t="s">
        <v>271</v>
      </c>
      <c r="J6" s="779" t="s">
        <v>271</v>
      </c>
      <c r="K6" s="782" t="s">
        <v>271</v>
      </c>
    </row>
    <row r="7" spans="2:11" ht="16" x14ac:dyDescent="0.2">
      <c r="C7" s="569">
        <v>4</v>
      </c>
      <c r="D7" s="580" t="s">
        <v>272</v>
      </c>
      <c r="E7" s="581" t="s">
        <v>272</v>
      </c>
      <c r="F7" s="582" t="s">
        <v>272</v>
      </c>
      <c r="G7" s="583" t="s">
        <v>272</v>
      </c>
      <c r="H7" s="773" t="s">
        <v>272</v>
      </c>
      <c r="I7" s="776" t="s">
        <v>272</v>
      </c>
      <c r="J7" s="779" t="s">
        <v>272</v>
      </c>
      <c r="K7" s="782" t="s">
        <v>272</v>
      </c>
    </row>
    <row r="8" spans="2:11" ht="16" x14ac:dyDescent="0.2">
      <c r="C8" s="569">
        <v>5</v>
      </c>
      <c r="D8" s="580" t="s">
        <v>1025</v>
      </c>
      <c r="E8" s="761" t="s">
        <v>1394</v>
      </c>
      <c r="F8" s="582" t="s">
        <v>1394</v>
      </c>
      <c r="G8" s="762" t="s">
        <v>1394</v>
      </c>
      <c r="H8" s="774" t="s">
        <v>1407</v>
      </c>
      <c r="I8" s="777" t="s">
        <v>1394</v>
      </c>
      <c r="J8" s="780" t="s">
        <v>1409</v>
      </c>
      <c r="K8" s="783" t="s">
        <v>1411</v>
      </c>
    </row>
    <row r="9" spans="2:11" ht="16" x14ac:dyDescent="0.2">
      <c r="C9" s="569">
        <v>6</v>
      </c>
      <c r="D9" s="580" t="s">
        <v>1028</v>
      </c>
      <c r="E9" s="761" t="s">
        <v>1392</v>
      </c>
      <c r="F9" s="582" t="s">
        <v>1393</v>
      </c>
      <c r="G9" s="762" t="s">
        <v>1393</v>
      </c>
      <c r="H9" s="774" t="s">
        <v>1408</v>
      </c>
      <c r="I9" s="777" t="s">
        <v>1393</v>
      </c>
      <c r="J9" s="780" t="s">
        <v>1410</v>
      </c>
      <c r="K9" s="783" t="s">
        <v>1412</v>
      </c>
    </row>
    <row r="10" spans="2:11" ht="16" x14ac:dyDescent="0.2">
      <c r="C10" s="569">
        <v>7</v>
      </c>
      <c r="D10" s="580" t="s">
        <v>1019</v>
      </c>
      <c r="E10" s="761" t="s">
        <v>1364</v>
      </c>
      <c r="F10" s="582" t="s">
        <v>1364</v>
      </c>
      <c r="G10" s="762" t="s">
        <v>1364</v>
      </c>
      <c r="H10" s="774" t="s">
        <v>1404</v>
      </c>
      <c r="I10" s="777" t="s">
        <v>1364</v>
      </c>
      <c r="J10" s="780" t="s">
        <v>1405</v>
      </c>
      <c r="K10" s="783" t="s">
        <v>1406</v>
      </c>
    </row>
    <row r="11" spans="2:11" ht="16" x14ac:dyDescent="0.2">
      <c r="C11" s="569">
        <v>8</v>
      </c>
      <c r="D11" s="580" t="s">
        <v>1380</v>
      </c>
      <c r="E11" s="761" t="s">
        <v>1385</v>
      </c>
      <c r="F11" s="582" t="s">
        <v>1385</v>
      </c>
      <c r="G11" s="762" t="s">
        <v>1385</v>
      </c>
      <c r="H11" s="774" t="s">
        <v>1413</v>
      </c>
      <c r="I11" s="777" t="s">
        <v>1414</v>
      </c>
      <c r="J11" s="780" t="s">
        <v>1415</v>
      </c>
      <c r="K11" s="783" t="s">
        <v>1413</v>
      </c>
    </row>
    <row r="12" spans="2:11" ht="16" x14ac:dyDescent="0.2">
      <c r="C12" s="569">
        <v>9</v>
      </c>
      <c r="D12" s="580" t="s">
        <v>1382</v>
      </c>
      <c r="E12" s="761" t="s">
        <v>1386</v>
      </c>
      <c r="F12" s="582" t="s">
        <v>1386</v>
      </c>
      <c r="G12" s="762" t="s">
        <v>1387</v>
      </c>
      <c r="H12" s="774" t="s">
        <v>1416</v>
      </c>
      <c r="I12" s="777" t="s">
        <v>1386</v>
      </c>
      <c r="J12" s="780" t="s">
        <v>1417</v>
      </c>
      <c r="K12" s="783" t="s">
        <v>1386</v>
      </c>
    </row>
    <row r="13" spans="2:11" ht="16" x14ac:dyDescent="0.2">
      <c r="C13" s="569">
        <v>10</v>
      </c>
      <c r="D13" s="580" t="s">
        <v>1022</v>
      </c>
      <c r="E13" s="761" t="s">
        <v>1374</v>
      </c>
      <c r="F13" s="582" t="s">
        <v>1375</v>
      </c>
      <c r="G13" s="762" t="s">
        <v>1376</v>
      </c>
      <c r="H13" s="774" t="s">
        <v>1375</v>
      </c>
      <c r="I13" s="777" t="s">
        <v>1418</v>
      </c>
      <c r="J13" s="780" t="s">
        <v>1419</v>
      </c>
      <c r="K13" s="783" t="s">
        <v>1420</v>
      </c>
    </row>
    <row r="14" spans="2:11" ht="16" x14ac:dyDescent="0.2">
      <c r="C14" s="569">
        <v>11</v>
      </c>
      <c r="D14" s="670" t="s">
        <v>1384</v>
      </c>
      <c r="E14" s="761" t="s">
        <v>1390</v>
      </c>
      <c r="F14" s="582" t="s">
        <v>1390</v>
      </c>
      <c r="G14" s="762" t="s">
        <v>1391</v>
      </c>
      <c r="H14" s="774" t="s">
        <v>1421</v>
      </c>
      <c r="I14" s="777" t="s">
        <v>1421</v>
      </c>
      <c r="J14" s="780" t="s">
        <v>1422</v>
      </c>
      <c r="K14" s="783" t="s">
        <v>1423</v>
      </c>
    </row>
    <row r="15" spans="2:11" ht="16" x14ac:dyDescent="0.2">
      <c r="C15" s="569">
        <v>12</v>
      </c>
      <c r="D15" s="763" t="s">
        <v>1383</v>
      </c>
      <c r="E15" s="761" t="s">
        <v>1388</v>
      </c>
      <c r="F15" s="582" t="s">
        <v>1388</v>
      </c>
      <c r="G15" s="762" t="s">
        <v>1389</v>
      </c>
      <c r="H15" s="774" t="s">
        <v>1424</v>
      </c>
      <c r="I15" s="777" t="s">
        <v>1424</v>
      </c>
      <c r="J15" s="780" t="s">
        <v>1425</v>
      </c>
      <c r="K15" s="783" t="s">
        <v>1426</v>
      </c>
    </row>
    <row r="16" spans="2:11" ht="16" x14ac:dyDescent="0.2">
      <c r="C16" s="569">
        <v>13</v>
      </c>
      <c r="D16" s="763" t="s">
        <v>1024</v>
      </c>
      <c r="E16" s="761" t="s">
        <v>1378</v>
      </c>
      <c r="F16" s="582" t="s">
        <v>1378</v>
      </c>
      <c r="G16" s="762" t="s">
        <v>1378</v>
      </c>
      <c r="H16" s="774" t="s">
        <v>1427</v>
      </c>
      <c r="I16" s="777" t="s">
        <v>1378</v>
      </c>
      <c r="J16" s="780" t="s">
        <v>1428</v>
      </c>
      <c r="K16" s="783" t="s">
        <v>1429</v>
      </c>
    </row>
    <row r="17" spans="3:11" ht="16" x14ac:dyDescent="0.2">
      <c r="C17" s="569">
        <v>14</v>
      </c>
      <c r="D17" s="763" t="s">
        <v>1207</v>
      </c>
      <c r="E17" s="761" t="s">
        <v>1431</v>
      </c>
      <c r="F17" s="582" t="s">
        <v>1430</v>
      </c>
      <c r="G17" s="762" t="s">
        <v>1430</v>
      </c>
      <c r="H17" s="774" t="s">
        <v>1432</v>
      </c>
      <c r="I17" s="777" t="s">
        <v>1430</v>
      </c>
      <c r="J17" s="780" t="s">
        <v>1433</v>
      </c>
      <c r="K17" s="783" t="s">
        <v>1434</v>
      </c>
    </row>
    <row r="18" spans="3:11" ht="16" x14ac:dyDescent="0.2">
      <c r="C18" s="569">
        <v>15</v>
      </c>
      <c r="D18" s="763" t="s">
        <v>1020</v>
      </c>
      <c r="E18" s="761" t="s">
        <v>1368</v>
      </c>
      <c r="F18" s="582" t="s">
        <v>1368</v>
      </c>
      <c r="G18" s="762" t="s">
        <v>1368</v>
      </c>
      <c r="H18" s="774" t="s">
        <v>1368</v>
      </c>
      <c r="I18" s="777" t="s">
        <v>1368</v>
      </c>
      <c r="J18" s="780" t="s">
        <v>1368</v>
      </c>
      <c r="K18" s="783" t="s">
        <v>1435</v>
      </c>
    </row>
    <row r="19" spans="3:11" ht="16" x14ac:dyDescent="0.2">
      <c r="C19" s="569">
        <v>16</v>
      </c>
      <c r="D19" s="763" t="s">
        <v>1021</v>
      </c>
      <c r="E19" s="761" t="s">
        <v>1365</v>
      </c>
      <c r="F19" s="582" t="s">
        <v>1366</v>
      </c>
      <c r="G19" s="762" t="s">
        <v>1367</v>
      </c>
      <c r="H19" s="774" t="s">
        <v>1436</v>
      </c>
      <c r="I19" s="777" t="s">
        <v>1437</v>
      </c>
      <c r="J19" s="780" t="s">
        <v>1438</v>
      </c>
      <c r="K19" s="783" t="s">
        <v>1436</v>
      </c>
    </row>
    <row r="20" spans="3:11" ht="16" x14ac:dyDescent="0.2">
      <c r="C20" s="569">
        <v>17</v>
      </c>
      <c r="D20" s="580" t="s">
        <v>1023</v>
      </c>
      <c r="E20" s="581" t="s">
        <v>1377</v>
      </c>
      <c r="F20" s="582" t="s">
        <v>1377</v>
      </c>
      <c r="G20" s="583" t="s">
        <v>1377</v>
      </c>
      <c r="H20" s="773" t="s">
        <v>1377</v>
      </c>
      <c r="I20" s="777" t="s">
        <v>1439</v>
      </c>
      <c r="J20" s="780" t="s">
        <v>1441</v>
      </c>
      <c r="K20" s="783" t="s">
        <v>1440</v>
      </c>
    </row>
    <row r="21" spans="3:11" x14ac:dyDescent="0.2">
      <c r="C21" s="569">
        <v>18</v>
      </c>
      <c r="D21" s="580"/>
      <c r="E21" s="581"/>
      <c r="F21" s="582"/>
      <c r="G21" s="583"/>
      <c r="H21" s="773"/>
      <c r="I21" s="776"/>
      <c r="J21" s="779"/>
      <c r="K21" s="782"/>
    </row>
    <row r="22" spans="3:11" x14ac:dyDescent="0.2">
      <c r="C22" s="569">
        <v>19</v>
      </c>
      <c r="D22" s="580"/>
      <c r="E22" s="581"/>
      <c r="F22" s="582"/>
      <c r="G22" s="583"/>
      <c r="H22" s="773"/>
      <c r="I22" s="776"/>
      <c r="J22" s="779"/>
      <c r="K22" s="782"/>
    </row>
    <row r="23" spans="3:11" x14ac:dyDescent="0.2">
      <c r="C23" s="569">
        <v>20</v>
      </c>
      <c r="D23" s="580"/>
      <c r="E23" s="581"/>
      <c r="F23" s="582"/>
      <c r="G23" s="583"/>
      <c r="H23" s="773"/>
      <c r="I23" s="776"/>
      <c r="J23" s="779"/>
      <c r="K23" s="782"/>
    </row>
    <row r="24" spans="3:11" x14ac:dyDescent="0.2">
      <c r="C24" s="569">
        <v>21</v>
      </c>
      <c r="D24" s="580"/>
      <c r="E24" s="581"/>
      <c r="F24" s="582"/>
      <c r="G24" s="583"/>
      <c r="H24" s="773"/>
      <c r="I24" s="776"/>
      <c r="J24" s="779"/>
      <c r="K24" s="782"/>
    </row>
    <row r="25" spans="3:11" x14ac:dyDescent="0.2">
      <c r="C25" s="569">
        <v>22</v>
      </c>
      <c r="D25" s="580"/>
      <c r="E25" s="581"/>
      <c r="F25" s="582"/>
      <c r="G25" s="583"/>
      <c r="H25" s="773"/>
      <c r="I25" s="776"/>
      <c r="J25" s="779"/>
      <c r="K25" s="782"/>
    </row>
    <row r="26" spans="3:11" x14ac:dyDescent="0.2">
      <c r="C26" s="569">
        <v>23</v>
      </c>
      <c r="D26" s="580"/>
      <c r="E26" s="581"/>
      <c r="F26" s="582"/>
      <c r="G26" s="583"/>
      <c r="H26" s="773"/>
      <c r="I26" s="776"/>
      <c r="J26" s="779"/>
      <c r="K26" s="782"/>
    </row>
    <row r="27" spans="3:11" x14ac:dyDescent="0.2">
      <c r="C27" s="569">
        <v>24</v>
      </c>
      <c r="D27" s="580"/>
      <c r="E27" s="581"/>
      <c r="F27" s="582"/>
      <c r="G27" s="583"/>
      <c r="H27" s="773"/>
      <c r="I27" s="776"/>
      <c r="J27" s="779"/>
      <c r="K27" s="782"/>
    </row>
    <row r="28" spans="3:11" x14ac:dyDescent="0.2">
      <c r="C28" s="569">
        <v>25</v>
      </c>
      <c r="D28" s="580"/>
      <c r="E28" s="581"/>
      <c r="F28" s="582"/>
      <c r="G28" s="583"/>
      <c r="H28" s="773"/>
      <c r="I28" s="776"/>
      <c r="J28" s="779"/>
      <c r="K28" s="782"/>
    </row>
    <row r="29" spans="3:11" x14ac:dyDescent="0.2">
      <c r="C29" s="569">
        <v>26</v>
      </c>
      <c r="D29" s="580"/>
      <c r="E29" s="581"/>
      <c r="F29" s="582"/>
      <c r="G29" s="583"/>
      <c r="H29" s="773"/>
      <c r="I29" s="776"/>
      <c r="J29" s="779"/>
      <c r="K29" s="782"/>
    </row>
    <row r="30" spans="3:11" x14ac:dyDescent="0.2">
      <c r="C30" s="569">
        <v>27</v>
      </c>
      <c r="D30" s="580"/>
      <c r="E30" s="581"/>
      <c r="F30" s="582"/>
      <c r="G30" s="583"/>
      <c r="H30" s="773"/>
      <c r="I30" s="776"/>
      <c r="J30" s="779"/>
      <c r="K30" s="782"/>
    </row>
    <row r="31" spans="3:11" x14ac:dyDescent="0.2">
      <c r="C31" s="569">
        <v>28</v>
      </c>
      <c r="D31" s="580"/>
      <c r="E31" s="581"/>
      <c r="F31" s="582"/>
      <c r="G31" s="583"/>
      <c r="H31" s="773"/>
      <c r="I31" s="776"/>
      <c r="J31" s="779"/>
      <c r="K31" s="782"/>
    </row>
    <row r="32" spans="3:11" x14ac:dyDescent="0.2">
      <c r="C32" s="569">
        <v>29</v>
      </c>
      <c r="D32" s="580"/>
      <c r="E32" s="581"/>
      <c r="F32" s="582"/>
      <c r="G32" s="583"/>
      <c r="H32" s="773"/>
      <c r="I32" s="776"/>
      <c r="J32" s="779"/>
      <c r="K32" s="782"/>
    </row>
    <row r="33" spans="3:11" x14ac:dyDescent="0.2">
      <c r="C33" s="569">
        <v>30</v>
      </c>
      <c r="D33" s="580"/>
      <c r="E33" s="581"/>
      <c r="F33" s="582"/>
      <c r="G33" s="583"/>
      <c r="H33" s="773"/>
      <c r="I33" s="776"/>
      <c r="J33" s="779"/>
      <c r="K33" s="782"/>
    </row>
    <row r="34" spans="3:11" x14ac:dyDescent="0.2">
      <c r="C34" s="569">
        <v>31</v>
      </c>
      <c r="D34" s="580"/>
      <c r="E34" s="581"/>
      <c r="F34" s="582"/>
      <c r="G34" s="583"/>
      <c r="H34" s="773"/>
      <c r="I34" s="776"/>
      <c r="J34" s="779"/>
      <c r="K34" s="782"/>
    </row>
    <row r="35" spans="3:11" x14ac:dyDescent="0.2">
      <c r="C35" s="569">
        <v>32</v>
      </c>
      <c r="D35" s="580"/>
      <c r="E35" s="581"/>
      <c r="F35" s="582"/>
      <c r="G35" s="583"/>
      <c r="H35" s="773"/>
      <c r="I35" s="776"/>
      <c r="J35" s="779"/>
      <c r="K35" s="782"/>
    </row>
    <row r="36" spans="3:11" x14ac:dyDescent="0.2">
      <c r="C36" s="569">
        <v>33</v>
      </c>
      <c r="D36" s="580"/>
      <c r="E36" s="581"/>
      <c r="F36" s="582"/>
      <c r="G36" s="583"/>
      <c r="H36" s="773"/>
      <c r="I36" s="776"/>
      <c r="J36" s="779"/>
      <c r="K36" s="782"/>
    </row>
    <row r="37" spans="3:11" x14ac:dyDescent="0.2">
      <c r="C37" s="569">
        <v>34</v>
      </c>
      <c r="D37" s="580"/>
      <c r="E37" s="581"/>
      <c r="F37" s="582"/>
      <c r="G37" s="583"/>
      <c r="H37" s="773"/>
      <c r="I37" s="776"/>
      <c r="J37" s="779"/>
      <c r="K37" s="782"/>
    </row>
    <row r="38" spans="3:11" x14ac:dyDescent="0.2">
      <c r="C38" s="569">
        <v>35</v>
      </c>
      <c r="D38" s="580"/>
      <c r="E38" s="581"/>
      <c r="F38" s="582"/>
      <c r="G38" s="583"/>
      <c r="H38" s="773"/>
      <c r="I38" s="776"/>
      <c r="J38" s="779"/>
      <c r="K38" s="782"/>
    </row>
    <row r="39" spans="3:11" x14ac:dyDescent="0.2">
      <c r="C39" s="569">
        <v>36</v>
      </c>
      <c r="D39" s="580"/>
      <c r="E39" s="581"/>
      <c r="F39" s="582"/>
      <c r="G39" s="583"/>
      <c r="H39" s="773"/>
      <c r="I39" s="776"/>
      <c r="J39" s="779"/>
      <c r="K39" s="782"/>
    </row>
    <row r="40" spans="3:11" x14ac:dyDescent="0.2">
      <c r="C40" s="569">
        <v>37</v>
      </c>
      <c r="D40" s="580"/>
      <c r="E40" s="581"/>
      <c r="F40" s="582"/>
      <c r="G40" s="583"/>
      <c r="H40" s="773"/>
      <c r="I40" s="776"/>
      <c r="J40" s="779"/>
      <c r="K40" s="782"/>
    </row>
    <row r="41" spans="3:11" x14ac:dyDescent="0.2">
      <c r="C41" s="569">
        <v>38</v>
      </c>
      <c r="D41" s="580"/>
      <c r="E41" s="581"/>
      <c r="F41" s="582"/>
      <c r="G41" s="583"/>
      <c r="H41" s="773"/>
      <c r="I41" s="776"/>
      <c r="J41" s="779"/>
      <c r="K41" s="782"/>
    </row>
    <row r="42" spans="3:11" x14ac:dyDescent="0.2">
      <c r="C42" s="569">
        <v>39</v>
      </c>
      <c r="D42" s="580"/>
      <c r="E42" s="581"/>
      <c r="F42" s="582"/>
      <c r="G42" s="583"/>
      <c r="H42" s="773"/>
      <c r="I42" s="776"/>
      <c r="J42" s="779"/>
      <c r="K42" s="782"/>
    </row>
    <row r="43" spans="3:11" x14ac:dyDescent="0.2">
      <c r="C43" s="569">
        <v>40</v>
      </c>
      <c r="D43" s="580"/>
      <c r="E43" s="581"/>
      <c r="F43" s="582"/>
      <c r="G43" s="583"/>
      <c r="H43" s="773"/>
      <c r="I43" s="776"/>
      <c r="J43" s="779"/>
      <c r="K43" s="782"/>
    </row>
    <row r="44" spans="3:11" x14ac:dyDescent="0.2">
      <c r="C44" s="569">
        <v>41</v>
      </c>
      <c r="D44" s="580"/>
      <c r="E44" s="581"/>
      <c r="F44" s="582"/>
      <c r="G44" s="583"/>
      <c r="H44" s="773"/>
      <c r="I44" s="776"/>
      <c r="J44" s="779"/>
      <c r="K44" s="782"/>
    </row>
    <row r="45" spans="3:11" x14ac:dyDescent="0.2">
      <c r="C45" s="569">
        <v>42</v>
      </c>
      <c r="D45" s="580"/>
      <c r="E45" s="581"/>
      <c r="F45" s="582"/>
      <c r="G45" s="583"/>
      <c r="H45" s="773"/>
      <c r="I45" s="776"/>
      <c r="J45" s="779"/>
      <c r="K45" s="782"/>
    </row>
    <row r="46" spans="3:11" x14ac:dyDescent="0.2">
      <c r="C46" s="569">
        <v>43</v>
      </c>
      <c r="D46" s="580"/>
      <c r="E46" s="581"/>
      <c r="F46" s="582"/>
      <c r="G46" s="583"/>
      <c r="H46" s="773"/>
      <c r="I46" s="776"/>
      <c r="J46" s="779"/>
      <c r="K46" s="782"/>
    </row>
    <row r="47" spans="3:11" x14ac:dyDescent="0.2">
      <c r="C47" s="569">
        <v>44</v>
      </c>
      <c r="D47" s="580"/>
      <c r="E47" s="581"/>
      <c r="F47" s="582"/>
      <c r="G47" s="583"/>
      <c r="H47" s="773"/>
      <c r="I47" s="776"/>
      <c r="J47" s="779"/>
      <c r="K47" s="782"/>
    </row>
    <row r="48" spans="3:11" x14ac:dyDescent="0.2">
      <c r="C48" s="569">
        <v>45</v>
      </c>
      <c r="D48" s="580"/>
      <c r="E48" s="581"/>
      <c r="F48" s="582"/>
      <c r="G48" s="583"/>
      <c r="H48" s="773"/>
      <c r="I48" s="776"/>
      <c r="J48" s="779"/>
      <c r="K48" s="782"/>
    </row>
    <row r="49" spans="3:11" x14ac:dyDescent="0.2">
      <c r="C49" s="569">
        <v>46</v>
      </c>
      <c r="D49" s="580"/>
      <c r="E49" s="581"/>
      <c r="F49" s="582"/>
      <c r="G49" s="583"/>
      <c r="H49" s="773"/>
      <c r="I49" s="776"/>
      <c r="J49" s="779"/>
      <c r="K49" s="782"/>
    </row>
    <row r="50" spans="3:11" x14ac:dyDescent="0.2">
      <c r="C50" s="569">
        <v>47</v>
      </c>
      <c r="D50" s="580"/>
      <c r="E50" s="581"/>
      <c r="F50" s="582"/>
      <c r="G50" s="583"/>
      <c r="H50" s="773"/>
      <c r="I50" s="776"/>
      <c r="J50" s="779"/>
      <c r="K50" s="782"/>
    </row>
    <row r="51" spans="3:11" x14ac:dyDescent="0.2">
      <c r="C51" s="569">
        <v>48</v>
      </c>
      <c r="D51" s="580"/>
      <c r="E51" s="581"/>
      <c r="F51" s="582"/>
      <c r="G51" s="583"/>
      <c r="H51" s="773"/>
      <c r="I51" s="776"/>
      <c r="J51" s="779"/>
      <c r="K51" s="782"/>
    </row>
    <row r="52" spans="3:11" x14ac:dyDescent="0.2">
      <c r="C52" s="569">
        <v>49</v>
      </c>
      <c r="D52" s="580"/>
      <c r="E52" s="581"/>
      <c r="F52" s="582"/>
      <c r="G52" s="583"/>
      <c r="H52" s="773"/>
      <c r="I52" s="776"/>
      <c r="J52" s="779"/>
      <c r="K52" s="782"/>
    </row>
    <row r="53" spans="3:11" x14ac:dyDescent="0.2">
      <c r="C53" s="569">
        <v>50</v>
      </c>
      <c r="D53" s="580"/>
      <c r="E53" s="581"/>
      <c r="F53" s="582"/>
      <c r="G53" s="583"/>
      <c r="H53" s="773"/>
      <c r="I53" s="776"/>
      <c r="J53" s="779"/>
      <c r="K53" s="782"/>
    </row>
    <row r="54" spans="3:11" x14ac:dyDescent="0.2">
      <c r="C54" s="569">
        <v>51</v>
      </c>
      <c r="D54" s="580"/>
      <c r="E54" s="581"/>
      <c r="F54" s="582"/>
      <c r="G54" s="583"/>
      <c r="H54" s="773"/>
      <c r="I54" s="776"/>
      <c r="J54" s="779"/>
      <c r="K54" s="782"/>
    </row>
    <row r="55" spans="3:11" x14ac:dyDescent="0.2">
      <c r="C55" s="569">
        <v>52</v>
      </c>
      <c r="D55" s="580"/>
      <c r="E55" s="581"/>
      <c r="F55" s="582"/>
      <c r="G55" s="583"/>
      <c r="H55" s="773"/>
      <c r="I55" s="776"/>
      <c r="J55" s="779"/>
      <c r="K55" s="782"/>
    </row>
    <row r="56" spans="3:11" x14ac:dyDescent="0.2">
      <c r="C56" s="569">
        <v>53</v>
      </c>
      <c r="D56" s="580"/>
      <c r="E56" s="581"/>
      <c r="F56" s="582"/>
      <c r="G56" s="583"/>
      <c r="H56" s="773"/>
      <c r="I56" s="776"/>
      <c r="J56" s="779"/>
      <c r="K56" s="782"/>
    </row>
    <row r="57" spans="3:11" x14ac:dyDescent="0.2">
      <c r="C57" s="569">
        <v>54</v>
      </c>
      <c r="D57" s="580"/>
      <c r="E57" s="581"/>
      <c r="F57" s="582"/>
      <c r="G57" s="583"/>
      <c r="H57" s="773"/>
      <c r="I57" s="776"/>
      <c r="J57" s="779"/>
      <c r="K57" s="782"/>
    </row>
    <row r="58" spans="3:11" x14ac:dyDescent="0.2">
      <c r="C58" s="569">
        <v>55</v>
      </c>
      <c r="D58" s="580"/>
      <c r="E58" s="581"/>
      <c r="F58" s="582"/>
      <c r="G58" s="583"/>
      <c r="H58" s="773"/>
      <c r="I58" s="776"/>
      <c r="J58" s="779"/>
      <c r="K58" s="782"/>
    </row>
    <row r="59" spans="3:11" x14ac:dyDescent="0.2">
      <c r="C59" s="569">
        <v>56</v>
      </c>
      <c r="D59" s="580"/>
      <c r="E59" s="581"/>
      <c r="F59" s="582"/>
      <c r="G59" s="583"/>
      <c r="H59" s="773"/>
      <c r="I59" s="776"/>
      <c r="J59" s="779"/>
      <c r="K59" s="782"/>
    </row>
    <row r="60" spans="3:11" x14ac:dyDescent="0.2">
      <c r="C60" s="569">
        <v>57</v>
      </c>
      <c r="D60" s="580"/>
      <c r="E60" s="581"/>
      <c r="F60" s="582"/>
      <c r="G60" s="583"/>
      <c r="H60" s="773"/>
      <c r="I60" s="776"/>
      <c r="J60" s="779"/>
      <c r="K60" s="782"/>
    </row>
    <row r="61" spans="3:11" x14ac:dyDescent="0.2">
      <c r="C61" s="569">
        <v>58</v>
      </c>
      <c r="D61" s="580"/>
      <c r="E61" s="581"/>
      <c r="F61" s="582"/>
      <c r="G61" s="583"/>
      <c r="H61" s="773"/>
      <c r="I61" s="776"/>
      <c r="J61" s="779"/>
      <c r="K61" s="782"/>
    </row>
    <row r="62" spans="3:11" x14ac:dyDescent="0.2">
      <c r="C62" s="569">
        <v>59</v>
      </c>
      <c r="D62" s="580"/>
      <c r="E62" s="581"/>
      <c r="F62" s="582"/>
      <c r="G62" s="583"/>
      <c r="H62" s="773"/>
      <c r="I62" s="776"/>
      <c r="J62" s="779"/>
      <c r="K62" s="782"/>
    </row>
    <row r="63" spans="3:11" x14ac:dyDescent="0.2">
      <c r="C63" s="569">
        <v>60</v>
      </c>
      <c r="D63" s="580"/>
      <c r="E63" s="581"/>
      <c r="F63" s="582"/>
      <c r="G63" s="583"/>
      <c r="H63" s="773"/>
      <c r="I63" s="776"/>
      <c r="J63" s="779"/>
      <c r="K63" s="782"/>
    </row>
    <row r="64" spans="3:11" x14ac:dyDescent="0.2">
      <c r="C64" s="569">
        <v>61</v>
      </c>
      <c r="D64" s="580"/>
      <c r="E64" s="581"/>
      <c r="F64" s="582"/>
      <c r="G64" s="583"/>
      <c r="H64" s="773"/>
      <c r="I64" s="776"/>
      <c r="J64" s="779"/>
      <c r="K64" s="782"/>
    </row>
    <row r="65" spans="3:11" x14ac:dyDescent="0.2">
      <c r="C65" s="569">
        <v>62</v>
      </c>
      <c r="D65" s="580"/>
      <c r="E65" s="581"/>
      <c r="F65" s="582"/>
      <c r="G65" s="583"/>
      <c r="H65" s="773"/>
      <c r="I65" s="776"/>
      <c r="J65" s="779"/>
      <c r="K65" s="782"/>
    </row>
    <row r="66" spans="3:11" x14ac:dyDescent="0.2">
      <c r="C66" s="569">
        <v>63</v>
      </c>
      <c r="D66" s="580"/>
      <c r="E66" s="581"/>
      <c r="F66" s="582"/>
      <c r="G66" s="583"/>
      <c r="H66" s="773"/>
      <c r="I66" s="776"/>
      <c r="J66" s="779"/>
      <c r="K66" s="782"/>
    </row>
    <row r="67" spans="3:11" x14ac:dyDescent="0.2">
      <c r="C67" s="569">
        <v>64</v>
      </c>
      <c r="D67" s="580"/>
      <c r="E67" s="581"/>
      <c r="F67" s="582"/>
      <c r="G67" s="583"/>
      <c r="H67" s="773"/>
      <c r="I67" s="776"/>
      <c r="J67" s="779"/>
      <c r="K67" s="782"/>
    </row>
    <row r="68" spans="3:11" x14ac:dyDescent="0.2">
      <c r="C68" s="569">
        <v>65</v>
      </c>
      <c r="D68" s="580"/>
      <c r="E68" s="581"/>
      <c r="F68" s="582"/>
      <c r="G68" s="583"/>
      <c r="H68" s="773"/>
      <c r="I68" s="776"/>
      <c r="J68" s="779"/>
      <c r="K68" s="782"/>
    </row>
    <row r="69" spans="3:11" x14ac:dyDescent="0.2">
      <c r="C69" s="569">
        <v>66</v>
      </c>
      <c r="D69" s="580"/>
      <c r="E69" s="581"/>
      <c r="F69" s="582"/>
      <c r="G69" s="583"/>
      <c r="H69" s="773"/>
      <c r="I69" s="776"/>
      <c r="J69" s="779"/>
      <c r="K69" s="782"/>
    </row>
    <row r="70" spans="3:11" x14ac:dyDescent="0.2">
      <c r="C70" s="569">
        <v>67</v>
      </c>
      <c r="D70" s="580"/>
      <c r="E70" s="581"/>
      <c r="F70" s="582"/>
      <c r="G70" s="583"/>
      <c r="H70" s="773"/>
      <c r="I70" s="776"/>
      <c r="J70" s="779"/>
      <c r="K70" s="782"/>
    </row>
    <row r="71" spans="3:11" x14ac:dyDescent="0.2">
      <c r="C71" s="569">
        <v>68</v>
      </c>
      <c r="D71" s="580"/>
      <c r="E71" s="581"/>
      <c r="F71" s="582"/>
      <c r="G71" s="583"/>
      <c r="H71" s="773"/>
      <c r="I71" s="776"/>
      <c r="J71" s="779"/>
      <c r="K71" s="782"/>
    </row>
    <row r="72" spans="3:11" x14ac:dyDescent="0.2">
      <c r="C72" s="569">
        <v>69</v>
      </c>
      <c r="D72" s="580"/>
      <c r="E72" s="581"/>
      <c r="F72" s="582"/>
      <c r="G72" s="583"/>
      <c r="H72" s="773"/>
      <c r="I72" s="776"/>
      <c r="J72" s="779"/>
      <c r="K72" s="782"/>
    </row>
    <row r="73" spans="3:11" x14ac:dyDescent="0.2">
      <c r="C73" s="569">
        <v>70</v>
      </c>
      <c r="D73" s="580"/>
      <c r="E73" s="581"/>
      <c r="F73" s="582"/>
      <c r="G73" s="583"/>
      <c r="H73" s="773"/>
      <c r="I73" s="776"/>
      <c r="J73" s="779"/>
      <c r="K73" s="782"/>
    </row>
    <row r="74" spans="3:11" x14ac:dyDescent="0.2">
      <c r="C74" s="569">
        <v>71</v>
      </c>
      <c r="D74" s="580"/>
      <c r="E74" s="581"/>
      <c r="F74" s="582"/>
      <c r="G74" s="583"/>
      <c r="H74" s="773"/>
      <c r="I74" s="776"/>
      <c r="J74" s="779"/>
      <c r="K74" s="782"/>
    </row>
    <row r="75" spans="3:11" x14ac:dyDescent="0.2">
      <c r="C75" s="569">
        <v>72</v>
      </c>
      <c r="D75" s="580"/>
      <c r="E75" s="581"/>
      <c r="F75" s="582"/>
      <c r="G75" s="583"/>
      <c r="H75" s="773"/>
      <c r="I75" s="776"/>
      <c r="J75" s="779"/>
      <c r="K75" s="782"/>
    </row>
    <row r="76" spans="3:11" x14ac:dyDescent="0.2">
      <c r="C76" s="569">
        <v>73</v>
      </c>
      <c r="D76" s="580"/>
      <c r="E76" s="581"/>
      <c r="F76" s="582"/>
      <c r="G76" s="583"/>
      <c r="H76" s="773"/>
      <c r="I76" s="776"/>
      <c r="J76" s="779"/>
      <c r="K76" s="782"/>
    </row>
    <row r="77" spans="3:11" x14ac:dyDescent="0.2">
      <c r="C77" s="569">
        <v>74</v>
      </c>
      <c r="D77" s="580"/>
      <c r="E77" s="581"/>
      <c r="F77" s="582"/>
      <c r="G77" s="583"/>
      <c r="H77" s="773"/>
      <c r="I77" s="776"/>
      <c r="J77" s="779"/>
      <c r="K77" s="782"/>
    </row>
    <row r="78" spans="3:11" x14ac:dyDescent="0.2">
      <c r="C78" s="569">
        <v>75</v>
      </c>
      <c r="D78" s="580"/>
      <c r="E78" s="581"/>
      <c r="F78" s="582"/>
      <c r="G78" s="583"/>
      <c r="H78" s="773"/>
      <c r="I78" s="776"/>
      <c r="J78" s="779"/>
      <c r="K78" s="782"/>
    </row>
    <row r="79" spans="3:11" x14ac:dyDescent="0.2">
      <c r="C79" s="569">
        <v>76</v>
      </c>
      <c r="D79" s="580"/>
      <c r="E79" s="581"/>
      <c r="F79" s="582"/>
      <c r="G79" s="583"/>
      <c r="H79" s="773"/>
      <c r="I79" s="776"/>
      <c r="J79" s="779"/>
      <c r="K79" s="782"/>
    </row>
    <row r="80" spans="3:11" x14ac:dyDescent="0.2">
      <c r="C80" s="569">
        <v>77</v>
      </c>
      <c r="D80" s="580"/>
      <c r="E80" s="581"/>
      <c r="F80" s="582"/>
      <c r="G80" s="583"/>
      <c r="H80" s="773"/>
      <c r="I80" s="776"/>
      <c r="J80" s="779"/>
      <c r="K80" s="782"/>
    </row>
    <row r="81" spans="3:11" x14ac:dyDescent="0.2">
      <c r="C81" s="569">
        <v>78</v>
      </c>
      <c r="D81" s="580"/>
      <c r="E81" s="581"/>
      <c r="F81" s="582"/>
      <c r="G81" s="583"/>
      <c r="H81" s="773"/>
      <c r="I81" s="776"/>
      <c r="J81" s="779"/>
      <c r="K81" s="782"/>
    </row>
    <row r="82" spans="3:11" x14ac:dyDescent="0.2">
      <c r="C82" s="569">
        <v>79</v>
      </c>
      <c r="D82" s="580"/>
      <c r="E82" s="581"/>
      <c r="F82" s="582"/>
      <c r="G82" s="583"/>
      <c r="H82" s="773"/>
      <c r="I82" s="776"/>
      <c r="J82" s="779"/>
      <c r="K82" s="782"/>
    </row>
    <row r="83" spans="3:11" x14ac:dyDescent="0.2">
      <c r="C83" s="569">
        <v>80</v>
      </c>
      <c r="D83" s="580"/>
      <c r="E83" s="581"/>
      <c r="F83" s="582"/>
      <c r="G83" s="583"/>
      <c r="H83" s="773"/>
      <c r="I83" s="776"/>
      <c r="J83" s="779"/>
      <c r="K83" s="782"/>
    </row>
    <row r="84" spans="3:11" x14ac:dyDescent="0.2">
      <c r="C84" s="569">
        <v>81</v>
      </c>
      <c r="D84" s="580"/>
      <c r="E84" s="581"/>
      <c r="F84" s="582"/>
      <c r="G84" s="583"/>
      <c r="H84" s="773"/>
      <c r="I84" s="776"/>
      <c r="J84" s="779"/>
      <c r="K84" s="782"/>
    </row>
    <row r="85" spans="3:11" x14ac:dyDescent="0.2">
      <c r="C85" s="569">
        <v>82</v>
      </c>
      <c r="D85" s="580"/>
      <c r="E85" s="581"/>
      <c r="F85" s="582"/>
      <c r="G85" s="583"/>
      <c r="H85" s="773"/>
      <c r="I85" s="776"/>
      <c r="J85" s="779"/>
      <c r="K85" s="782"/>
    </row>
    <row r="86" spans="3:11" x14ac:dyDescent="0.2">
      <c r="C86" s="569">
        <v>83</v>
      </c>
      <c r="D86" s="580"/>
      <c r="E86" s="581"/>
      <c r="F86" s="582"/>
      <c r="G86" s="583"/>
      <c r="H86" s="773"/>
      <c r="I86" s="776"/>
      <c r="J86" s="779"/>
      <c r="K86" s="782"/>
    </row>
    <row r="87" spans="3:11" x14ac:dyDescent="0.2">
      <c r="C87" s="569">
        <v>84</v>
      </c>
      <c r="D87" s="580"/>
      <c r="E87" s="581"/>
      <c r="F87" s="582"/>
      <c r="G87" s="583"/>
      <c r="H87" s="773"/>
      <c r="I87" s="776"/>
      <c r="J87" s="779"/>
      <c r="K87" s="782"/>
    </row>
    <row r="88" spans="3:11" x14ac:dyDescent="0.2">
      <c r="C88" s="569">
        <v>85</v>
      </c>
      <c r="D88" s="580"/>
      <c r="E88" s="581"/>
      <c r="F88" s="582"/>
      <c r="G88" s="583"/>
      <c r="H88" s="773"/>
      <c r="I88" s="776"/>
      <c r="J88" s="779"/>
      <c r="K88" s="782"/>
    </row>
    <row r="89" spans="3:11" x14ac:dyDescent="0.2">
      <c r="C89" s="569">
        <v>86</v>
      </c>
      <c r="D89" s="580"/>
      <c r="E89" s="581"/>
      <c r="F89" s="582"/>
      <c r="G89" s="583"/>
      <c r="H89" s="773"/>
      <c r="I89" s="776"/>
      <c r="J89" s="779"/>
      <c r="K89" s="782"/>
    </row>
    <row r="90" spans="3:11" x14ac:dyDescent="0.2">
      <c r="C90" s="569">
        <v>87</v>
      </c>
      <c r="D90" s="580"/>
      <c r="E90" s="581"/>
      <c r="F90" s="582"/>
      <c r="G90" s="583"/>
      <c r="H90" s="773"/>
      <c r="I90" s="776"/>
      <c r="J90" s="779"/>
      <c r="K90" s="782"/>
    </row>
    <row r="91" spans="3:11" x14ac:dyDescent="0.2">
      <c r="C91" s="569">
        <v>88</v>
      </c>
      <c r="D91" s="580"/>
      <c r="E91" s="581"/>
      <c r="F91" s="582"/>
      <c r="G91" s="583"/>
      <c r="H91" s="773"/>
      <c r="I91" s="776"/>
      <c r="J91" s="779"/>
      <c r="K91" s="782"/>
    </row>
    <row r="92" spans="3:11" x14ac:dyDescent="0.2">
      <c r="C92" s="569">
        <v>89</v>
      </c>
      <c r="D92" s="580"/>
      <c r="E92" s="581"/>
      <c r="F92" s="582"/>
      <c r="G92" s="583"/>
      <c r="H92" s="773"/>
      <c r="I92" s="776"/>
      <c r="J92" s="779"/>
      <c r="K92" s="782"/>
    </row>
    <row r="93" spans="3:11" x14ac:dyDescent="0.2">
      <c r="C93" s="569">
        <v>90</v>
      </c>
      <c r="D93" s="580"/>
      <c r="E93" s="581"/>
      <c r="F93" s="582"/>
      <c r="G93" s="583"/>
      <c r="H93" s="773"/>
      <c r="I93" s="776"/>
      <c r="J93" s="779"/>
      <c r="K93" s="782"/>
    </row>
    <row r="94" spans="3:11" x14ac:dyDescent="0.2">
      <c r="C94" s="569">
        <v>91</v>
      </c>
      <c r="D94" s="580"/>
      <c r="E94" s="581"/>
      <c r="F94" s="582"/>
      <c r="G94" s="583"/>
      <c r="H94" s="773"/>
      <c r="I94" s="776"/>
      <c r="J94" s="779"/>
      <c r="K94" s="782"/>
    </row>
    <row r="95" spans="3:11" x14ac:dyDescent="0.2">
      <c r="C95" s="569">
        <v>92</v>
      </c>
      <c r="D95" s="580"/>
      <c r="E95" s="581"/>
      <c r="F95" s="582"/>
      <c r="G95" s="583"/>
      <c r="H95" s="773"/>
      <c r="I95" s="776"/>
      <c r="J95" s="779"/>
      <c r="K95" s="782"/>
    </row>
    <row r="96" spans="3:11" x14ac:dyDescent="0.2">
      <c r="C96" s="569">
        <v>93</v>
      </c>
      <c r="D96" s="580"/>
      <c r="E96" s="581"/>
      <c r="F96" s="582"/>
      <c r="G96" s="583"/>
      <c r="H96" s="773"/>
      <c r="I96" s="776"/>
      <c r="J96" s="779"/>
      <c r="K96" s="782"/>
    </row>
    <row r="97" spans="3:11" x14ac:dyDescent="0.2">
      <c r="C97" s="569">
        <v>94</v>
      </c>
      <c r="D97" s="580"/>
      <c r="E97" s="581"/>
      <c r="F97" s="582"/>
      <c r="G97" s="583"/>
      <c r="H97" s="773"/>
      <c r="I97" s="776"/>
      <c r="J97" s="779"/>
      <c r="K97" s="782"/>
    </row>
    <row r="98" spans="3:11" x14ac:dyDescent="0.2">
      <c r="C98" s="569">
        <v>95</v>
      </c>
      <c r="D98" s="580"/>
      <c r="E98" s="581"/>
      <c r="F98" s="582"/>
      <c r="G98" s="583"/>
      <c r="H98" s="773"/>
      <c r="I98" s="776"/>
      <c r="J98" s="779"/>
      <c r="K98" s="782"/>
    </row>
    <row r="99" spans="3:11" x14ac:dyDescent="0.2">
      <c r="C99" s="569">
        <v>96</v>
      </c>
      <c r="D99" s="580"/>
      <c r="E99" s="581"/>
      <c r="F99" s="582"/>
      <c r="G99" s="583"/>
      <c r="H99" s="773"/>
      <c r="I99" s="776"/>
      <c r="J99" s="779"/>
      <c r="K99" s="782"/>
    </row>
    <row r="100" spans="3:11" x14ac:dyDescent="0.2">
      <c r="C100" s="569">
        <v>97</v>
      </c>
      <c r="D100" s="580"/>
      <c r="E100" s="581"/>
      <c r="F100" s="582"/>
      <c r="G100" s="583"/>
      <c r="H100" s="773"/>
      <c r="I100" s="776"/>
      <c r="J100" s="779"/>
      <c r="K100" s="782"/>
    </row>
    <row r="101" spans="3:11" x14ac:dyDescent="0.2">
      <c r="C101" s="569">
        <v>98</v>
      </c>
      <c r="D101" s="580"/>
      <c r="E101" s="581"/>
      <c r="F101" s="582"/>
      <c r="G101" s="583"/>
      <c r="H101" s="773"/>
      <c r="I101" s="776"/>
      <c r="J101" s="779"/>
      <c r="K101" s="782"/>
    </row>
    <row r="102" spans="3:11" x14ac:dyDescent="0.2">
      <c r="C102" s="569">
        <v>99</v>
      </c>
      <c r="D102" s="580"/>
      <c r="E102" s="581"/>
      <c r="F102" s="582"/>
      <c r="G102" s="583"/>
      <c r="H102" s="773"/>
      <c r="I102" s="776"/>
      <c r="J102" s="779"/>
      <c r="K102" s="782"/>
    </row>
    <row r="103" spans="3:11" x14ac:dyDescent="0.2">
      <c r="C103" s="569">
        <v>100</v>
      </c>
      <c r="D103" s="580"/>
      <c r="E103" s="581"/>
      <c r="F103" s="582"/>
      <c r="G103" s="583"/>
      <c r="H103" s="773"/>
      <c r="I103" s="776"/>
      <c r="J103" s="779"/>
      <c r="K103" s="782"/>
    </row>
    <row r="104" spans="3:11" x14ac:dyDescent="0.2">
      <c r="C104" s="569">
        <v>101</v>
      </c>
      <c r="D104" s="580"/>
      <c r="E104" s="581"/>
      <c r="F104" s="582"/>
      <c r="G104" s="583"/>
      <c r="H104" s="773"/>
      <c r="I104" s="776"/>
      <c r="J104" s="779"/>
      <c r="K104" s="782"/>
    </row>
    <row r="105" spans="3:11" x14ac:dyDescent="0.2">
      <c r="C105" s="569">
        <v>102</v>
      </c>
      <c r="D105" s="580"/>
      <c r="E105" s="581"/>
      <c r="F105" s="582"/>
      <c r="G105" s="583"/>
      <c r="H105" s="773"/>
      <c r="I105" s="776"/>
      <c r="J105" s="779"/>
      <c r="K105" s="782"/>
    </row>
    <row r="106" spans="3:11" x14ac:dyDescent="0.2">
      <c r="C106" s="569">
        <v>103</v>
      </c>
      <c r="D106" s="580"/>
      <c r="E106" s="581"/>
      <c r="F106" s="582"/>
      <c r="G106" s="583"/>
      <c r="H106" s="773"/>
      <c r="I106" s="776"/>
      <c r="J106" s="779"/>
      <c r="K106" s="782"/>
    </row>
    <row r="107" spans="3:11" x14ac:dyDescent="0.2">
      <c r="C107" s="569">
        <v>104</v>
      </c>
      <c r="D107" s="580"/>
      <c r="E107" s="581"/>
      <c r="F107" s="582"/>
      <c r="G107" s="583"/>
      <c r="H107" s="773"/>
      <c r="I107" s="776"/>
      <c r="J107" s="779"/>
      <c r="K107" s="782"/>
    </row>
    <row r="108" spans="3:11" x14ac:dyDescent="0.2">
      <c r="C108" s="569">
        <v>105</v>
      </c>
      <c r="D108" s="580"/>
      <c r="E108" s="581"/>
      <c r="F108" s="582"/>
      <c r="G108" s="583"/>
      <c r="H108" s="773"/>
      <c r="I108" s="776"/>
      <c r="J108" s="779"/>
      <c r="K108" s="782"/>
    </row>
    <row r="109" spans="3:11" x14ac:dyDescent="0.2">
      <c r="C109" s="569">
        <v>106</v>
      </c>
      <c r="D109" s="580"/>
      <c r="E109" s="581"/>
      <c r="F109" s="582"/>
      <c r="G109" s="583"/>
      <c r="H109" s="773"/>
      <c r="I109" s="776"/>
      <c r="J109" s="779"/>
      <c r="K109" s="782"/>
    </row>
    <row r="110" spans="3:11" x14ac:dyDescent="0.2">
      <c r="C110" s="569">
        <v>107</v>
      </c>
      <c r="D110" s="580"/>
      <c r="E110" s="581"/>
      <c r="F110" s="582"/>
      <c r="G110" s="583"/>
      <c r="H110" s="773"/>
      <c r="I110" s="776"/>
      <c r="J110" s="779"/>
      <c r="K110" s="782"/>
    </row>
    <row r="111" spans="3:11" x14ac:dyDescent="0.2">
      <c r="C111" s="569">
        <v>108</v>
      </c>
      <c r="D111" s="580"/>
      <c r="E111" s="581"/>
      <c r="F111" s="582"/>
      <c r="G111" s="583"/>
      <c r="H111" s="773"/>
      <c r="I111" s="776"/>
      <c r="J111" s="779"/>
      <c r="K111" s="782"/>
    </row>
    <row r="112" spans="3:11" x14ac:dyDescent="0.2">
      <c r="C112" s="569">
        <v>109</v>
      </c>
      <c r="D112" s="580"/>
      <c r="E112" s="581"/>
      <c r="F112" s="582"/>
      <c r="G112" s="583"/>
      <c r="H112" s="773"/>
      <c r="I112" s="776"/>
      <c r="J112" s="779"/>
      <c r="K112" s="782"/>
    </row>
    <row r="113" spans="3:11" x14ac:dyDescent="0.2">
      <c r="C113" s="569">
        <v>110</v>
      </c>
      <c r="D113" s="580"/>
      <c r="E113" s="581"/>
      <c r="F113" s="582"/>
      <c r="G113" s="583"/>
      <c r="H113" s="773"/>
      <c r="I113" s="776"/>
      <c r="J113" s="779"/>
      <c r="K113" s="782"/>
    </row>
    <row r="114" spans="3:11" x14ac:dyDescent="0.2">
      <c r="C114" s="569">
        <v>111</v>
      </c>
      <c r="D114" s="580"/>
      <c r="E114" s="581"/>
      <c r="F114" s="582"/>
      <c r="G114" s="583"/>
      <c r="H114" s="773"/>
      <c r="I114" s="776"/>
      <c r="J114" s="779"/>
      <c r="K114" s="782"/>
    </row>
    <row r="115" spans="3:11" x14ac:dyDescent="0.2">
      <c r="C115" s="569">
        <v>112</v>
      </c>
      <c r="D115" s="580"/>
      <c r="E115" s="581"/>
      <c r="F115" s="582"/>
      <c r="G115" s="583"/>
      <c r="H115" s="773"/>
      <c r="I115" s="776"/>
      <c r="J115" s="779"/>
      <c r="K115" s="782"/>
    </row>
    <row r="116" spans="3:11" x14ac:dyDescent="0.2">
      <c r="C116" s="569">
        <v>113</v>
      </c>
      <c r="D116" s="580"/>
      <c r="E116" s="581"/>
      <c r="F116" s="582"/>
      <c r="G116" s="583"/>
      <c r="H116" s="773"/>
      <c r="I116" s="776"/>
      <c r="J116" s="779"/>
      <c r="K116" s="782"/>
    </row>
    <row r="117" spans="3:11" x14ac:dyDescent="0.2">
      <c r="C117" s="569">
        <v>114</v>
      </c>
      <c r="D117" s="580"/>
      <c r="E117" s="581"/>
      <c r="F117" s="582"/>
      <c r="G117" s="583"/>
      <c r="H117" s="773"/>
      <c r="I117" s="776"/>
      <c r="J117" s="779"/>
      <c r="K117" s="782"/>
    </row>
    <row r="118" spans="3:11" x14ac:dyDescent="0.2">
      <c r="C118" s="569">
        <v>115</v>
      </c>
      <c r="D118" s="580"/>
      <c r="E118" s="581"/>
      <c r="F118" s="582"/>
      <c r="G118" s="583"/>
      <c r="H118" s="773"/>
      <c r="I118" s="776"/>
      <c r="J118" s="779"/>
      <c r="K118" s="782"/>
    </row>
    <row r="119" spans="3:11" x14ac:dyDescent="0.2">
      <c r="C119" s="569">
        <v>116</v>
      </c>
      <c r="D119" s="580"/>
      <c r="E119" s="581"/>
      <c r="F119" s="582"/>
      <c r="G119" s="583"/>
      <c r="H119" s="773"/>
      <c r="I119" s="776"/>
      <c r="J119" s="779"/>
      <c r="K119" s="782"/>
    </row>
    <row r="120" spans="3:11" x14ac:dyDescent="0.2">
      <c r="C120" s="569">
        <v>117</v>
      </c>
      <c r="D120" s="580"/>
      <c r="E120" s="581"/>
      <c r="F120" s="582"/>
      <c r="G120" s="583"/>
      <c r="H120" s="773"/>
      <c r="I120" s="776"/>
      <c r="J120" s="779"/>
      <c r="K120" s="782"/>
    </row>
    <row r="121" spans="3:11" x14ac:dyDescent="0.2">
      <c r="C121" s="569">
        <v>118</v>
      </c>
      <c r="D121" s="580"/>
      <c r="E121" s="581"/>
      <c r="F121" s="582"/>
      <c r="G121" s="583"/>
      <c r="H121" s="773"/>
      <c r="I121" s="776"/>
      <c r="J121" s="779"/>
      <c r="K121" s="782"/>
    </row>
    <row r="122" spans="3:11" x14ac:dyDescent="0.2">
      <c r="C122" s="569">
        <v>119</v>
      </c>
      <c r="D122" s="580"/>
      <c r="E122" s="581"/>
      <c r="F122" s="582"/>
      <c r="G122" s="583"/>
      <c r="H122" s="773"/>
      <c r="I122" s="776"/>
      <c r="J122" s="779"/>
      <c r="K122" s="782"/>
    </row>
    <row r="123" spans="3:11" x14ac:dyDescent="0.2">
      <c r="C123" s="569">
        <v>120</v>
      </c>
      <c r="D123" s="580"/>
      <c r="E123" s="581"/>
      <c r="F123" s="582"/>
      <c r="G123" s="583"/>
      <c r="H123" s="773"/>
      <c r="I123" s="776"/>
      <c r="J123" s="779"/>
      <c r="K123" s="782"/>
    </row>
    <row r="124" spans="3:11" x14ac:dyDescent="0.2">
      <c r="C124" s="569">
        <v>121</v>
      </c>
      <c r="D124" s="580"/>
      <c r="E124" s="581"/>
      <c r="F124" s="582"/>
      <c r="G124" s="583"/>
      <c r="H124" s="773"/>
      <c r="I124" s="776"/>
      <c r="J124" s="779"/>
      <c r="K124" s="782"/>
    </row>
    <row r="125" spans="3:11" x14ac:dyDescent="0.2">
      <c r="C125" s="569">
        <v>122</v>
      </c>
      <c r="D125" s="580"/>
      <c r="E125" s="581"/>
      <c r="F125" s="582"/>
      <c r="G125" s="583"/>
      <c r="H125" s="773"/>
      <c r="I125" s="776"/>
      <c r="J125" s="779"/>
      <c r="K125" s="782"/>
    </row>
    <row r="126" spans="3:11" x14ac:dyDescent="0.2">
      <c r="C126" s="569">
        <v>123</v>
      </c>
      <c r="D126" s="580"/>
      <c r="E126" s="581"/>
      <c r="F126" s="582"/>
      <c r="G126" s="583"/>
      <c r="H126" s="773"/>
      <c r="I126" s="776"/>
      <c r="J126" s="779"/>
      <c r="K126" s="782"/>
    </row>
    <row r="127" spans="3:11" x14ac:dyDescent="0.2">
      <c r="C127" s="569">
        <v>124</v>
      </c>
      <c r="D127" s="580"/>
      <c r="E127" s="581"/>
      <c r="F127" s="582"/>
      <c r="G127" s="583"/>
      <c r="H127" s="773"/>
      <c r="I127" s="776"/>
      <c r="J127" s="779"/>
      <c r="K127" s="782"/>
    </row>
    <row r="128" spans="3:11" x14ac:dyDescent="0.2">
      <c r="C128" s="569">
        <v>125</v>
      </c>
      <c r="D128" s="580"/>
      <c r="E128" s="581"/>
      <c r="F128" s="582"/>
      <c r="G128" s="583"/>
      <c r="H128" s="773"/>
      <c r="I128" s="776"/>
      <c r="J128" s="779"/>
      <c r="K128" s="782"/>
    </row>
    <row r="129" spans="3:11" x14ac:dyDescent="0.2">
      <c r="C129" s="569">
        <v>126</v>
      </c>
      <c r="D129" s="580"/>
      <c r="E129" s="581"/>
      <c r="F129" s="582"/>
      <c r="G129" s="583"/>
      <c r="H129" s="773"/>
      <c r="I129" s="776"/>
      <c r="J129" s="779"/>
      <c r="K129" s="782"/>
    </row>
    <row r="130" spans="3:11" x14ac:dyDescent="0.2">
      <c r="C130" s="569">
        <v>127</v>
      </c>
      <c r="D130" s="580"/>
      <c r="E130" s="581"/>
      <c r="F130" s="582"/>
      <c r="G130" s="583"/>
      <c r="H130" s="773"/>
      <c r="I130" s="776"/>
      <c r="J130" s="779"/>
      <c r="K130" s="782"/>
    </row>
    <row r="131" spans="3:11" x14ac:dyDescent="0.2">
      <c r="C131" s="569">
        <v>128</v>
      </c>
      <c r="D131" s="580"/>
      <c r="E131" s="581"/>
      <c r="F131" s="582"/>
      <c r="G131" s="583"/>
      <c r="H131" s="773"/>
      <c r="I131" s="776"/>
      <c r="J131" s="779"/>
      <c r="K131" s="782"/>
    </row>
    <row r="132" spans="3:11" x14ac:dyDescent="0.2">
      <c r="C132" s="569">
        <v>129</v>
      </c>
      <c r="D132" s="580"/>
      <c r="E132" s="581"/>
      <c r="F132" s="582"/>
      <c r="G132" s="583"/>
      <c r="H132" s="773"/>
      <c r="I132" s="776"/>
      <c r="J132" s="779"/>
      <c r="K132" s="782"/>
    </row>
    <row r="133" spans="3:11" x14ac:dyDescent="0.2">
      <c r="C133" s="569">
        <v>130</v>
      </c>
      <c r="D133" s="580"/>
      <c r="E133" s="581"/>
      <c r="F133" s="582"/>
      <c r="G133" s="583"/>
      <c r="H133" s="773"/>
      <c r="I133" s="776"/>
      <c r="J133" s="779"/>
      <c r="K133" s="782"/>
    </row>
    <row r="134" spans="3:11" x14ac:dyDescent="0.2">
      <c r="C134" s="569">
        <v>131</v>
      </c>
      <c r="D134" s="580"/>
      <c r="E134" s="581"/>
      <c r="F134" s="582"/>
      <c r="G134" s="583"/>
      <c r="H134" s="773"/>
      <c r="I134" s="776"/>
      <c r="J134" s="779"/>
      <c r="K134" s="782"/>
    </row>
    <row r="135" spans="3:11" x14ac:dyDescent="0.2">
      <c r="C135" s="569">
        <v>132</v>
      </c>
      <c r="D135" s="580"/>
      <c r="E135" s="581"/>
      <c r="F135" s="582"/>
      <c r="G135" s="583"/>
      <c r="H135" s="773"/>
      <c r="I135" s="776"/>
      <c r="J135" s="779"/>
      <c r="K135" s="782"/>
    </row>
    <row r="136" spans="3:11" x14ac:dyDescent="0.2">
      <c r="C136" s="569">
        <v>133</v>
      </c>
      <c r="D136" s="580"/>
      <c r="E136" s="581"/>
      <c r="F136" s="582"/>
      <c r="G136" s="583"/>
      <c r="H136" s="773"/>
      <c r="I136" s="776"/>
      <c r="J136" s="779"/>
      <c r="K136" s="782"/>
    </row>
    <row r="137" spans="3:11" x14ac:dyDescent="0.2">
      <c r="C137" s="569">
        <v>134</v>
      </c>
      <c r="D137" s="580"/>
      <c r="E137" s="581"/>
      <c r="F137" s="582"/>
      <c r="G137" s="583"/>
      <c r="H137" s="773"/>
      <c r="I137" s="776"/>
      <c r="J137" s="779"/>
      <c r="K137" s="782"/>
    </row>
    <row r="138" spans="3:11" x14ac:dyDescent="0.2">
      <c r="C138" s="569">
        <v>135</v>
      </c>
      <c r="D138" s="580"/>
      <c r="E138" s="581"/>
      <c r="F138" s="582"/>
      <c r="G138" s="583"/>
      <c r="H138" s="773"/>
      <c r="I138" s="776"/>
      <c r="J138" s="779"/>
      <c r="K138" s="782"/>
    </row>
    <row r="139" spans="3:11" x14ac:dyDescent="0.2">
      <c r="C139" s="569">
        <v>136</v>
      </c>
      <c r="D139" s="580"/>
      <c r="E139" s="581"/>
      <c r="F139" s="582"/>
      <c r="G139" s="583"/>
      <c r="H139" s="773"/>
      <c r="I139" s="776"/>
      <c r="J139" s="779"/>
      <c r="K139" s="782"/>
    </row>
    <row r="140" spans="3:11" x14ac:dyDescent="0.2">
      <c r="C140" s="569">
        <v>137</v>
      </c>
      <c r="D140" s="580"/>
      <c r="E140" s="581"/>
      <c r="F140" s="582"/>
      <c r="G140" s="583"/>
      <c r="H140" s="773"/>
      <c r="I140" s="776"/>
      <c r="J140" s="779"/>
      <c r="K140" s="782"/>
    </row>
    <row r="141" spans="3:11" x14ac:dyDescent="0.2">
      <c r="C141" s="569">
        <v>138</v>
      </c>
      <c r="D141" s="580"/>
      <c r="E141" s="581"/>
      <c r="F141" s="582"/>
      <c r="G141" s="583"/>
      <c r="H141" s="773"/>
      <c r="I141" s="776"/>
      <c r="J141" s="779"/>
      <c r="K141" s="782"/>
    </row>
    <row r="142" spans="3:11" x14ac:dyDescent="0.2">
      <c r="C142" s="569">
        <v>139</v>
      </c>
      <c r="D142" s="580"/>
      <c r="E142" s="581"/>
      <c r="F142" s="582"/>
      <c r="G142" s="583"/>
      <c r="H142" s="773"/>
      <c r="I142" s="776"/>
      <c r="J142" s="779"/>
      <c r="K142" s="782"/>
    </row>
    <row r="143" spans="3:11" x14ac:dyDescent="0.2">
      <c r="C143" s="569">
        <v>140</v>
      </c>
      <c r="D143" s="580"/>
      <c r="E143" s="581"/>
      <c r="F143" s="582"/>
      <c r="G143" s="583"/>
      <c r="H143" s="773"/>
      <c r="I143" s="776"/>
      <c r="J143" s="779"/>
      <c r="K143" s="782"/>
    </row>
    <row r="144" spans="3:11" x14ac:dyDescent="0.2">
      <c r="C144" s="569">
        <v>141</v>
      </c>
      <c r="D144" s="580"/>
      <c r="E144" s="581"/>
      <c r="F144" s="582"/>
      <c r="G144" s="583"/>
      <c r="H144" s="773"/>
      <c r="I144" s="776"/>
      <c r="J144" s="779"/>
      <c r="K144" s="782"/>
    </row>
    <row r="145" spans="3:11" x14ac:dyDescent="0.2">
      <c r="C145" s="569">
        <v>142</v>
      </c>
      <c r="D145" s="580"/>
      <c r="E145" s="581"/>
      <c r="F145" s="582"/>
      <c r="G145" s="583"/>
      <c r="H145" s="773"/>
      <c r="I145" s="776"/>
      <c r="J145" s="779"/>
      <c r="K145" s="782"/>
    </row>
    <row r="146" spans="3:11" x14ac:dyDescent="0.2">
      <c r="C146" s="569">
        <v>143</v>
      </c>
      <c r="D146" s="580"/>
      <c r="E146" s="581"/>
      <c r="F146" s="582"/>
      <c r="G146" s="583"/>
      <c r="H146" s="773"/>
      <c r="I146" s="776"/>
      <c r="J146" s="779"/>
      <c r="K146" s="782"/>
    </row>
    <row r="147" spans="3:11" x14ac:dyDescent="0.2">
      <c r="C147" s="569">
        <v>144</v>
      </c>
      <c r="D147" s="580"/>
      <c r="E147" s="581"/>
      <c r="F147" s="582"/>
      <c r="G147" s="583"/>
      <c r="H147" s="773"/>
      <c r="I147" s="776"/>
      <c r="J147" s="779"/>
      <c r="K147" s="782"/>
    </row>
    <row r="148" spans="3:11" x14ac:dyDescent="0.2">
      <c r="C148" s="569">
        <v>145</v>
      </c>
      <c r="D148" s="580"/>
      <c r="E148" s="581"/>
      <c r="F148" s="582"/>
      <c r="G148" s="583"/>
      <c r="H148" s="773"/>
      <c r="I148" s="776"/>
      <c r="J148" s="779"/>
      <c r="K148" s="782"/>
    </row>
    <row r="149" spans="3:11" x14ac:dyDescent="0.2">
      <c r="C149" s="569">
        <v>146</v>
      </c>
      <c r="D149" s="580"/>
      <c r="E149" s="581"/>
      <c r="F149" s="582"/>
      <c r="G149" s="583"/>
      <c r="H149" s="773"/>
      <c r="I149" s="776"/>
      <c r="J149" s="779"/>
      <c r="K149" s="782"/>
    </row>
    <row r="150" spans="3:11" x14ac:dyDescent="0.2">
      <c r="C150" s="569">
        <v>147</v>
      </c>
      <c r="D150" s="580"/>
      <c r="E150" s="581"/>
      <c r="F150" s="582"/>
      <c r="G150" s="583"/>
      <c r="H150" s="773"/>
      <c r="I150" s="776"/>
      <c r="J150" s="779"/>
      <c r="K150" s="782"/>
    </row>
    <row r="151" spans="3:11" x14ac:dyDescent="0.2">
      <c r="C151" s="569">
        <v>148</v>
      </c>
      <c r="D151" s="580"/>
      <c r="E151" s="581"/>
      <c r="F151" s="582"/>
      <c r="G151" s="583"/>
      <c r="H151" s="773"/>
      <c r="I151" s="776"/>
      <c r="J151" s="779"/>
      <c r="K151" s="782"/>
    </row>
    <row r="152" spans="3:11" x14ac:dyDescent="0.2">
      <c r="C152" s="569">
        <v>149</v>
      </c>
      <c r="D152" s="580"/>
      <c r="E152" s="581"/>
      <c r="F152" s="582"/>
      <c r="G152" s="583"/>
      <c r="H152" s="773"/>
      <c r="I152" s="776"/>
      <c r="J152" s="779"/>
      <c r="K152" s="782"/>
    </row>
    <row r="153" spans="3:11" x14ac:dyDescent="0.2">
      <c r="C153" s="569">
        <v>150</v>
      </c>
      <c r="D153" s="580"/>
      <c r="E153" s="581"/>
      <c r="F153" s="582"/>
      <c r="G153" s="583"/>
      <c r="H153" s="773"/>
      <c r="I153" s="776"/>
      <c r="J153" s="779"/>
      <c r="K153" s="782"/>
    </row>
    <row r="154" spans="3:11" x14ac:dyDescent="0.2">
      <c r="C154" s="569">
        <v>151</v>
      </c>
      <c r="D154" s="580"/>
      <c r="E154" s="581"/>
      <c r="F154" s="582"/>
      <c r="G154" s="583"/>
      <c r="H154" s="773"/>
      <c r="I154" s="776"/>
      <c r="J154" s="779"/>
      <c r="K154" s="782"/>
    </row>
    <row r="155" spans="3:11" x14ac:dyDescent="0.2">
      <c r="C155" s="569">
        <v>152</v>
      </c>
      <c r="D155" s="580"/>
      <c r="E155" s="581"/>
      <c r="F155" s="582"/>
      <c r="G155" s="583"/>
      <c r="H155" s="773"/>
      <c r="I155" s="776"/>
      <c r="J155" s="779"/>
      <c r="K155" s="782"/>
    </row>
    <row r="156" spans="3:11" x14ac:dyDescent="0.2">
      <c r="C156" s="569">
        <v>153</v>
      </c>
      <c r="D156" s="580"/>
      <c r="E156" s="581"/>
      <c r="F156" s="582"/>
      <c r="G156" s="583"/>
      <c r="H156" s="773"/>
      <c r="I156" s="776"/>
      <c r="J156" s="779"/>
      <c r="K156" s="782"/>
    </row>
    <row r="157" spans="3:11" x14ac:dyDescent="0.2">
      <c r="C157" s="569">
        <v>154</v>
      </c>
      <c r="D157" s="580"/>
      <c r="E157" s="581"/>
      <c r="F157" s="582"/>
      <c r="G157" s="583"/>
      <c r="H157" s="773"/>
      <c r="I157" s="776"/>
      <c r="J157" s="779"/>
      <c r="K157" s="782"/>
    </row>
    <row r="158" spans="3:11" x14ac:dyDescent="0.2">
      <c r="C158" s="569">
        <v>155</v>
      </c>
      <c r="D158" s="580"/>
      <c r="E158" s="581"/>
      <c r="F158" s="582"/>
      <c r="G158" s="583"/>
      <c r="H158" s="773"/>
      <c r="I158" s="776"/>
      <c r="J158" s="779"/>
      <c r="K158" s="782"/>
    </row>
    <row r="159" spans="3:11" x14ac:dyDescent="0.2">
      <c r="C159" s="569">
        <v>156</v>
      </c>
      <c r="D159" s="580"/>
      <c r="E159" s="581"/>
      <c r="F159" s="582"/>
      <c r="G159" s="583"/>
      <c r="H159" s="773"/>
      <c r="I159" s="776"/>
      <c r="J159" s="779"/>
      <c r="K159" s="782"/>
    </row>
    <row r="160" spans="3:11" x14ac:dyDescent="0.2">
      <c r="C160" s="569">
        <v>157</v>
      </c>
      <c r="D160" s="580"/>
      <c r="E160" s="581"/>
      <c r="F160" s="582"/>
      <c r="G160" s="583"/>
      <c r="H160" s="773"/>
      <c r="I160" s="776"/>
      <c r="J160" s="779"/>
      <c r="K160" s="782"/>
    </row>
    <row r="161" spans="3:11" x14ac:dyDescent="0.2">
      <c r="C161" s="569">
        <v>158</v>
      </c>
      <c r="D161" s="580"/>
      <c r="E161" s="581"/>
      <c r="F161" s="582"/>
      <c r="G161" s="583"/>
      <c r="H161" s="773"/>
      <c r="I161" s="776"/>
      <c r="J161" s="779"/>
      <c r="K161" s="782"/>
    </row>
    <row r="162" spans="3:11" x14ac:dyDescent="0.2">
      <c r="C162" s="569">
        <v>159</v>
      </c>
      <c r="D162" s="580"/>
      <c r="E162" s="581"/>
      <c r="F162" s="582"/>
      <c r="G162" s="583"/>
      <c r="H162" s="773"/>
      <c r="I162" s="776"/>
      <c r="J162" s="779"/>
      <c r="K162" s="782"/>
    </row>
    <row r="163" spans="3:11" x14ac:dyDescent="0.2">
      <c r="C163" s="569">
        <v>160</v>
      </c>
      <c r="D163" s="580"/>
      <c r="E163" s="581"/>
      <c r="F163" s="582"/>
      <c r="G163" s="583"/>
      <c r="H163" s="773"/>
      <c r="I163" s="776"/>
      <c r="J163" s="779"/>
      <c r="K163" s="782"/>
    </row>
    <row r="164" spans="3:11" x14ac:dyDescent="0.2">
      <c r="C164" s="569">
        <v>161</v>
      </c>
      <c r="D164" s="580"/>
      <c r="E164" s="581"/>
      <c r="F164" s="582"/>
      <c r="G164" s="583"/>
      <c r="H164" s="773"/>
      <c r="I164" s="776"/>
      <c r="J164" s="779"/>
      <c r="K164" s="782"/>
    </row>
    <row r="165" spans="3:11" x14ac:dyDescent="0.2">
      <c r="C165" s="569">
        <v>162</v>
      </c>
      <c r="D165" s="580"/>
      <c r="E165" s="581"/>
      <c r="F165" s="582"/>
      <c r="G165" s="583"/>
      <c r="H165" s="773"/>
      <c r="I165" s="776"/>
      <c r="J165" s="779"/>
      <c r="K165" s="782"/>
    </row>
    <row r="166" spans="3:11" x14ac:dyDescent="0.2">
      <c r="C166" s="569">
        <v>163</v>
      </c>
      <c r="D166" s="580"/>
      <c r="E166" s="581"/>
      <c r="F166" s="582"/>
      <c r="G166" s="583"/>
      <c r="H166" s="773"/>
      <c r="I166" s="776"/>
      <c r="J166" s="779"/>
      <c r="K166" s="782"/>
    </row>
    <row r="167" spans="3:11" x14ac:dyDescent="0.2">
      <c r="C167" s="569">
        <v>164</v>
      </c>
      <c r="D167" s="580"/>
      <c r="E167" s="581"/>
      <c r="F167" s="582"/>
      <c r="G167" s="583"/>
      <c r="H167" s="773"/>
      <c r="I167" s="776"/>
      <c r="J167" s="779"/>
      <c r="K167" s="782"/>
    </row>
    <row r="168" spans="3:11" x14ac:dyDescent="0.2">
      <c r="C168" s="569">
        <v>165</v>
      </c>
      <c r="D168" s="580"/>
      <c r="E168" s="581"/>
      <c r="F168" s="582"/>
      <c r="G168" s="583"/>
      <c r="H168" s="773"/>
      <c r="I168" s="776"/>
      <c r="J168" s="779"/>
      <c r="K168" s="782"/>
    </row>
    <row r="169" spans="3:11" x14ac:dyDescent="0.2">
      <c r="C169" s="569">
        <v>166</v>
      </c>
      <c r="D169" s="580"/>
      <c r="E169" s="581"/>
      <c r="F169" s="582"/>
      <c r="G169" s="583"/>
      <c r="H169" s="773"/>
      <c r="I169" s="776"/>
      <c r="J169" s="779"/>
      <c r="K169" s="782"/>
    </row>
    <row r="170" spans="3:11" x14ac:dyDescent="0.2">
      <c r="C170" s="569">
        <v>167</v>
      </c>
      <c r="D170" s="580"/>
      <c r="E170" s="581"/>
      <c r="F170" s="582"/>
      <c r="G170" s="583"/>
      <c r="H170" s="773"/>
      <c r="I170" s="776"/>
      <c r="J170" s="779"/>
      <c r="K170" s="782"/>
    </row>
    <row r="171" spans="3:11" x14ac:dyDescent="0.2">
      <c r="C171" s="569">
        <v>168</v>
      </c>
      <c r="D171" s="580"/>
      <c r="E171" s="581"/>
      <c r="F171" s="582"/>
      <c r="G171" s="583"/>
      <c r="H171" s="773"/>
      <c r="I171" s="776"/>
      <c r="J171" s="779"/>
      <c r="K171" s="782"/>
    </row>
    <row r="172" spans="3:11" x14ac:dyDescent="0.2">
      <c r="C172" s="569">
        <v>169</v>
      </c>
      <c r="D172" s="580"/>
      <c r="E172" s="581"/>
      <c r="F172" s="582"/>
      <c r="G172" s="583"/>
      <c r="H172" s="773"/>
      <c r="I172" s="776"/>
      <c r="J172" s="779"/>
      <c r="K172" s="782"/>
    </row>
    <row r="173" spans="3:11" x14ac:dyDescent="0.2">
      <c r="C173" s="569">
        <v>170</v>
      </c>
      <c r="D173" s="580"/>
      <c r="E173" s="581"/>
      <c r="F173" s="582"/>
      <c r="G173" s="583"/>
      <c r="H173" s="773"/>
      <c r="I173" s="776"/>
      <c r="J173" s="779"/>
      <c r="K173" s="782"/>
    </row>
    <row r="174" spans="3:11" x14ac:dyDescent="0.2">
      <c r="C174" s="569">
        <v>171</v>
      </c>
      <c r="D174" s="580"/>
      <c r="E174" s="581"/>
      <c r="F174" s="582"/>
      <c r="G174" s="583"/>
      <c r="H174" s="773"/>
      <c r="I174" s="776"/>
      <c r="J174" s="779"/>
      <c r="K174" s="782"/>
    </row>
    <row r="175" spans="3:11" x14ac:dyDescent="0.2">
      <c r="C175" s="569">
        <v>172</v>
      </c>
      <c r="D175" s="580"/>
      <c r="E175" s="581"/>
      <c r="F175" s="582"/>
      <c r="G175" s="583"/>
      <c r="H175" s="773"/>
      <c r="I175" s="776"/>
      <c r="J175" s="779"/>
      <c r="K175" s="782"/>
    </row>
    <row r="176" spans="3:11" x14ac:dyDescent="0.2">
      <c r="C176" s="569">
        <v>173</v>
      </c>
      <c r="D176" s="580"/>
      <c r="E176" s="581"/>
      <c r="F176" s="582"/>
      <c r="G176" s="583"/>
      <c r="H176" s="773"/>
      <c r="I176" s="776"/>
      <c r="J176" s="779"/>
      <c r="K176" s="782"/>
    </row>
    <row r="177" spans="3:11" x14ac:dyDescent="0.2">
      <c r="C177" s="569">
        <v>174</v>
      </c>
      <c r="D177" s="580"/>
      <c r="E177" s="581"/>
      <c r="F177" s="582"/>
      <c r="G177" s="583"/>
      <c r="H177" s="773"/>
      <c r="I177" s="776"/>
      <c r="J177" s="779"/>
      <c r="K177" s="782"/>
    </row>
    <row r="178" spans="3:11" x14ac:dyDescent="0.2">
      <c r="C178" s="569">
        <v>175</v>
      </c>
      <c r="D178" s="580"/>
      <c r="E178" s="581"/>
      <c r="F178" s="582"/>
      <c r="G178" s="583"/>
      <c r="H178" s="773"/>
      <c r="I178" s="776"/>
      <c r="J178" s="779"/>
      <c r="K178" s="782"/>
    </row>
    <row r="179" spans="3:11" x14ac:dyDescent="0.2">
      <c r="C179" s="569">
        <v>176</v>
      </c>
      <c r="D179" s="580"/>
      <c r="E179" s="581"/>
      <c r="F179" s="582"/>
      <c r="G179" s="583"/>
      <c r="H179" s="773"/>
      <c r="I179" s="776"/>
      <c r="J179" s="779"/>
      <c r="K179" s="782"/>
    </row>
    <row r="180" spans="3:11" x14ac:dyDescent="0.2">
      <c r="C180" s="569">
        <v>177</v>
      </c>
      <c r="D180" s="580"/>
      <c r="E180" s="581"/>
      <c r="F180" s="582"/>
      <c r="G180" s="583"/>
      <c r="H180" s="773"/>
      <c r="I180" s="776"/>
      <c r="J180" s="779"/>
      <c r="K180" s="782"/>
    </row>
    <row r="181" spans="3:11" x14ac:dyDescent="0.2">
      <c r="C181" s="569">
        <v>178</v>
      </c>
      <c r="D181" s="580"/>
      <c r="E181" s="581"/>
      <c r="F181" s="582"/>
      <c r="G181" s="583"/>
      <c r="H181" s="773"/>
      <c r="I181" s="776"/>
      <c r="J181" s="779"/>
      <c r="K181" s="782"/>
    </row>
    <row r="182" spans="3:11" x14ac:dyDescent="0.2">
      <c r="C182" s="569">
        <v>179</v>
      </c>
      <c r="D182" s="580"/>
      <c r="E182" s="581"/>
      <c r="F182" s="582"/>
      <c r="G182" s="583"/>
      <c r="H182" s="773"/>
      <c r="I182" s="776"/>
      <c r="J182" s="779"/>
      <c r="K182" s="782"/>
    </row>
    <row r="183" spans="3:11" x14ac:dyDescent="0.2">
      <c r="C183" s="569">
        <v>180</v>
      </c>
      <c r="D183" s="580"/>
      <c r="E183" s="581"/>
      <c r="F183" s="582"/>
      <c r="G183" s="583"/>
      <c r="H183" s="773"/>
      <c r="I183" s="776"/>
      <c r="J183" s="779"/>
      <c r="K183" s="782"/>
    </row>
    <row r="184" spans="3:11" x14ac:dyDescent="0.2">
      <c r="C184" s="569">
        <v>181</v>
      </c>
      <c r="D184" s="580"/>
      <c r="E184" s="581"/>
      <c r="F184" s="582"/>
      <c r="G184" s="583"/>
      <c r="H184" s="773"/>
      <c r="I184" s="776"/>
      <c r="J184" s="779"/>
      <c r="K184" s="782"/>
    </row>
    <row r="185" spans="3:11" x14ac:dyDescent="0.2">
      <c r="C185" s="569">
        <v>182</v>
      </c>
      <c r="D185" s="580"/>
      <c r="E185" s="581"/>
      <c r="F185" s="582"/>
      <c r="G185" s="583"/>
      <c r="H185" s="773"/>
      <c r="I185" s="776"/>
      <c r="J185" s="779"/>
      <c r="K185" s="782"/>
    </row>
    <row r="186" spans="3:11" x14ac:dyDescent="0.2">
      <c r="C186" s="569">
        <v>183</v>
      </c>
      <c r="D186" s="580"/>
      <c r="E186" s="581"/>
      <c r="F186" s="582"/>
      <c r="G186" s="583"/>
      <c r="H186" s="773"/>
      <c r="I186" s="776"/>
      <c r="J186" s="779"/>
      <c r="K186" s="782"/>
    </row>
    <row r="187" spans="3:11" x14ac:dyDescent="0.2">
      <c r="C187" s="569">
        <v>184</v>
      </c>
      <c r="D187" s="580"/>
      <c r="E187" s="581"/>
      <c r="F187" s="582"/>
      <c r="G187" s="583"/>
      <c r="H187" s="773"/>
      <c r="I187" s="776"/>
      <c r="J187" s="779"/>
      <c r="K187" s="782"/>
    </row>
    <row r="188" spans="3:11" x14ac:dyDescent="0.2">
      <c r="C188" s="569">
        <v>185</v>
      </c>
      <c r="D188" s="580"/>
      <c r="E188" s="581"/>
      <c r="F188" s="582"/>
      <c r="G188" s="583"/>
      <c r="H188" s="773"/>
      <c r="I188" s="776"/>
      <c r="J188" s="779"/>
      <c r="K188" s="782"/>
    </row>
    <row r="189" spans="3:11" x14ac:dyDescent="0.2">
      <c r="C189" s="569">
        <v>186</v>
      </c>
      <c r="D189" s="580"/>
      <c r="E189" s="581"/>
      <c r="F189" s="582"/>
      <c r="G189" s="583"/>
      <c r="H189" s="773"/>
      <c r="I189" s="776"/>
      <c r="J189" s="779"/>
      <c r="K189" s="782"/>
    </row>
    <row r="190" spans="3:11" x14ac:dyDescent="0.2">
      <c r="C190" s="569">
        <v>187</v>
      </c>
      <c r="D190" s="580"/>
      <c r="E190" s="581"/>
      <c r="F190" s="582"/>
      <c r="G190" s="583"/>
      <c r="H190" s="773"/>
      <c r="I190" s="776"/>
      <c r="J190" s="779"/>
      <c r="K190" s="782"/>
    </row>
    <row r="191" spans="3:11" x14ac:dyDescent="0.2">
      <c r="C191" s="569">
        <v>188</v>
      </c>
      <c r="D191" s="580"/>
      <c r="E191" s="581"/>
      <c r="F191" s="582"/>
      <c r="G191" s="583"/>
      <c r="H191" s="773"/>
      <c r="I191" s="776"/>
      <c r="J191" s="779"/>
      <c r="K191" s="782"/>
    </row>
    <row r="192" spans="3:11" x14ac:dyDescent="0.2">
      <c r="C192" s="569">
        <v>189</v>
      </c>
      <c r="D192" s="580"/>
      <c r="E192" s="581"/>
      <c r="F192" s="582"/>
      <c r="G192" s="583"/>
      <c r="H192" s="773"/>
      <c r="I192" s="776"/>
      <c r="J192" s="779"/>
      <c r="K192" s="782"/>
    </row>
    <row r="193" spans="3:11" x14ac:dyDescent="0.2">
      <c r="C193" s="569">
        <v>190</v>
      </c>
      <c r="D193" s="580"/>
      <c r="E193" s="581"/>
      <c r="F193" s="582"/>
      <c r="G193" s="583"/>
      <c r="H193" s="773"/>
      <c r="I193" s="776"/>
      <c r="J193" s="779"/>
      <c r="K193" s="782"/>
    </row>
    <row r="194" spans="3:11" x14ac:dyDescent="0.2">
      <c r="C194" s="569">
        <v>191</v>
      </c>
      <c r="D194" s="580"/>
      <c r="E194" s="581"/>
      <c r="F194" s="582"/>
      <c r="G194" s="583"/>
      <c r="H194" s="773"/>
      <c r="I194" s="776"/>
      <c r="J194" s="779"/>
      <c r="K194" s="782"/>
    </row>
    <row r="195" spans="3:11" x14ac:dyDescent="0.2">
      <c r="C195" s="569">
        <v>192</v>
      </c>
      <c r="D195" s="580"/>
      <c r="E195" s="581"/>
      <c r="F195" s="582"/>
      <c r="G195" s="583"/>
      <c r="H195" s="773"/>
      <c r="I195" s="776"/>
      <c r="J195" s="779"/>
      <c r="K195" s="782"/>
    </row>
    <row r="196" spans="3:11" x14ac:dyDescent="0.2">
      <c r="C196" s="569">
        <v>193</v>
      </c>
      <c r="D196" s="580"/>
      <c r="E196" s="581"/>
      <c r="F196" s="582"/>
      <c r="G196" s="583"/>
      <c r="H196" s="773"/>
      <c r="I196" s="776"/>
      <c r="J196" s="779"/>
      <c r="K196" s="782"/>
    </row>
    <row r="197" spans="3:11" x14ac:dyDescent="0.2">
      <c r="C197" s="569">
        <v>194</v>
      </c>
      <c r="D197" s="580"/>
      <c r="E197" s="581"/>
      <c r="F197" s="582"/>
      <c r="G197" s="583"/>
      <c r="H197" s="773"/>
      <c r="I197" s="776"/>
      <c r="J197" s="779"/>
      <c r="K197" s="782"/>
    </row>
    <row r="198" spans="3:11" x14ac:dyDescent="0.2">
      <c r="C198" s="569">
        <v>195</v>
      </c>
      <c r="D198" s="580"/>
      <c r="E198" s="581"/>
      <c r="F198" s="582"/>
      <c r="G198" s="583"/>
      <c r="H198" s="773"/>
      <c r="I198" s="776"/>
      <c r="J198" s="779"/>
      <c r="K198" s="782"/>
    </row>
    <row r="199" spans="3:11" x14ac:dyDescent="0.2">
      <c r="C199" s="569">
        <v>196</v>
      </c>
      <c r="D199" s="580"/>
      <c r="E199" s="581"/>
      <c r="F199" s="582"/>
      <c r="G199" s="583"/>
      <c r="H199" s="773"/>
      <c r="I199" s="776"/>
      <c r="J199" s="779"/>
      <c r="K199" s="782"/>
    </row>
    <row r="200" spans="3:11" x14ac:dyDescent="0.2">
      <c r="C200" s="569">
        <v>197</v>
      </c>
      <c r="D200" s="580"/>
      <c r="E200" s="581"/>
      <c r="F200" s="582"/>
      <c r="G200" s="583"/>
      <c r="H200" s="773"/>
      <c r="I200" s="776"/>
      <c r="J200" s="779"/>
      <c r="K200" s="782"/>
    </row>
    <row r="201" spans="3:11" x14ac:dyDescent="0.2">
      <c r="C201" s="569">
        <v>198</v>
      </c>
      <c r="D201" s="580"/>
      <c r="E201" s="581"/>
      <c r="F201" s="582"/>
      <c r="G201" s="583"/>
      <c r="H201" s="773"/>
      <c r="I201" s="776"/>
      <c r="J201" s="779"/>
      <c r="K201" s="782"/>
    </row>
    <row r="202" spans="3:11" x14ac:dyDescent="0.2">
      <c r="C202" s="569">
        <v>199</v>
      </c>
      <c r="D202" s="580"/>
      <c r="E202" s="581"/>
      <c r="F202" s="582"/>
      <c r="G202" s="583"/>
      <c r="H202" s="773"/>
      <c r="I202" s="776"/>
      <c r="J202" s="779"/>
      <c r="K202" s="782"/>
    </row>
    <row r="203" spans="3:11" x14ac:dyDescent="0.2">
      <c r="C203" s="569">
        <v>200</v>
      </c>
      <c r="D203" s="580"/>
      <c r="E203" s="581"/>
      <c r="F203" s="582"/>
      <c r="G203" s="583"/>
      <c r="H203" s="773"/>
      <c r="I203" s="776"/>
      <c r="J203" s="779"/>
      <c r="K203" s="782"/>
    </row>
    <row r="204" spans="3:11" x14ac:dyDescent="0.2">
      <c r="C204" s="569">
        <v>201</v>
      </c>
      <c r="D204" s="580"/>
      <c r="E204" s="581"/>
      <c r="F204" s="582"/>
      <c r="G204" s="583"/>
      <c r="H204" s="773"/>
      <c r="I204" s="776"/>
      <c r="J204" s="779"/>
      <c r="K204" s="782"/>
    </row>
    <row r="205" spans="3:11" x14ac:dyDescent="0.2">
      <c r="C205" s="569">
        <v>202</v>
      </c>
      <c r="D205" s="580"/>
      <c r="E205" s="581"/>
      <c r="F205" s="582"/>
      <c r="G205" s="583"/>
      <c r="H205" s="773"/>
      <c r="I205" s="776"/>
      <c r="J205" s="779"/>
      <c r="K205" s="782"/>
    </row>
    <row r="206" spans="3:11" x14ac:dyDescent="0.2">
      <c r="C206" s="569">
        <v>203</v>
      </c>
      <c r="D206" s="580"/>
      <c r="E206" s="581"/>
      <c r="F206" s="582"/>
      <c r="G206" s="583"/>
      <c r="H206" s="773"/>
      <c r="I206" s="776"/>
      <c r="J206" s="779"/>
      <c r="K206" s="782"/>
    </row>
    <row r="207" spans="3:11" x14ac:dyDescent="0.2">
      <c r="C207" s="569">
        <v>204</v>
      </c>
      <c r="D207" s="580"/>
      <c r="E207" s="581"/>
      <c r="F207" s="582"/>
      <c r="G207" s="583"/>
      <c r="H207" s="773"/>
      <c r="I207" s="776"/>
      <c r="J207" s="779"/>
      <c r="K207" s="782"/>
    </row>
    <row r="208" spans="3:11" x14ac:dyDescent="0.2">
      <c r="C208" s="569">
        <v>205</v>
      </c>
      <c r="D208" s="580"/>
      <c r="E208" s="581"/>
      <c r="F208" s="582"/>
      <c r="G208" s="583"/>
      <c r="H208" s="773"/>
      <c r="I208" s="776"/>
      <c r="J208" s="779"/>
      <c r="K208" s="782"/>
    </row>
    <row r="209" spans="3:11" x14ac:dyDescent="0.2">
      <c r="C209" s="569">
        <v>206</v>
      </c>
      <c r="D209" s="580"/>
      <c r="E209" s="581"/>
      <c r="F209" s="582"/>
      <c r="G209" s="583"/>
      <c r="H209" s="773"/>
      <c r="I209" s="776"/>
      <c r="J209" s="779"/>
      <c r="K209" s="782"/>
    </row>
    <row r="210" spans="3:11" x14ac:dyDescent="0.2">
      <c r="C210" s="569">
        <v>207</v>
      </c>
      <c r="D210" s="580"/>
      <c r="E210" s="581"/>
      <c r="F210" s="582"/>
      <c r="G210" s="583"/>
      <c r="H210" s="773"/>
      <c r="I210" s="776"/>
      <c r="J210" s="779"/>
      <c r="K210" s="782"/>
    </row>
    <row r="211" spans="3:11" x14ac:dyDescent="0.2">
      <c r="C211" s="569">
        <v>208</v>
      </c>
      <c r="D211" s="580"/>
      <c r="E211" s="581"/>
      <c r="F211" s="582"/>
      <c r="G211" s="583"/>
      <c r="H211" s="773"/>
      <c r="I211" s="776"/>
      <c r="J211" s="779"/>
      <c r="K211" s="782"/>
    </row>
    <row r="212" spans="3:11" x14ac:dyDescent="0.2">
      <c r="C212" s="569">
        <v>209</v>
      </c>
      <c r="D212" s="580"/>
      <c r="E212" s="581"/>
      <c r="F212" s="582"/>
      <c r="G212" s="583"/>
      <c r="H212" s="773"/>
      <c r="I212" s="776"/>
      <c r="J212" s="779"/>
      <c r="K212" s="782"/>
    </row>
    <row r="213" spans="3:11" x14ac:dyDescent="0.2">
      <c r="C213" s="569">
        <v>210</v>
      </c>
      <c r="D213" s="580"/>
      <c r="E213" s="581"/>
      <c r="F213" s="582"/>
      <c r="G213" s="583"/>
      <c r="H213" s="773"/>
      <c r="I213" s="776"/>
      <c r="J213" s="779"/>
      <c r="K213" s="782"/>
    </row>
    <row r="214" spans="3:11" x14ac:dyDescent="0.2">
      <c r="C214" s="569">
        <v>211</v>
      </c>
      <c r="D214" s="580"/>
      <c r="E214" s="581"/>
      <c r="F214" s="582"/>
      <c r="G214" s="583"/>
      <c r="H214" s="773"/>
      <c r="I214" s="776"/>
      <c r="J214" s="779"/>
      <c r="K214" s="782"/>
    </row>
    <row r="215" spans="3:11" x14ac:dyDescent="0.2">
      <c r="C215" s="569">
        <v>212</v>
      </c>
      <c r="D215" s="580"/>
      <c r="E215" s="581"/>
      <c r="F215" s="582"/>
      <c r="G215" s="583"/>
      <c r="H215" s="773"/>
      <c r="I215" s="776"/>
      <c r="J215" s="779"/>
      <c r="K215" s="782"/>
    </row>
    <row r="216" spans="3:11" x14ac:dyDescent="0.2">
      <c r="C216" s="569">
        <v>213</v>
      </c>
      <c r="D216" s="580"/>
      <c r="E216" s="581"/>
      <c r="F216" s="582"/>
      <c r="G216" s="583"/>
      <c r="H216" s="773"/>
      <c r="I216" s="776"/>
      <c r="J216" s="779"/>
      <c r="K216" s="782"/>
    </row>
    <row r="217" spans="3:11" x14ac:dyDescent="0.2">
      <c r="C217" s="569">
        <v>214</v>
      </c>
      <c r="D217" s="580"/>
      <c r="E217" s="581"/>
      <c r="F217" s="582"/>
      <c r="G217" s="583"/>
      <c r="H217" s="773"/>
      <c r="I217" s="776"/>
      <c r="J217" s="779"/>
      <c r="K217" s="782"/>
    </row>
    <row r="218" spans="3:11" x14ac:dyDescent="0.2">
      <c r="C218" s="569">
        <v>215</v>
      </c>
      <c r="D218" s="580"/>
      <c r="E218" s="581"/>
      <c r="F218" s="582"/>
      <c r="G218" s="583"/>
      <c r="H218" s="773"/>
      <c r="I218" s="776"/>
      <c r="J218" s="779"/>
      <c r="K218" s="782"/>
    </row>
    <row r="219" spans="3:11" x14ac:dyDescent="0.2">
      <c r="C219" s="569">
        <v>216</v>
      </c>
      <c r="D219" s="580"/>
      <c r="E219" s="581"/>
      <c r="F219" s="582"/>
      <c r="G219" s="583"/>
      <c r="H219" s="773"/>
      <c r="I219" s="776"/>
      <c r="J219" s="779"/>
      <c r="K219" s="782"/>
    </row>
    <row r="220" spans="3:11" x14ac:dyDescent="0.2">
      <c r="C220" s="569">
        <v>217</v>
      </c>
      <c r="D220" s="580"/>
      <c r="E220" s="581"/>
      <c r="F220" s="582"/>
      <c r="G220" s="583"/>
      <c r="H220" s="773"/>
      <c r="I220" s="776"/>
      <c r="J220" s="779"/>
      <c r="K220" s="782"/>
    </row>
    <row r="221" spans="3:11" x14ac:dyDescent="0.2">
      <c r="C221" s="569">
        <v>218</v>
      </c>
      <c r="D221" s="580"/>
      <c r="E221" s="581"/>
      <c r="F221" s="582"/>
      <c r="G221" s="583"/>
      <c r="H221" s="773"/>
      <c r="I221" s="776"/>
      <c r="J221" s="779"/>
      <c r="K221" s="782"/>
    </row>
    <row r="222" spans="3:11" x14ac:dyDescent="0.2">
      <c r="C222" s="569">
        <v>219</v>
      </c>
      <c r="D222" s="580"/>
      <c r="E222" s="581"/>
      <c r="F222" s="582"/>
      <c r="G222" s="583"/>
      <c r="H222" s="773"/>
      <c r="I222" s="776"/>
      <c r="J222" s="779"/>
      <c r="K222" s="782"/>
    </row>
    <row r="223" spans="3:11" x14ac:dyDescent="0.2">
      <c r="C223" s="569">
        <v>220</v>
      </c>
      <c r="D223" s="580"/>
      <c r="E223" s="581"/>
      <c r="F223" s="582"/>
      <c r="G223" s="583"/>
      <c r="H223" s="773"/>
      <c r="I223" s="776"/>
      <c r="J223" s="779"/>
      <c r="K223" s="782"/>
    </row>
    <row r="224" spans="3:11" x14ac:dyDescent="0.2">
      <c r="C224" s="569">
        <v>221</v>
      </c>
      <c r="D224" s="580"/>
      <c r="E224" s="581"/>
      <c r="F224" s="582"/>
      <c r="G224" s="583"/>
      <c r="H224" s="773"/>
      <c r="I224" s="776"/>
      <c r="J224" s="779"/>
      <c r="K224" s="782"/>
    </row>
    <row r="225" spans="3:11" x14ac:dyDescent="0.2">
      <c r="C225" s="569">
        <v>222</v>
      </c>
      <c r="D225" s="580"/>
      <c r="E225" s="581"/>
      <c r="F225" s="582"/>
      <c r="G225" s="583"/>
      <c r="H225" s="773"/>
      <c r="I225" s="776"/>
      <c r="J225" s="779"/>
      <c r="K225" s="782"/>
    </row>
    <row r="226" spans="3:11" x14ac:dyDescent="0.2">
      <c r="C226" s="569">
        <v>223</v>
      </c>
      <c r="D226" s="580"/>
      <c r="E226" s="581"/>
      <c r="F226" s="582"/>
      <c r="G226" s="583"/>
      <c r="H226" s="773"/>
      <c r="I226" s="776"/>
      <c r="J226" s="779"/>
      <c r="K226" s="782"/>
    </row>
    <row r="227" spans="3:11" x14ac:dyDescent="0.2">
      <c r="C227" s="569">
        <v>224</v>
      </c>
      <c r="D227" s="580"/>
      <c r="E227" s="581"/>
      <c r="F227" s="582"/>
      <c r="G227" s="583"/>
      <c r="H227" s="773"/>
      <c r="I227" s="776"/>
      <c r="J227" s="779"/>
      <c r="K227" s="782"/>
    </row>
    <row r="228" spans="3:11" x14ac:dyDescent="0.2">
      <c r="C228" s="569">
        <v>225</v>
      </c>
      <c r="D228" s="580"/>
      <c r="E228" s="581"/>
      <c r="F228" s="582"/>
      <c r="G228" s="583"/>
      <c r="H228" s="773"/>
      <c r="I228" s="776"/>
      <c r="J228" s="779"/>
      <c r="K228" s="782"/>
    </row>
    <row r="229" spans="3:11" x14ac:dyDescent="0.2">
      <c r="C229" s="569">
        <v>226</v>
      </c>
      <c r="D229" s="580"/>
      <c r="E229" s="581"/>
      <c r="F229" s="582"/>
      <c r="G229" s="583"/>
      <c r="H229" s="773"/>
      <c r="I229" s="776"/>
      <c r="J229" s="779"/>
      <c r="K229" s="782"/>
    </row>
    <row r="230" spans="3:11" x14ac:dyDescent="0.2">
      <c r="C230" s="569">
        <v>227</v>
      </c>
      <c r="D230" s="580"/>
      <c r="E230" s="581"/>
      <c r="F230" s="582"/>
      <c r="G230" s="583"/>
      <c r="H230" s="773"/>
      <c r="I230" s="776"/>
      <c r="J230" s="779"/>
      <c r="K230" s="782"/>
    </row>
    <row r="231" spans="3:11" x14ac:dyDescent="0.2">
      <c r="C231" s="569">
        <v>228</v>
      </c>
      <c r="D231" s="580"/>
      <c r="E231" s="581"/>
      <c r="F231" s="582"/>
      <c r="G231" s="583"/>
      <c r="H231" s="773"/>
      <c r="I231" s="776"/>
      <c r="J231" s="779"/>
      <c r="K231" s="782"/>
    </row>
    <row r="232" spans="3:11" x14ac:dyDescent="0.2">
      <c r="C232" s="569">
        <v>229</v>
      </c>
      <c r="D232" s="580"/>
      <c r="E232" s="581"/>
      <c r="F232" s="582"/>
      <c r="G232" s="583"/>
      <c r="H232" s="773"/>
      <c r="I232" s="776"/>
      <c r="J232" s="779"/>
      <c r="K232" s="782"/>
    </row>
    <row r="233" spans="3:11" x14ac:dyDescent="0.2">
      <c r="C233" s="569">
        <v>230</v>
      </c>
      <c r="D233" s="580"/>
      <c r="E233" s="581"/>
      <c r="F233" s="582"/>
      <c r="G233" s="583"/>
      <c r="H233" s="773"/>
      <c r="I233" s="776"/>
      <c r="J233" s="779"/>
      <c r="K233" s="782"/>
    </row>
    <row r="234" spans="3:11" x14ac:dyDescent="0.2">
      <c r="C234" s="569">
        <v>231</v>
      </c>
      <c r="D234" s="580"/>
      <c r="E234" s="581"/>
      <c r="F234" s="582"/>
      <c r="G234" s="583"/>
      <c r="H234" s="773"/>
      <c r="I234" s="776"/>
      <c r="J234" s="779"/>
      <c r="K234" s="782"/>
    </row>
    <row r="235" spans="3:11" x14ac:dyDescent="0.2">
      <c r="C235" s="569">
        <v>232</v>
      </c>
      <c r="D235" s="580"/>
      <c r="E235" s="581"/>
      <c r="F235" s="582"/>
      <c r="G235" s="583"/>
      <c r="H235" s="773"/>
      <c r="I235" s="776"/>
      <c r="J235" s="779"/>
      <c r="K235" s="782"/>
    </row>
    <row r="236" spans="3:11" x14ac:dyDescent="0.2">
      <c r="C236" s="569">
        <v>233</v>
      </c>
      <c r="D236" s="580"/>
      <c r="E236" s="581"/>
      <c r="F236" s="582"/>
      <c r="G236" s="583"/>
      <c r="H236" s="773"/>
      <c r="I236" s="776"/>
      <c r="J236" s="779"/>
      <c r="K236" s="782"/>
    </row>
    <row r="237" spans="3:11" x14ac:dyDescent="0.2">
      <c r="C237" s="569">
        <v>234</v>
      </c>
      <c r="D237" s="580"/>
      <c r="E237" s="581"/>
      <c r="F237" s="582"/>
      <c r="G237" s="583"/>
      <c r="H237" s="773"/>
      <c r="I237" s="776"/>
      <c r="J237" s="779"/>
      <c r="K237" s="782"/>
    </row>
    <row r="238" spans="3:11" x14ac:dyDescent="0.2">
      <c r="C238" s="569">
        <v>235</v>
      </c>
      <c r="D238" s="580"/>
      <c r="E238" s="581"/>
      <c r="F238" s="582"/>
      <c r="G238" s="583"/>
      <c r="H238" s="773"/>
      <c r="I238" s="776"/>
      <c r="J238" s="779"/>
      <c r="K238" s="782"/>
    </row>
    <row r="239" spans="3:11" x14ac:dyDescent="0.2">
      <c r="C239" s="569">
        <v>236</v>
      </c>
      <c r="D239" s="580"/>
      <c r="E239" s="581"/>
      <c r="F239" s="582"/>
      <c r="G239" s="583"/>
      <c r="H239" s="773"/>
      <c r="I239" s="776"/>
      <c r="J239" s="779"/>
      <c r="K239" s="782"/>
    </row>
    <row r="240" spans="3:11" x14ac:dyDescent="0.2">
      <c r="C240" s="569">
        <v>237</v>
      </c>
      <c r="D240" s="580"/>
      <c r="E240" s="581"/>
      <c r="F240" s="582"/>
      <c r="G240" s="583"/>
      <c r="H240" s="773"/>
      <c r="I240" s="776"/>
      <c r="J240" s="779"/>
      <c r="K240" s="782"/>
    </row>
    <row r="241" spans="3:11" x14ac:dyDescent="0.2">
      <c r="C241" s="569">
        <v>238</v>
      </c>
      <c r="D241" s="580"/>
      <c r="E241" s="581"/>
      <c r="F241" s="582"/>
      <c r="G241" s="583"/>
      <c r="H241" s="773"/>
      <c r="I241" s="776"/>
      <c r="J241" s="779"/>
      <c r="K241" s="782"/>
    </row>
    <row r="242" spans="3:11" x14ac:dyDescent="0.2">
      <c r="C242" s="569">
        <v>239</v>
      </c>
      <c r="D242" s="580"/>
      <c r="E242" s="581"/>
      <c r="F242" s="582"/>
      <c r="G242" s="583"/>
      <c r="H242" s="773"/>
      <c r="I242" s="776"/>
      <c r="J242" s="779"/>
      <c r="K242" s="782"/>
    </row>
    <row r="243" spans="3:11" x14ac:dyDescent="0.2">
      <c r="C243" s="569">
        <v>240</v>
      </c>
      <c r="D243" s="580"/>
      <c r="E243" s="581"/>
      <c r="F243" s="582"/>
      <c r="G243" s="583"/>
      <c r="H243" s="773"/>
      <c r="I243" s="776"/>
      <c r="J243" s="779"/>
      <c r="K243" s="782"/>
    </row>
    <row r="244" spans="3:11" x14ac:dyDescent="0.2">
      <c r="C244" s="569">
        <v>241</v>
      </c>
      <c r="D244" s="580"/>
      <c r="E244" s="581"/>
      <c r="F244" s="582"/>
      <c r="G244" s="583"/>
      <c r="H244" s="773"/>
      <c r="I244" s="776"/>
      <c r="J244" s="779"/>
      <c r="K244" s="782"/>
    </row>
    <row r="245" spans="3:11" x14ac:dyDescent="0.2">
      <c r="C245" s="569">
        <v>242</v>
      </c>
      <c r="D245" s="580"/>
      <c r="E245" s="581"/>
      <c r="F245" s="582"/>
      <c r="G245" s="583"/>
      <c r="H245" s="773"/>
      <c r="I245" s="776"/>
      <c r="J245" s="779"/>
      <c r="K245" s="782"/>
    </row>
    <row r="246" spans="3:11" x14ac:dyDescent="0.2">
      <c r="C246" s="569">
        <v>243</v>
      </c>
      <c r="D246" s="580"/>
      <c r="E246" s="581"/>
      <c r="F246" s="582"/>
      <c r="G246" s="583"/>
      <c r="H246" s="773"/>
      <c r="I246" s="776"/>
      <c r="J246" s="779"/>
      <c r="K246" s="782"/>
    </row>
    <row r="247" spans="3:11" x14ac:dyDescent="0.2">
      <c r="C247" s="569">
        <v>244</v>
      </c>
      <c r="D247" s="580"/>
      <c r="E247" s="581"/>
      <c r="F247" s="582"/>
      <c r="G247" s="583"/>
      <c r="H247" s="773"/>
      <c r="I247" s="776"/>
      <c r="J247" s="779"/>
      <c r="K247" s="782"/>
    </row>
    <row r="248" spans="3:11" x14ac:dyDescent="0.2">
      <c r="C248" s="569">
        <v>245</v>
      </c>
      <c r="D248" s="580"/>
      <c r="E248" s="581"/>
      <c r="F248" s="582"/>
      <c r="G248" s="583"/>
      <c r="H248" s="773"/>
      <c r="I248" s="776"/>
      <c r="J248" s="779"/>
      <c r="K248" s="782"/>
    </row>
    <row r="249" spans="3:11" x14ac:dyDescent="0.2">
      <c r="C249" s="569">
        <v>246</v>
      </c>
      <c r="D249" s="580"/>
      <c r="E249" s="581"/>
      <c r="F249" s="582"/>
      <c r="G249" s="583"/>
      <c r="H249" s="773"/>
      <c r="I249" s="776"/>
      <c r="J249" s="779"/>
      <c r="K249" s="782"/>
    </row>
    <row r="250" spans="3:11" x14ac:dyDescent="0.2">
      <c r="C250" s="569">
        <v>247</v>
      </c>
      <c r="D250" s="580"/>
      <c r="E250" s="581"/>
      <c r="F250" s="582"/>
      <c r="G250" s="583"/>
      <c r="H250" s="773"/>
      <c r="I250" s="776"/>
      <c r="J250" s="779"/>
      <c r="K250" s="782"/>
    </row>
    <row r="251" spans="3:11" x14ac:dyDescent="0.2">
      <c r="C251" s="569">
        <v>248</v>
      </c>
      <c r="D251" s="580"/>
      <c r="E251" s="581"/>
      <c r="F251" s="582"/>
      <c r="G251" s="583"/>
      <c r="H251" s="773"/>
      <c r="I251" s="776"/>
      <c r="J251" s="779"/>
      <c r="K251" s="782"/>
    </row>
    <row r="252" spans="3:11" x14ac:dyDescent="0.2">
      <c r="C252" s="569">
        <v>249</v>
      </c>
      <c r="D252" s="580"/>
      <c r="E252" s="581"/>
      <c r="F252" s="582"/>
      <c r="G252" s="583"/>
      <c r="H252" s="773"/>
      <c r="I252" s="776"/>
      <c r="J252" s="779"/>
      <c r="K252" s="782"/>
    </row>
    <row r="253" spans="3:11" x14ac:dyDescent="0.2">
      <c r="C253" s="569">
        <v>250</v>
      </c>
      <c r="D253" s="580"/>
      <c r="E253" s="581"/>
      <c r="F253" s="582"/>
      <c r="G253" s="583"/>
      <c r="H253" s="773"/>
      <c r="I253" s="776"/>
      <c r="J253" s="779"/>
      <c r="K253" s="782"/>
    </row>
    <row r="254" spans="3:11" x14ac:dyDescent="0.2">
      <c r="C254" s="569">
        <v>251</v>
      </c>
      <c r="D254" s="580"/>
      <c r="E254" s="581"/>
      <c r="F254" s="582"/>
      <c r="G254" s="583"/>
      <c r="H254" s="773"/>
      <c r="I254" s="776"/>
      <c r="J254" s="779"/>
      <c r="K254" s="782"/>
    </row>
    <row r="255" spans="3:11" x14ac:dyDescent="0.2">
      <c r="C255" s="569">
        <v>252</v>
      </c>
      <c r="D255" s="580"/>
      <c r="E255" s="581"/>
      <c r="F255" s="582"/>
      <c r="G255" s="583"/>
      <c r="H255" s="773"/>
      <c r="I255" s="776"/>
      <c r="J255" s="779"/>
      <c r="K255" s="782"/>
    </row>
    <row r="256" spans="3:11" x14ac:dyDescent="0.2">
      <c r="C256" s="569">
        <v>253</v>
      </c>
      <c r="D256" s="580"/>
      <c r="E256" s="581"/>
      <c r="F256" s="582"/>
      <c r="G256" s="583"/>
      <c r="H256" s="773"/>
      <c r="I256" s="776"/>
      <c r="J256" s="779"/>
      <c r="K256" s="782"/>
    </row>
    <row r="257" spans="3:11" x14ac:dyDescent="0.2">
      <c r="C257" s="569">
        <v>254</v>
      </c>
      <c r="D257" s="580"/>
      <c r="E257" s="581"/>
      <c r="F257" s="582"/>
      <c r="G257" s="583"/>
      <c r="H257" s="773"/>
      <c r="I257" s="776"/>
      <c r="J257" s="779"/>
      <c r="K257" s="782"/>
    </row>
    <row r="258" spans="3:11" x14ac:dyDescent="0.2">
      <c r="C258" s="569">
        <v>255</v>
      </c>
      <c r="D258" s="580"/>
      <c r="E258" s="581"/>
      <c r="F258" s="582"/>
      <c r="G258" s="583"/>
      <c r="H258" s="773"/>
      <c r="I258" s="776"/>
      <c r="J258" s="779"/>
      <c r="K258" s="782"/>
    </row>
    <row r="259" spans="3:11" x14ac:dyDescent="0.2">
      <c r="C259" s="569">
        <v>256</v>
      </c>
      <c r="D259" s="580"/>
      <c r="E259" s="581"/>
      <c r="F259" s="582"/>
      <c r="G259" s="583"/>
      <c r="H259" s="773"/>
      <c r="I259" s="776"/>
      <c r="J259" s="779"/>
      <c r="K259" s="782"/>
    </row>
    <row r="260" spans="3:11" x14ac:dyDescent="0.2">
      <c r="C260" s="569">
        <v>257</v>
      </c>
      <c r="D260" s="580"/>
      <c r="E260" s="581"/>
      <c r="F260" s="582"/>
      <c r="G260" s="583"/>
      <c r="H260" s="773"/>
      <c r="I260" s="776"/>
      <c r="J260" s="779"/>
      <c r="K260" s="782"/>
    </row>
    <row r="261" spans="3:11" x14ac:dyDescent="0.2">
      <c r="C261" s="569">
        <v>258</v>
      </c>
      <c r="D261" s="580"/>
      <c r="E261" s="581"/>
      <c r="F261" s="582"/>
      <c r="G261" s="583"/>
      <c r="H261" s="773"/>
      <c r="I261" s="776"/>
      <c r="J261" s="779"/>
      <c r="K261" s="782"/>
    </row>
    <row r="262" spans="3:11" x14ac:dyDescent="0.2">
      <c r="C262" s="569">
        <v>259</v>
      </c>
      <c r="D262" s="580"/>
      <c r="E262" s="581"/>
      <c r="F262" s="582"/>
      <c r="G262" s="583"/>
      <c r="H262" s="773"/>
      <c r="I262" s="776"/>
      <c r="J262" s="779"/>
      <c r="K262" s="782"/>
    </row>
    <row r="263" spans="3:11" x14ac:dyDescent="0.2">
      <c r="C263" s="569">
        <v>260</v>
      </c>
      <c r="D263" s="580"/>
      <c r="E263" s="581"/>
      <c r="F263" s="582"/>
      <c r="G263" s="583"/>
      <c r="H263" s="773"/>
      <c r="I263" s="776"/>
      <c r="J263" s="779"/>
      <c r="K263" s="782"/>
    </row>
    <row r="264" spans="3:11" x14ac:dyDescent="0.2">
      <c r="C264" s="569">
        <v>261</v>
      </c>
      <c r="D264" s="580"/>
      <c r="E264" s="581"/>
      <c r="F264" s="582"/>
      <c r="G264" s="583"/>
      <c r="H264" s="773"/>
      <c r="I264" s="776"/>
      <c r="J264" s="779"/>
      <c r="K264" s="782"/>
    </row>
    <row r="265" spans="3:11" x14ac:dyDescent="0.2">
      <c r="C265" s="569">
        <v>262</v>
      </c>
      <c r="D265" s="580"/>
      <c r="E265" s="581"/>
      <c r="F265" s="582"/>
      <c r="G265" s="583"/>
      <c r="H265" s="773"/>
      <c r="I265" s="776"/>
      <c r="J265" s="779"/>
      <c r="K265" s="782"/>
    </row>
    <row r="266" spans="3:11" x14ac:dyDescent="0.2">
      <c r="C266" s="569">
        <v>263</v>
      </c>
      <c r="D266" s="580"/>
      <c r="E266" s="581"/>
      <c r="F266" s="582"/>
      <c r="G266" s="583"/>
      <c r="H266" s="773"/>
      <c r="I266" s="776"/>
      <c r="J266" s="779"/>
      <c r="K266" s="782"/>
    </row>
    <row r="267" spans="3:11" x14ac:dyDescent="0.2">
      <c r="C267" s="569">
        <v>264</v>
      </c>
      <c r="D267" s="580"/>
      <c r="E267" s="581"/>
      <c r="F267" s="582"/>
      <c r="G267" s="583"/>
      <c r="H267" s="773"/>
      <c r="I267" s="776"/>
      <c r="J267" s="779"/>
      <c r="K267" s="782"/>
    </row>
    <row r="268" spans="3:11" x14ac:dyDescent="0.2">
      <c r="C268" s="569">
        <v>265</v>
      </c>
      <c r="D268" s="580"/>
      <c r="E268" s="581"/>
      <c r="F268" s="582"/>
      <c r="G268" s="583"/>
      <c r="H268" s="773"/>
      <c r="I268" s="776"/>
      <c r="J268" s="779"/>
      <c r="K268" s="782"/>
    </row>
    <row r="269" spans="3:11" x14ac:dyDescent="0.2">
      <c r="C269" s="569">
        <v>266</v>
      </c>
      <c r="D269" s="580"/>
      <c r="E269" s="581"/>
      <c r="F269" s="582"/>
      <c r="G269" s="583"/>
      <c r="H269" s="773"/>
      <c r="I269" s="776"/>
      <c r="J269" s="779"/>
      <c r="K269" s="782"/>
    </row>
    <row r="270" spans="3:11" x14ac:dyDescent="0.2">
      <c r="C270" s="569">
        <v>267</v>
      </c>
      <c r="D270" s="580"/>
      <c r="E270" s="581"/>
      <c r="F270" s="582"/>
      <c r="G270" s="583"/>
      <c r="H270" s="773"/>
      <c r="I270" s="776"/>
      <c r="J270" s="779"/>
      <c r="K270" s="782"/>
    </row>
    <row r="271" spans="3:11" x14ac:dyDescent="0.2">
      <c r="C271" s="569">
        <v>268</v>
      </c>
      <c r="D271" s="580"/>
      <c r="E271" s="581"/>
      <c r="F271" s="582"/>
      <c r="G271" s="583"/>
      <c r="H271" s="773"/>
      <c r="I271" s="776"/>
      <c r="J271" s="779"/>
      <c r="K271" s="782"/>
    </row>
    <row r="272" spans="3:11" x14ac:dyDescent="0.2">
      <c r="C272" s="569">
        <v>269</v>
      </c>
      <c r="D272" s="580"/>
      <c r="E272" s="581"/>
      <c r="F272" s="582"/>
      <c r="G272" s="583"/>
      <c r="H272" s="773"/>
      <c r="I272" s="776"/>
      <c r="J272" s="779"/>
      <c r="K272" s="782"/>
    </row>
    <row r="273" spans="3:11" x14ac:dyDescent="0.2">
      <c r="C273" s="569">
        <v>270</v>
      </c>
      <c r="D273" s="580"/>
      <c r="E273" s="581"/>
      <c r="F273" s="582"/>
      <c r="G273" s="583"/>
      <c r="H273" s="773"/>
      <c r="I273" s="776"/>
      <c r="J273" s="779"/>
      <c r="K273" s="782"/>
    </row>
    <row r="274" spans="3:11" x14ac:dyDescent="0.2">
      <c r="C274" s="569">
        <v>271</v>
      </c>
      <c r="D274" s="580"/>
      <c r="E274" s="581"/>
      <c r="F274" s="582"/>
      <c r="G274" s="583"/>
      <c r="H274" s="773"/>
      <c r="I274" s="776"/>
      <c r="J274" s="779"/>
      <c r="K274" s="782"/>
    </row>
    <row r="275" spans="3:11" x14ac:dyDescent="0.2">
      <c r="C275" s="569">
        <v>272</v>
      </c>
      <c r="D275" s="580"/>
      <c r="E275" s="581"/>
      <c r="F275" s="582"/>
      <c r="G275" s="583"/>
      <c r="H275" s="773"/>
      <c r="I275" s="776"/>
      <c r="J275" s="779"/>
      <c r="K275" s="782"/>
    </row>
    <row r="276" spans="3:11" x14ac:dyDescent="0.2">
      <c r="C276" s="569">
        <v>273</v>
      </c>
      <c r="D276" s="580"/>
      <c r="E276" s="581"/>
      <c r="F276" s="582"/>
      <c r="G276" s="583"/>
      <c r="H276" s="773"/>
      <c r="I276" s="776"/>
      <c r="J276" s="779"/>
      <c r="K276" s="782"/>
    </row>
    <row r="277" spans="3:11" x14ac:dyDescent="0.2">
      <c r="C277" s="569">
        <v>274</v>
      </c>
      <c r="D277" s="580"/>
      <c r="E277" s="581"/>
      <c r="F277" s="582"/>
      <c r="G277" s="583"/>
      <c r="H277" s="773"/>
      <c r="I277" s="776"/>
      <c r="J277" s="779"/>
      <c r="K277" s="782"/>
    </row>
    <row r="278" spans="3:11" x14ac:dyDescent="0.2">
      <c r="C278" s="569">
        <v>275</v>
      </c>
      <c r="D278" s="580"/>
      <c r="E278" s="581"/>
      <c r="F278" s="582"/>
      <c r="G278" s="583"/>
      <c r="H278" s="773"/>
      <c r="I278" s="776"/>
      <c r="J278" s="779"/>
      <c r="K278" s="782"/>
    </row>
    <row r="279" spans="3:11" x14ac:dyDescent="0.2">
      <c r="C279" s="569">
        <v>276</v>
      </c>
      <c r="D279" s="580"/>
      <c r="E279" s="581"/>
      <c r="F279" s="582"/>
      <c r="G279" s="583"/>
      <c r="H279" s="773"/>
      <c r="I279" s="776"/>
      <c r="J279" s="779"/>
      <c r="K279" s="782"/>
    </row>
    <row r="280" spans="3:11" x14ac:dyDescent="0.2">
      <c r="C280" s="569">
        <v>277</v>
      </c>
      <c r="D280" s="580"/>
      <c r="E280" s="581"/>
      <c r="F280" s="582"/>
      <c r="G280" s="583"/>
      <c r="H280" s="773"/>
      <c r="I280" s="776"/>
      <c r="J280" s="779"/>
      <c r="K280" s="782"/>
    </row>
    <row r="281" spans="3:11" x14ac:dyDescent="0.2">
      <c r="C281" s="569">
        <v>278</v>
      </c>
      <c r="D281" s="580"/>
      <c r="E281" s="581"/>
      <c r="F281" s="582"/>
      <c r="G281" s="583"/>
      <c r="H281" s="773"/>
      <c r="I281" s="776"/>
      <c r="J281" s="779"/>
      <c r="K281" s="782"/>
    </row>
    <row r="282" spans="3:11" x14ac:dyDescent="0.2">
      <c r="C282" s="569">
        <v>279</v>
      </c>
      <c r="D282" s="580"/>
      <c r="E282" s="581"/>
      <c r="F282" s="582"/>
      <c r="G282" s="583"/>
      <c r="H282" s="773"/>
      <c r="I282" s="776"/>
      <c r="J282" s="779"/>
      <c r="K282" s="782"/>
    </row>
    <row r="283" spans="3:11" x14ac:dyDescent="0.2">
      <c r="C283" s="569">
        <v>280</v>
      </c>
      <c r="D283" s="580"/>
      <c r="E283" s="581"/>
      <c r="F283" s="582"/>
      <c r="G283" s="583"/>
      <c r="H283" s="773"/>
      <c r="I283" s="776"/>
      <c r="J283" s="779"/>
      <c r="K283" s="782"/>
    </row>
    <row r="284" spans="3:11" x14ac:dyDescent="0.2">
      <c r="C284" s="569">
        <v>281</v>
      </c>
      <c r="D284" s="580"/>
      <c r="E284" s="581"/>
      <c r="F284" s="582"/>
      <c r="G284" s="583"/>
      <c r="H284" s="773"/>
      <c r="I284" s="776"/>
      <c r="J284" s="779"/>
      <c r="K284" s="782"/>
    </row>
    <row r="285" spans="3:11" x14ac:dyDescent="0.2">
      <c r="C285" s="569">
        <v>282</v>
      </c>
      <c r="D285" s="580"/>
      <c r="E285" s="581"/>
      <c r="F285" s="582"/>
      <c r="G285" s="583"/>
      <c r="H285" s="773"/>
      <c r="I285" s="776"/>
      <c r="J285" s="779"/>
      <c r="K285" s="782"/>
    </row>
    <row r="286" spans="3:11" x14ac:dyDescent="0.2">
      <c r="C286" s="569">
        <v>283</v>
      </c>
      <c r="D286" s="580"/>
      <c r="E286" s="581"/>
      <c r="F286" s="582"/>
      <c r="G286" s="583"/>
      <c r="H286" s="773"/>
      <c r="I286" s="776"/>
      <c r="J286" s="779"/>
      <c r="K286" s="782"/>
    </row>
    <row r="287" spans="3:11" x14ac:dyDescent="0.2">
      <c r="C287" s="569">
        <v>284</v>
      </c>
      <c r="D287" s="580"/>
      <c r="E287" s="581"/>
      <c r="F287" s="582"/>
      <c r="G287" s="583"/>
      <c r="H287" s="773"/>
      <c r="I287" s="776"/>
      <c r="J287" s="779"/>
      <c r="K287" s="782"/>
    </row>
    <row r="288" spans="3:11" x14ac:dyDescent="0.2">
      <c r="C288" s="569">
        <v>285</v>
      </c>
      <c r="D288" s="580"/>
      <c r="E288" s="581"/>
      <c r="F288" s="582"/>
      <c r="G288" s="583"/>
      <c r="H288" s="773"/>
      <c r="I288" s="776"/>
      <c r="J288" s="779"/>
      <c r="K288" s="782"/>
    </row>
    <row r="289" spans="3:11" x14ac:dyDescent="0.2">
      <c r="C289" s="569">
        <v>286</v>
      </c>
      <c r="D289" s="580"/>
      <c r="E289" s="581"/>
      <c r="F289" s="582"/>
      <c r="G289" s="583"/>
      <c r="H289" s="773"/>
      <c r="I289" s="776"/>
      <c r="J289" s="779"/>
      <c r="K289" s="782"/>
    </row>
    <row r="290" spans="3:11" x14ac:dyDescent="0.2">
      <c r="C290" s="569">
        <v>287</v>
      </c>
      <c r="D290" s="580"/>
      <c r="E290" s="581"/>
      <c r="F290" s="582"/>
      <c r="G290" s="583"/>
      <c r="H290" s="773"/>
      <c r="I290" s="776"/>
      <c r="J290" s="779"/>
      <c r="K290" s="782"/>
    </row>
    <row r="291" spans="3:11" x14ac:dyDescent="0.2">
      <c r="C291" s="569">
        <v>288</v>
      </c>
      <c r="D291" s="580"/>
      <c r="E291" s="581"/>
      <c r="F291" s="582"/>
      <c r="G291" s="583"/>
      <c r="H291" s="773"/>
      <c r="I291" s="776"/>
      <c r="J291" s="779"/>
      <c r="K291" s="782"/>
    </row>
    <row r="292" spans="3:11" x14ac:dyDescent="0.2">
      <c r="C292" s="569">
        <v>289</v>
      </c>
      <c r="D292" s="580"/>
      <c r="E292" s="581"/>
      <c r="F292" s="582"/>
      <c r="G292" s="583"/>
      <c r="H292" s="773"/>
      <c r="I292" s="776"/>
      <c r="J292" s="779"/>
      <c r="K292" s="782"/>
    </row>
    <row r="293" spans="3:11" x14ac:dyDescent="0.2">
      <c r="C293" s="569">
        <v>290</v>
      </c>
      <c r="D293" s="580"/>
      <c r="E293" s="581"/>
      <c r="F293" s="582"/>
      <c r="G293" s="583"/>
      <c r="H293" s="773"/>
      <c r="I293" s="776"/>
      <c r="J293" s="779"/>
      <c r="K293" s="782"/>
    </row>
    <row r="294" spans="3:11" x14ac:dyDescent="0.2">
      <c r="C294" s="569">
        <v>291</v>
      </c>
      <c r="D294" s="580"/>
      <c r="E294" s="581"/>
      <c r="F294" s="582"/>
      <c r="G294" s="583"/>
      <c r="H294" s="773"/>
      <c r="I294" s="776"/>
      <c r="J294" s="779"/>
      <c r="K294" s="782"/>
    </row>
    <row r="295" spans="3:11" x14ac:dyDescent="0.2">
      <c r="C295" s="569">
        <v>292</v>
      </c>
      <c r="D295" s="580"/>
      <c r="E295" s="581"/>
      <c r="F295" s="582"/>
      <c r="G295" s="583"/>
      <c r="H295" s="773"/>
      <c r="I295" s="776"/>
      <c r="J295" s="779"/>
      <c r="K295" s="782"/>
    </row>
    <row r="296" spans="3:11" x14ac:dyDescent="0.2">
      <c r="C296" s="569">
        <v>293</v>
      </c>
      <c r="D296" s="580"/>
      <c r="E296" s="581"/>
      <c r="F296" s="582"/>
      <c r="G296" s="583"/>
      <c r="H296" s="773"/>
      <c r="I296" s="776"/>
      <c r="J296" s="779"/>
      <c r="K296" s="782"/>
    </row>
    <row r="297" spans="3:11" x14ac:dyDescent="0.2">
      <c r="C297" s="569">
        <v>294</v>
      </c>
      <c r="D297" s="580"/>
      <c r="E297" s="581"/>
      <c r="F297" s="582"/>
      <c r="G297" s="583"/>
      <c r="H297" s="773"/>
      <c r="I297" s="776"/>
      <c r="J297" s="779"/>
      <c r="K297" s="782"/>
    </row>
    <row r="298" spans="3:11" x14ac:dyDescent="0.2">
      <c r="C298" s="569">
        <v>295</v>
      </c>
      <c r="D298" s="580"/>
      <c r="E298" s="581"/>
      <c r="F298" s="582"/>
      <c r="G298" s="583"/>
      <c r="H298" s="773"/>
      <c r="I298" s="776"/>
      <c r="J298" s="779"/>
      <c r="K298" s="782"/>
    </row>
    <row r="299" spans="3:11" x14ac:dyDescent="0.2">
      <c r="C299" s="569">
        <v>296</v>
      </c>
      <c r="D299" s="580"/>
      <c r="E299" s="581"/>
      <c r="F299" s="582"/>
      <c r="G299" s="583"/>
      <c r="H299" s="773"/>
      <c r="I299" s="776"/>
      <c r="J299" s="779"/>
      <c r="K299" s="782"/>
    </row>
    <row r="300" spans="3:11" x14ac:dyDescent="0.2">
      <c r="C300" s="569">
        <v>297</v>
      </c>
      <c r="D300" s="580"/>
      <c r="E300" s="581"/>
      <c r="F300" s="582"/>
      <c r="G300" s="583"/>
      <c r="H300" s="773"/>
      <c r="I300" s="776"/>
      <c r="J300" s="779"/>
      <c r="K300" s="782"/>
    </row>
    <row r="301" spans="3:11" x14ac:dyDescent="0.2">
      <c r="C301" s="569">
        <v>298</v>
      </c>
      <c r="D301" s="580"/>
      <c r="E301" s="581"/>
      <c r="F301" s="582"/>
      <c r="G301" s="583"/>
      <c r="H301" s="773"/>
      <c r="I301" s="776"/>
      <c r="J301" s="779"/>
      <c r="K301" s="782"/>
    </row>
    <row r="302" spans="3:11" x14ac:dyDescent="0.2">
      <c r="C302" s="569">
        <v>299</v>
      </c>
      <c r="D302" s="580"/>
      <c r="E302" s="581"/>
      <c r="F302" s="582"/>
      <c r="G302" s="583"/>
      <c r="H302" s="773"/>
      <c r="I302" s="776"/>
      <c r="J302" s="779"/>
      <c r="K302" s="782"/>
    </row>
    <row r="303" spans="3:11" x14ac:dyDescent="0.2">
      <c r="C303" s="569">
        <v>300</v>
      </c>
      <c r="D303" s="580"/>
      <c r="E303" s="581"/>
      <c r="F303" s="582"/>
      <c r="G303" s="583"/>
      <c r="H303" s="773"/>
      <c r="I303" s="776"/>
      <c r="J303" s="779"/>
      <c r="K303" s="782"/>
    </row>
    <row r="304" spans="3:11" x14ac:dyDescent="0.2">
      <c r="C304" s="569">
        <v>301</v>
      </c>
      <c r="D304" s="580"/>
      <c r="E304" s="581"/>
      <c r="F304" s="582"/>
      <c r="G304" s="583"/>
      <c r="H304" s="773"/>
      <c r="I304" s="776"/>
      <c r="J304" s="779"/>
      <c r="K304" s="782"/>
    </row>
    <row r="305" spans="3:11" x14ac:dyDescent="0.2">
      <c r="C305" s="569">
        <v>302</v>
      </c>
      <c r="D305" s="580"/>
      <c r="E305" s="581"/>
      <c r="F305" s="582"/>
      <c r="G305" s="583"/>
      <c r="H305" s="773"/>
      <c r="I305" s="776"/>
      <c r="J305" s="779"/>
      <c r="K305" s="782"/>
    </row>
    <row r="306" spans="3:11" x14ac:dyDescent="0.2">
      <c r="C306" s="569">
        <v>303</v>
      </c>
      <c r="D306" s="580"/>
      <c r="E306" s="581"/>
      <c r="F306" s="582"/>
      <c r="G306" s="583"/>
      <c r="H306" s="773"/>
      <c r="I306" s="776"/>
      <c r="J306" s="779"/>
      <c r="K306" s="782"/>
    </row>
    <row r="307" spans="3:11" x14ac:dyDescent="0.2">
      <c r="C307" s="569">
        <v>304</v>
      </c>
      <c r="D307" s="580"/>
      <c r="E307" s="581"/>
      <c r="F307" s="582"/>
      <c r="G307" s="583"/>
      <c r="H307" s="773"/>
      <c r="I307" s="776"/>
      <c r="J307" s="779"/>
      <c r="K307" s="782"/>
    </row>
    <row r="308" spans="3:11" x14ac:dyDescent="0.2">
      <c r="C308" s="569">
        <v>305</v>
      </c>
      <c r="D308" s="580"/>
      <c r="E308" s="581"/>
      <c r="F308" s="582"/>
      <c r="G308" s="583"/>
      <c r="H308" s="773"/>
      <c r="I308" s="776"/>
      <c r="J308" s="779"/>
      <c r="K308" s="782"/>
    </row>
    <row r="309" spans="3:11" x14ac:dyDescent="0.2">
      <c r="C309" s="569">
        <v>306</v>
      </c>
      <c r="D309" s="580"/>
      <c r="E309" s="581"/>
      <c r="F309" s="582"/>
      <c r="G309" s="583"/>
      <c r="H309" s="773"/>
      <c r="I309" s="776"/>
      <c r="J309" s="779"/>
      <c r="K309" s="782"/>
    </row>
    <row r="310" spans="3:11" x14ac:dyDescent="0.2">
      <c r="C310" s="569">
        <v>307</v>
      </c>
      <c r="D310" s="580"/>
      <c r="E310" s="581"/>
      <c r="F310" s="582"/>
      <c r="G310" s="583"/>
      <c r="H310" s="773"/>
      <c r="I310" s="776"/>
      <c r="J310" s="779"/>
      <c r="K310" s="782"/>
    </row>
    <row r="311" spans="3:11" x14ac:dyDescent="0.2">
      <c r="C311" s="569">
        <v>308</v>
      </c>
      <c r="D311" s="580"/>
      <c r="E311" s="581"/>
      <c r="F311" s="582"/>
      <c r="G311" s="583"/>
      <c r="H311" s="773"/>
      <c r="I311" s="776"/>
      <c r="J311" s="779"/>
      <c r="K311" s="782"/>
    </row>
    <row r="312" spans="3:11" x14ac:dyDescent="0.2">
      <c r="C312" s="569">
        <v>309</v>
      </c>
      <c r="D312" s="580"/>
      <c r="E312" s="581"/>
      <c r="F312" s="582"/>
      <c r="G312" s="583"/>
      <c r="H312" s="773"/>
      <c r="I312" s="776"/>
      <c r="J312" s="779"/>
      <c r="K312" s="782"/>
    </row>
    <row r="313" spans="3:11" x14ac:dyDescent="0.2">
      <c r="C313" s="569">
        <v>310</v>
      </c>
      <c r="D313" s="580"/>
      <c r="E313" s="581"/>
      <c r="F313" s="582"/>
      <c r="G313" s="583"/>
      <c r="H313" s="773"/>
      <c r="I313" s="776"/>
      <c r="J313" s="779"/>
      <c r="K313" s="782"/>
    </row>
    <row r="314" spans="3:11" x14ac:dyDescent="0.2">
      <c r="C314" s="569">
        <v>311</v>
      </c>
      <c r="D314" s="580"/>
      <c r="E314" s="581"/>
      <c r="F314" s="582"/>
      <c r="G314" s="583"/>
      <c r="H314" s="773"/>
      <c r="I314" s="776"/>
      <c r="J314" s="779"/>
      <c r="K314" s="782"/>
    </row>
    <row r="315" spans="3:11" x14ac:dyDescent="0.2">
      <c r="C315" s="569">
        <v>312</v>
      </c>
      <c r="D315" s="580"/>
      <c r="E315" s="581"/>
      <c r="F315" s="582"/>
      <c r="G315" s="583"/>
      <c r="H315" s="773"/>
      <c r="I315" s="776"/>
      <c r="J315" s="779"/>
      <c r="K315" s="782"/>
    </row>
    <row r="316" spans="3:11" x14ac:dyDescent="0.2">
      <c r="C316" s="569">
        <v>313</v>
      </c>
      <c r="D316" s="580"/>
      <c r="E316" s="581"/>
      <c r="F316" s="582"/>
      <c r="G316" s="583"/>
      <c r="H316" s="773"/>
      <c r="I316" s="776"/>
      <c r="J316" s="779"/>
      <c r="K316" s="782"/>
    </row>
    <row r="317" spans="3:11" x14ac:dyDescent="0.2">
      <c r="C317" s="569">
        <v>314</v>
      </c>
      <c r="D317" s="580"/>
      <c r="E317" s="581"/>
      <c r="F317" s="582"/>
      <c r="G317" s="583"/>
      <c r="H317" s="773"/>
      <c r="I317" s="776"/>
      <c r="J317" s="779"/>
      <c r="K317" s="782"/>
    </row>
    <row r="318" spans="3:11" x14ac:dyDescent="0.2">
      <c r="C318" s="569">
        <v>315</v>
      </c>
      <c r="D318" s="580"/>
      <c r="E318" s="581"/>
      <c r="F318" s="582"/>
      <c r="G318" s="583"/>
      <c r="H318" s="773"/>
      <c r="I318" s="776"/>
      <c r="J318" s="779"/>
      <c r="K318" s="782"/>
    </row>
    <row r="319" spans="3:11" x14ac:dyDescent="0.2">
      <c r="C319" s="569">
        <v>316</v>
      </c>
      <c r="D319" s="580"/>
      <c r="E319" s="581"/>
      <c r="F319" s="582"/>
      <c r="G319" s="583"/>
      <c r="H319" s="773"/>
      <c r="I319" s="776"/>
      <c r="J319" s="779"/>
      <c r="K319" s="782"/>
    </row>
    <row r="320" spans="3:11" x14ac:dyDescent="0.2">
      <c r="C320" s="569">
        <v>317</v>
      </c>
      <c r="D320" s="580"/>
      <c r="E320" s="581"/>
      <c r="F320" s="582"/>
      <c r="G320" s="583"/>
      <c r="H320" s="773"/>
      <c r="I320" s="776"/>
      <c r="J320" s="779"/>
      <c r="K320" s="782"/>
    </row>
    <row r="321" spans="3:11" x14ac:dyDescent="0.2">
      <c r="C321" s="569">
        <v>318</v>
      </c>
      <c r="D321" s="580"/>
      <c r="E321" s="581"/>
      <c r="F321" s="582"/>
      <c r="G321" s="583"/>
      <c r="H321" s="773"/>
      <c r="I321" s="776"/>
      <c r="J321" s="779"/>
      <c r="K321" s="782"/>
    </row>
    <row r="322" spans="3:11" x14ac:dyDescent="0.2">
      <c r="C322" s="569">
        <v>319</v>
      </c>
      <c r="D322" s="580"/>
      <c r="E322" s="581"/>
      <c r="F322" s="582"/>
      <c r="G322" s="583"/>
      <c r="H322" s="773"/>
      <c r="I322" s="776"/>
      <c r="J322" s="779"/>
      <c r="K322" s="782"/>
    </row>
    <row r="323" spans="3:11" x14ac:dyDescent="0.2">
      <c r="C323" s="569">
        <v>320</v>
      </c>
      <c r="D323" s="580"/>
      <c r="E323" s="581"/>
      <c r="F323" s="582"/>
      <c r="G323" s="583"/>
      <c r="H323" s="773"/>
      <c r="I323" s="776"/>
      <c r="J323" s="779"/>
      <c r="K323" s="782"/>
    </row>
    <row r="324" spans="3:11" x14ac:dyDescent="0.2">
      <c r="C324" s="569">
        <v>321</v>
      </c>
      <c r="D324" s="580"/>
      <c r="E324" s="581"/>
      <c r="F324" s="582"/>
      <c r="G324" s="583"/>
      <c r="H324" s="773"/>
      <c r="I324" s="776"/>
      <c r="J324" s="779"/>
      <c r="K324" s="782"/>
    </row>
    <row r="325" spans="3:11" x14ac:dyDescent="0.2">
      <c r="C325" s="569">
        <v>322</v>
      </c>
      <c r="D325" s="580"/>
      <c r="E325" s="581"/>
      <c r="F325" s="582"/>
      <c r="G325" s="583"/>
      <c r="H325" s="773"/>
      <c r="I325" s="776"/>
      <c r="J325" s="779"/>
      <c r="K325" s="782"/>
    </row>
    <row r="326" spans="3:11" x14ac:dyDescent="0.2">
      <c r="C326" s="569">
        <v>323</v>
      </c>
      <c r="D326" s="580"/>
      <c r="E326" s="581"/>
      <c r="F326" s="582"/>
      <c r="G326" s="583"/>
      <c r="H326" s="773"/>
      <c r="I326" s="776"/>
      <c r="J326" s="779"/>
      <c r="K326" s="782"/>
    </row>
    <row r="327" spans="3:11" x14ac:dyDescent="0.2">
      <c r="C327" s="569">
        <v>324</v>
      </c>
      <c r="D327" s="580"/>
      <c r="E327" s="581"/>
      <c r="F327" s="582"/>
      <c r="G327" s="583"/>
      <c r="H327" s="773"/>
      <c r="I327" s="776"/>
      <c r="J327" s="779"/>
      <c r="K327" s="782"/>
    </row>
    <row r="328" spans="3:11" x14ac:dyDescent="0.2">
      <c r="C328" s="569">
        <v>325</v>
      </c>
      <c r="D328" s="580"/>
      <c r="E328" s="581"/>
      <c r="F328" s="582"/>
      <c r="G328" s="583"/>
      <c r="H328" s="773"/>
      <c r="I328" s="776"/>
      <c r="J328" s="779"/>
      <c r="K328" s="782"/>
    </row>
    <row r="329" spans="3:11" x14ac:dyDescent="0.2">
      <c r="C329" s="569">
        <v>326</v>
      </c>
      <c r="D329" s="580"/>
      <c r="E329" s="581"/>
      <c r="F329" s="582"/>
      <c r="G329" s="583"/>
      <c r="H329" s="773"/>
      <c r="I329" s="776"/>
      <c r="J329" s="779"/>
      <c r="K329" s="782"/>
    </row>
    <row r="330" spans="3:11" x14ac:dyDescent="0.2">
      <c r="C330" s="569">
        <v>327</v>
      </c>
      <c r="D330" s="580"/>
      <c r="E330" s="581"/>
      <c r="F330" s="582"/>
      <c r="G330" s="583"/>
      <c r="H330" s="773"/>
      <c r="I330" s="776"/>
      <c r="J330" s="779"/>
      <c r="K330" s="782"/>
    </row>
    <row r="331" spans="3:11" x14ac:dyDescent="0.2">
      <c r="C331" s="569">
        <v>328</v>
      </c>
      <c r="D331" s="580"/>
      <c r="E331" s="581"/>
      <c r="F331" s="582"/>
      <c r="G331" s="583"/>
      <c r="H331" s="773"/>
      <c r="I331" s="776"/>
      <c r="J331" s="779"/>
      <c r="K331" s="782"/>
    </row>
    <row r="332" spans="3:11" x14ac:dyDescent="0.2">
      <c r="C332" s="569">
        <v>329</v>
      </c>
      <c r="D332" s="580"/>
      <c r="E332" s="581"/>
      <c r="F332" s="582"/>
      <c r="G332" s="583"/>
      <c r="H332" s="773"/>
      <c r="I332" s="776"/>
      <c r="J332" s="779"/>
      <c r="K332" s="782"/>
    </row>
    <row r="333" spans="3:11" x14ac:dyDescent="0.2">
      <c r="C333" s="569">
        <v>330</v>
      </c>
      <c r="D333" s="580"/>
      <c r="E333" s="581"/>
      <c r="F333" s="582"/>
      <c r="G333" s="583"/>
      <c r="H333" s="773"/>
      <c r="I333" s="776"/>
      <c r="J333" s="779"/>
      <c r="K333" s="782"/>
    </row>
    <row r="334" spans="3:11" x14ac:dyDescent="0.2">
      <c r="C334" s="569">
        <v>331</v>
      </c>
      <c r="D334" s="580"/>
      <c r="E334" s="581"/>
      <c r="F334" s="582"/>
      <c r="G334" s="583"/>
      <c r="H334" s="773"/>
      <c r="I334" s="776"/>
      <c r="J334" s="779"/>
      <c r="K334" s="782"/>
    </row>
    <row r="335" spans="3:11" x14ac:dyDescent="0.2">
      <c r="C335" s="569">
        <v>332</v>
      </c>
      <c r="D335" s="580"/>
      <c r="E335" s="581"/>
      <c r="F335" s="582"/>
      <c r="G335" s="583"/>
      <c r="H335" s="773"/>
      <c r="I335" s="776"/>
      <c r="J335" s="779"/>
      <c r="K335" s="782"/>
    </row>
    <row r="336" spans="3:11" x14ac:dyDescent="0.2">
      <c r="C336" s="569">
        <v>333</v>
      </c>
      <c r="D336" s="580"/>
      <c r="E336" s="581"/>
      <c r="F336" s="582"/>
      <c r="G336" s="583"/>
      <c r="H336" s="773"/>
      <c r="I336" s="776"/>
      <c r="J336" s="779"/>
      <c r="K336" s="782"/>
    </row>
    <row r="337" spans="3:11" x14ac:dyDescent="0.2">
      <c r="C337" s="569">
        <v>334</v>
      </c>
      <c r="D337" s="580"/>
      <c r="E337" s="581"/>
      <c r="F337" s="582"/>
      <c r="G337" s="583"/>
      <c r="H337" s="773"/>
      <c r="I337" s="776"/>
      <c r="J337" s="779"/>
      <c r="K337" s="782"/>
    </row>
    <row r="338" spans="3:11" x14ac:dyDescent="0.2">
      <c r="C338" s="569">
        <v>335</v>
      </c>
      <c r="D338" s="580"/>
      <c r="E338" s="581"/>
      <c r="F338" s="582"/>
      <c r="G338" s="583"/>
      <c r="H338" s="773"/>
      <c r="I338" s="776"/>
      <c r="J338" s="779"/>
      <c r="K338" s="782"/>
    </row>
    <row r="339" spans="3:11" x14ac:dyDescent="0.2">
      <c r="C339" s="569">
        <v>336</v>
      </c>
      <c r="D339" s="580"/>
      <c r="E339" s="581"/>
      <c r="F339" s="582"/>
      <c r="G339" s="583"/>
      <c r="H339" s="773"/>
      <c r="I339" s="776"/>
      <c r="J339" s="779"/>
      <c r="K339" s="782"/>
    </row>
    <row r="340" spans="3:11" x14ac:dyDescent="0.2">
      <c r="C340" s="569">
        <v>337</v>
      </c>
      <c r="D340" s="580"/>
      <c r="E340" s="581"/>
      <c r="F340" s="582"/>
      <c r="G340" s="583"/>
      <c r="H340" s="773"/>
      <c r="I340" s="776"/>
      <c r="J340" s="779"/>
      <c r="K340" s="782"/>
    </row>
    <row r="341" spans="3:11" x14ac:dyDescent="0.2">
      <c r="C341" s="569">
        <v>338</v>
      </c>
      <c r="D341" s="580"/>
      <c r="E341" s="581"/>
      <c r="F341" s="582"/>
      <c r="G341" s="583"/>
      <c r="H341" s="773"/>
      <c r="I341" s="776"/>
      <c r="J341" s="779"/>
      <c r="K341" s="782"/>
    </row>
    <row r="342" spans="3:11" x14ac:dyDescent="0.2">
      <c r="C342" s="569">
        <v>339</v>
      </c>
      <c r="D342" s="580"/>
      <c r="E342" s="581"/>
      <c r="F342" s="582"/>
      <c r="G342" s="583"/>
      <c r="H342" s="773"/>
      <c r="I342" s="776"/>
      <c r="J342" s="779"/>
      <c r="K342" s="782"/>
    </row>
    <row r="343" spans="3:11" x14ac:dyDescent="0.2">
      <c r="C343" s="569">
        <v>340</v>
      </c>
      <c r="D343" s="580"/>
      <c r="E343" s="581"/>
      <c r="F343" s="582"/>
      <c r="G343" s="583"/>
      <c r="H343" s="773"/>
      <c r="I343" s="776"/>
      <c r="J343" s="779"/>
      <c r="K343" s="782"/>
    </row>
    <row r="344" spans="3:11" x14ac:dyDescent="0.2">
      <c r="C344" s="569">
        <v>341</v>
      </c>
      <c r="D344" s="580"/>
      <c r="E344" s="581"/>
      <c r="F344" s="582"/>
      <c r="G344" s="583"/>
      <c r="H344" s="773"/>
      <c r="I344" s="776"/>
      <c r="J344" s="779"/>
      <c r="K344" s="782"/>
    </row>
    <row r="345" spans="3:11" x14ac:dyDescent="0.2">
      <c r="C345" s="569">
        <v>342</v>
      </c>
      <c r="D345" s="580"/>
      <c r="E345" s="581"/>
      <c r="F345" s="582"/>
      <c r="G345" s="583"/>
      <c r="H345" s="773"/>
      <c r="I345" s="776"/>
      <c r="J345" s="779"/>
      <c r="K345" s="782"/>
    </row>
    <row r="346" spans="3:11" x14ac:dyDescent="0.2">
      <c r="C346" s="569">
        <v>343</v>
      </c>
      <c r="D346" s="580"/>
      <c r="E346" s="581"/>
      <c r="F346" s="582"/>
      <c r="G346" s="583"/>
      <c r="H346" s="773"/>
      <c r="I346" s="776"/>
      <c r="J346" s="779"/>
      <c r="K346" s="782"/>
    </row>
    <row r="347" spans="3:11" x14ac:dyDescent="0.2">
      <c r="C347" s="569">
        <v>344</v>
      </c>
      <c r="D347" s="580"/>
      <c r="E347" s="581"/>
      <c r="F347" s="582"/>
      <c r="G347" s="583"/>
      <c r="H347" s="773"/>
      <c r="I347" s="776"/>
      <c r="J347" s="779"/>
      <c r="K347" s="782"/>
    </row>
    <row r="348" spans="3:11" x14ac:dyDescent="0.2">
      <c r="C348" s="569">
        <v>345</v>
      </c>
      <c r="D348" s="580"/>
      <c r="E348" s="581"/>
      <c r="F348" s="582"/>
      <c r="G348" s="583"/>
      <c r="H348" s="773"/>
      <c r="I348" s="776"/>
      <c r="J348" s="779"/>
      <c r="K348" s="782"/>
    </row>
    <row r="349" spans="3:11" x14ac:dyDescent="0.2">
      <c r="C349" s="569">
        <v>346</v>
      </c>
      <c r="D349" s="580"/>
      <c r="E349" s="581"/>
      <c r="F349" s="582"/>
      <c r="G349" s="583"/>
      <c r="H349" s="773"/>
      <c r="I349" s="776"/>
      <c r="J349" s="779"/>
      <c r="K349" s="782"/>
    </row>
    <row r="350" spans="3:11" x14ac:dyDescent="0.2">
      <c r="C350" s="569">
        <v>347</v>
      </c>
      <c r="D350" s="580"/>
      <c r="E350" s="581"/>
      <c r="F350" s="582"/>
      <c r="G350" s="583"/>
      <c r="H350" s="773"/>
      <c r="I350" s="776"/>
      <c r="J350" s="779"/>
      <c r="K350" s="782"/>
    </row>
    <row r="351" spans="3:11" x14ac:dyDescent="0.2">
      <c r="C351" s="569">
        <v>348</v>
      </c>
      <c r="D351" s="580"/>
      <c r="E351" s="581"/>
      <c r="F351" s="582"/>
      <c r="G351" s="583"/>
      <c r="H351" s="773"/>
      <c r="I351" s="776"/>
      <c r="J351" s="779"/>
      <c r="K351" s="782"/>
    </row>
    <row r="352" spans="3:11" x14ac:dyDescent="0.2">
      <c r="C352" s="569">
        <v>349</v>
      </c>
      <c r="D352" s="580"/>
      <c r="E352" s="581"/>
      <c r="F352" s="582"/>
      <c r="G352" s="583"/>
      <c r="H352" s="773"/>
      <c r="I352" s="776"/>
      <c r="J352" s="779"/>
      <c r="K352" s="782"/>
    </row>
    <row r="353" spans="3:11" x14ac:dyDescent="0.2">
      <c r="C353" s="569">
        <v>350</v>
      </c>
      <c r="D353" s="580"/>
      <c r="E353" s="581"/>
      <c r="F353" s="582"/>
      <c r="G353" s="583"/>
      <c r="H353" s="773"/>
      <c r="I353" s="776"/>
      <c r="J353" s="779"/>
      <c r="K353" s="782"/>
    </row>
    <row r="354" spans="3:11" x14ac:dyDescent="0.2">
      <c r="C354" s="569">
        <v>351</v>
      </c>
      <c r="D354" s="580"/>
      <c r="E354" s="581"/>
      <c r="F354" s="582"/>
      <c r="G354" s="583"/>
      <c r="H354" s="773"/>
      <c r="I354" s="776"/>
      <c r="J354" s="779"/>
      <c r="K354" s="782"/>
    </row>
    <row r="355" spans="3:11" x14ac:dyDescent="0.2">
      <c r="C355" s="569">
        <v>352</v>
      </c>
      <c r="D355" s="580"/>
      <c r="E355" s="581"/>
      <c r="F355" s="582"/>
      <c r="G355" s="583"/>
      <c r="H355" s="773"/>
      <c r="I355" s="776"/>
      <c r="J355" s="779"/>
      <c r="K355" s="782"/>
    </row>
    <row r="356" spans="3:11" x14ac:dyDescent="0.2">
      <c r="C356" s="569">
        <v>353</v>
      </c>
      <c r="D356" s="580"/>
      <c r="E356" s="581"/>
      <c r="F356" s="582"/>
      <c r="G356" s="583"/>
      <c r="H356" s="773"/>
      <c r="I356" s="776"/>
      <c r="J356" s="779"/>
      <c r="K356" s="782"/>
    </row>
    <row r="357" spans="3:11" x14ac:dyDescent="0.2">
      <c r="C357" s="569">
        <v>354</v>
      </c>
      <c r="D357" s="580"/>
      <c r="E357" s="581"/>
      <c r="F357" s="582"/>
      <c r="G357" s="583"/>
      <c r="H357" s="773"/>
      <c r="I357" s="776"/>
      <c r="J357" s="779"/>
      <c r="K357" s="782"/>
    </row>
    <row r="358" spans="3:11" x14ac:dyDescent="0.2">
      <c r="C358" s="569">
        <v>355</v>
      </c>
      <c r="D358" s="580"/>
      <c r="E358" s="581"/>
      <c r="F358" s="582"/>
      <c r="G358" s="583"/>
      <c r="H358" s="773"/>
      <c r="I358" s="776"/>
      <c r="J358" s="779"/>
      <c r="K358" s="782"/>
    </row>
    <row r="359" spans="3:11" x14ac:dyDescent="0.2">
      <c r="C359" s="569">
        <v>356</v>
      </c>
      <c r="D359" s="580"/>
      <c r="E359" s="581"/>
      <c r="F359" s="582"/>
      <c r="G359" s="583"/>
      <c r="H359" s="773"/>
      <c r="I359" s="776"/>
      <c r="J359" s="779"/>
      <c r="K359" s="782"/>
    </row>
    <row r="360" spans="3:11" x14ac:dyDescent="0.2">
      <c r="C360" s="569">
        <v>357</v>
      </c>
      <c r="D360" s="580"/>
      <c r="E360" s="581"/>
      <c r="F360" s="582"/>
      <c r="G360" s="583"/>
      <c r="H360" s="773"/>
      <c r="I360" s="776"/>
      <c r="J360" s="779"/>
      <c r="K360" s="782"/>
    </row>
    <row r="361" spans="3:11" x14ac:dyDescent="0.2">
      <c r="C361" s="569">
        <v>358</v>
      </c>
      <c r="D361" s="580"/>
      <c r="E361" s="581"/>
      <c r="F361" s="582"/>
      <c r="G361" s="583"/>
      <c r="H361" s="773"/>
      <c r="I361" s="776"/>
      <c r="J361" s="779"/>
      <c r="K361" s="782"/>
    </row>
    <row r="362" spans="3:11" x14ac:dyDescent="0.2">
      <c r="C362" s="569">
        <v>359</v>
      </c>
      <c r="D362" s="580"/>
      <c r="E362" s="581"/>
      <c r="F362" s="582"/>
      <c r="G362" s="583"/>
      <c r="H362" s="773"/>
      <c r="I362" s="776"/>
      <c r="J362" s="779"/>
      <c r="K362" s="782"/>
    </row>
    <row r="363" spans="3:11" x14ac:dyDescent="0.2">
      <c r="C363" s="569">
        <v>360</v>
      </c>
      <c r="D363" s="580"/>
      <c r="E363" s="581"/>
      <c r="F363" s="582"/>
      <c r="G363" s="583"/>
      <c r="H363" s="773"/>
      <c r="I363" s="776"/>
      <c r="J363" s="779"/>
      <c r="K363" s="782"/>
    </row>
    <row r="364" spans="3:11" x14ac:dyDescent="0.2">
      <c r="C364" s="569">
        <v>361</v>
      </c>
      <c r="D364" s="580"/>
      <c r="E364" s="581"/>
      <c r="F364" s="582"/>
      <c r="G364" s="583"/>
      <c r="H364" s="773"/>
      <c r="I364" s="776"/>
      <c r="J364" s="779"/>
      <c r="K364" s="782"/>
    </row>
    <row r="365" spans="3:11" x14ac:dyDescent="0.2">
      <c r="C365" s="569">
        <v>362</v>
      </c>
      <c r="D365" s="580"/>
      <c r="E365" s="581"/>
      <c r="F365" s="582"/>
      <c r="G365" s="583"/>
      <c r="H365" s="773"/>
      <c r="I365" s="776"/>
      <c r="J365" s="779"/>
      <c r="K365" s="782"/>
    </row>
    <row r="366" spans="3:11" x14ac:dyDescent="0.2">
      <c r="C366" s="569">
        <v>363</v>
      </c>
      <c r="D366" s="580"/>
      <c r="E366" s="581"/>
      <c r="F366" s="582"/>
      <c r="G366" s="583"/>
      <c r="H366" s="773"/>
      <c r="I366" s="776"/>
      <c r="J366" s="779"/>
      <c r="K366" s="782"/>
    </row>
    <row r="367" spans="3:11" x14ac:dyDescent="0.2">
      <c r="C367" s="569">
        <v>364</v>
      </c>
      <c r="D367" s="580"/>
      <c r="E367" s="581"/>
      <c r="F367" s="582"/>
      <c r="G367" s="583"/>
      <c r="H367" s="773"/>
      <c r="I367" s="776"/>
      <c r="J367" s="779"/>
      <c r="K367" s="782"/>
    </row>
    <row r="368" spans="3:11" x14ac:dyDescent="0.2">
      <c r="C368" s="569">
        <v>365</v>
      </c>
      <c r="D368" s="580"/>
      <c r="E368" s="581"/>
      <c r="F368" s="582"/>
      <c r="G368" s="583"/>
      <c r="H368" s="773"/>
      <c r="I368" s="776"/>
      <c r="J368" s="779"/>
      <c r="K368" s="782"/>
    </row>
    <row r="369" spans="3:11" x14ac:dyDescent="0.2">
      <c r="C369" s="569">
        <v>366</v>
      </c>
      <c r="D369" s="580"/>
      <c r="E369" s="581"/>
      <c r="F369" s="582"/>
      <c r="G369" s="583"/>
      <c r="H369" s="773"/>
      <c r="I369" s="776"/>
      <c r="J369" s="779"/>
      <c r="K369" s="782"/>
    </row>
    <row r="370" spans="3:11" x14ac:dyDescent="0.2">
      <c r="C370" s="569">
        <v>367</v>
      </c>
      <c r="D370" s="580"/>
      <c r="E370" s="581"/>
      <c r="F370" s="582"/>
      <c r="G370" s="583"/>
      <c r="H370" s="773"/>
      <c r="I370" s="776"/>
      <c r="J370" s="779"/>
      <c r="K370" s="782"/>
    </row>
    <row r="371" spans="3:11" x14ac:dyDescent="0.2">
      <c r="C371" s="569">
        <v>368</v>
      </c>
      <c r="D371" s="580"/>
      <c r="E371" s="581"/>
      <c r="F371" s="582"/>
      <c r="G371" s="583"/>
      <c r="H371" s="773"/>
      <c r="I371" s="776"/>
      <c r="J371" s="779"/>
      <c r="K371" s="782"/>
    </row>
    <row r="372" spans="3:11" x14ac:dyDescent="0.2">
      <c r="C372" s="569">
        <v>369</v>
      </c>
      <c r="D372" s="580"/>
      <c r="E372" s="581"/>
      <c r="F372" s="582"/>
      <c r="G372" s="583"/>
      <c r="H372" s="773"/>
      <c r="I372" s="776"/>
      <c r="J372" s="779"/>
      <c r="K372" s="782"/>
    </row>
    <row r="373" spans="3:11" x14ac:dyDescent="0.2">
      <c r="C373" s="569">
        <v>370</v>
      </c>
      <c r="D373" s="580"/>
      <c r="E373" s="581"/>
      <c r="F373" s="582"/>
      <c r="G373" s="583"/>
      <c r="H373" s="773"/>
      <c r="I373" s="776"/>
      <c r="J373" s="779"/>
      <c r="K373" s="782"/>
    </row>
    <row r="374" spans="3:11" x14ac:dyDescent="0.2">
      <c r="C374" s="569">
        <v>371</v>
      </c>
      <c r="D374" s="580"/>
      <c r="E374" s="581"/>
      <c r="F374" s="582"/>
      <c r="G374" s="583"/>
      <c r="H374" s="773"/>
      <c r="I374" s="776"/>
      <c r="J374" s="779"/>
      <c r="K374" s="782"/>
    </row>
    <row r="375" spans="3:11" x14ac:dyDescent="0.2">
      <c r="C375" s="569">
        <v>372</v>
      </c>
      <c r="D375" s="580"/>
      <c r="E375" s="581"/>
      <c r="F375" s="582"/>
      <c r="G375" s="583"/>
      <c r="H375" s="773"/>
      <c r="I375" s="776"/>
      <c r="J375" s="779"/>
      <c r="K375" s="782"/>
    </row>
    <row r="376" spans="3:11" x14ac:dyDescent="0.2">
      <c r="C376" s="569">
        <v>373</v>
      </c>
      <c r="D376" s="580"/>
      <c r="E376" s="581"/>
      <c r="F376" s="582"/>
      <c r="G376" s="583"/>
      <c r="H376" s="773"/>
      <c r="I376" s="776"/>
      <c r="J376" s="779"/>
      <c r="K376" s="782"/>
    </row>
    <row r="377" spans="3:11" x14ac:dyDescent="0.2">
      <c r="C377" s="569">
        <v>374</v>
      </c>
      <c r="D377" s="580"/>
      <c r="E377" s="581"/>
      <c r="F377" s="582"/>
      <c r="G377" s="583"/>
      <c r="H377" s="773"/>
      <c r="I377" s="776"/>
      <c r="J377" s="779"/>
      <c r="K377" s="782"/>
    </row>
    <row r="378" spans="3:11" x14ac:dyDescent="0.2">
      <c r="C378" s="569">
        <v>375</v>
      </c>
      <c r="D378" s="580"/>
      <c r="E378" s="581"/>
      <c r="F378" s="582"/>
      <c r="G378" s="583"/>
      <c r="H378" s="773"/>
      <c r="I378" s="776"/>
      <c r="J378" s="779"/>
      <c r="K378" s="782"/>
    </row>
    <row r="379" spans="3:11" x14ac:dyDescent="0.2">
      <c r="C379" s="569">
        <v>376</v>
      </c>
      <c r="D379" s="580"/>
      <c r="E379" s="581"/>
      <c r="F379" s="582"/>
      <c r="G379" s="583"/>
      <c r="H379" s="773"/>
      <c r="I379" s="776"/>
      <c r="J379" s="779"/>
      <c r="K379" s="782"/>
    </row>
    <row r="380" spans="3:11" x14ac:dyDescent="0.2">
      <c r="C380" s="569">
        <v>377</v>
      </c>
      <c r="D380" s="580"/>
      <c r="E380" s="581"/>
      <c r="F380" s="582"/>
      <c r="G380" s="583"/>
      <c r="H380" s="773"/>
      <c r="I380" s="776"/>
      <c r="J380" s="779"/>
      <c r="K380" s="782"/>
    </row>
    <row r="381" spans="3:11" x14ac:dyDescent="0.2">
      <c r="C381" s="569">
        <v>378</v>
      </c>
      <c r="D381" s="580"/>
      <c r="E381" s="581"/>
      <c r="F381" s="582"/>
      <c r="G381" s="583"/>
      <c r="H381" s="773"/>
      <c r="I381" s="776"/>
      <c r="J381" s="779"/>
      <c r="K381" s="782"/>
    </row>
    <row r="382" spans="3:11" x14ac:dyDescent="0.2">
      <c r="C382" s="569">
        <v>379</v>
      </c>
      <c r="D382" s="580"/>
      <c r="E382" s="581"/>
      <c r="F382" s="582"/>
      <c r="G382" s="583"/>
      <c r="H382" s="773"/>
      <c r="I382" s="776"/>
      <c r="J382" s="779"/>
      <c r="K382" s="782"/>
    </row>
    <row r="383" spans="3:11" x14ac:dyDescent="0.2">
      <c r="C383" s="569">
        <v>380</v>
      </c>
      <c r="D383" s="580"/>
      <c r="E383" s="581"/>
      <c r="F383" s="582"/>
      <c r="G383" s="583"/>
      <c r="H383" s="773"/>
      <c r="I383" s="776"/>
      <c r="J383" s="779"/>
      <c r="K383" s="782"/>
    </row>
    <row r="384" spans="3:11" x14ac:dyDescent="0.2">
      <c r="C384" s="569">
        <v>381</v>
      </c>
      <c r="D384" s="580"/>
      <c r="E384" s="581"/>
      <c r="F384" s="582"/>
      <c r="G384" s="583"/>
      <c r="H384" s="773"/>
      <c r="I384" s="776"/>
      <c r="J384" s="779"/>
      <c r="K384" s="782"/>
    </row>
    <row r="385" spans="3:11" x14ac:dyDescent="0.2">
      <c r="C385" s="569">
        <v>382</v>
      </c>
      <c r="D385" s="580"/>
      <c r="E385" s="581"/>
      <c r="F385" s="582"/>
      <c r="G385" s="583"/>
      <c r="H385" s="773"/>
      <c r="I385" s="776"/>
      <c r="J385" s="779"/>
      <c r="K385" s="782"/>
    </row>
    <row r="386" spans="3:11" x14ac:dyDescent="0.2">
      <c r="C386" s="569">
        <v>383</v>
      </c>
      <c r="D386" s="580"/>
      <c r="E386" s="581"/>
      <c r="F386" s="582"/>
      <c r="G386" s="583"/>
      <c r="H386" s="773"/>
      <c r="I386" s="776"/>
      <c r="J386" s="779"/>
      <c r="K386" s="782"/>
    </row>
    <row r="387" spans="3:11" x14ac:dyDescent="0.2">
      <c r="C387" s="569">
        <v>384</v>
      </c>
      <c r="D387" s="580"/>
      <c r="E387" s="581"/>
      <c r="F387" s="582"/>
      <c r="G387" s="583"/>
      <c r="H387" s="773"/>
      <c r="I387" s="776"/>
      <c r="J387" s="779"/>
      <c r="K387" s="782"/>
    </row>
    <row r="388" spans="3:11" x14ac:dyDescent="0.2">
      <c r="C388" s="569">
        <v>385</v>
      </c>
      <c r="D388" s="580"/>
      <c r="E388" s="581"/>
      <c r="F388" s="582"/>
      <c r="G388" s="583"/>
      <c r="H388" s="773"/>
      <c r="I388" s="776"/>
      <c r="J388" s="779"/>
      <c r="K388" s="782"/>
    </row>
    <row r="389" spans="3:11" x14ac:dyDescent="0.2">
      <c r="C389" s="569">
        <v>386</v>
      </c>
      <c r="D389" s="580"/>
      <c r="E389" s="581"/>
      <c r="F389" s="582"/>
      <c r="G389" s="583"/>
      <c r="H389" s="773"/>
      <c r="I389" s="776"/>
      <c r="J389" s="779"/>
      <c r="K389" s="782"/>
    </row>
    <row r="390" spans="3:11" x14ac:dyDescent="0.2">
      <c r="C390" s="569">
        <v>387</v>
      </c>
      <c r="D390" s="580"/>
      <c r="E390" s="581"/>
      <c r="F390" s="582"/>
      <c r="G390" s="583"/>
      <c r="H390" s="773"/>
      <c r="I390" s="776"/>
      <c r="J390" s="779"/>
      <c r="K390" s="782"/>
    </row>
    <row r="391" spans="3:11" x14ac:dyDescent="0.2">
      <c r="C391" s="569">
        <v>388</v>
      </c>
      <c r="D391" s="580"/>
      <c r="E391" s="581"/>
      <c r="F391" s="582"/>
      <c r="G391" s="583"/>
      <c r="H391" s="773"/>
      <c r="I391" s="776"/>
      <c r="J391" s="779"/>
      <c r="K391" s="782"/>
    </row>
    <row r="392" spans="3:11" x14ac:dyDescent="0.2">
      <c r="C392" s="569">
        <v>389</v>
      </c>
      <c r="D392" s="580"/>
      <c r="E392" s="581"/>
      <c r="F392" s="582"/>
      <c r="G392" s="583"/>
      <c r="H392" s="773"/>
      <c r="I392" s="776"/>
      <c r="J392" s="779"/>
      <c r="K392" s="782"/>
    </row>
    <row r="393" spans="3:11" x14ac:dyDescent="0.2">
      <c r="C393" s="569">
        <v>390</v>
      </c>
      <c r="D393" s="580"/>
      <c r="E393" s="581"/>
      <c r="F393" s="582"/>
      <c r="G393" s="583"/>
      <c r="H393" s="773"/>
      <c r="I393" s="776"/>
      <c r="J393" s="779"/>
      <c r="K393" s="782"/>
    </row>
    <row r="394" spans="3:11" x14ac:dyDescent="0.2">
      <c r="C394" s="569">
        <v>391</v>
      </c>
      <c r="D394" s="580"/>
      <c r="E394" s="581"/>
      <c r="F394" s="582"/>
      <c r="G394" s="583"/>
      <c r="H394" s="773"/>
      <c r="I394" s="776"/>
      <c r="J394" s="779"/>
      <c r="K394" s="782"/>
    </row>
    <row r="395" spans="3:11" x14ac:dyDescent="0.2">
      <c r="C395" s="569">
        <v>392</v>
      </c>
      <c r="D395" s="580"/>
      <c r="E395" s="581"/>
      <c r="F395" s="582"/>
      <c r="G395" s="583"/>
      <c r="H395" s="773"/>
      <c r="I395" s="776"/>
      <c r="J395" s="779"/>
      <c r="K395" s="782"/>
    </row>
    <row r="396" spans="3:11" x14ac:dyDescent="0.2">
      <c r="C396" s="569">
        <v>393</v>
      </c>
      <c r="D396" s="580"/>
      <c r="E396" s="581"/>
      <c r="F396" s="582"/>
      <c r="G396" s="583"/>
      <c r="H396" s="773"/>
      <c r="I396" s="776"/>
      <c r="J396" s="779"/>
      <c r="K396" s="782"/>
    </row>
    <row r="397" spans="3:11" x14ac:dyDescent="0.2">
      <c r="C397" s="569">
        <v>394</v>
      </c>
      <c r="D397" s="580"/>
      <c r="E397" s="581"/>
      <c r="F397" s="582"/>
      <c r="G397" s="583"/>
      <c r="H397" s="773"/>
      <c r="I397" s="776"/>
      <c r="J397" s="779"/>
      <c r="K397" s="782"/>
    </row>
    <row r="398" spans="3:11" x14ac:dyDescent="0.2">
      <c r="C398" s="569">
        <v>395</v>
      </c>
      <c r="D398" s="580"/>
      <c r="E398" s="581"/>
      <c r="F398" s="582"/>
      <c r="G398" s="583"/>
      <c r="H398" s="773"/>
      <c r="I398" s="776"/>
      <c r="J398" s="779"/>
      <c r="K398" s="782"/>
    </row>
    <row r="399" spans="3:11" x14ac:dyDescent="0.2">
      <c r="C399" s="569">
        <v>396</v>
      </c>
      <c r="D399" s="580"/>
      <c r="E399" s="581"/>
      <c r="F399" s="582"/>
      <c r="G399" s="583"/>
      <c r="H399" s="773"/>
      <c r="I399" s="776"/>
      <c r="J399" s="779"/>
      <c r="K399" s="782"/>
    </row>
    <row r="400" spans="3:11" x14ac:dyDescent="0.2">
      <c r="C400" s="569">
        <v>397</v>
      </c>
      <c r="D400" s="580"/>
      <c r="E400" s="581"/>
      <c r="F400" s="582"/>
      <c r="G400" s="583"/>
      <c r="H400" s="773"/>
      <c r="I400" s="776"/>
      <c r="J400" s="779"/>
      <c r="K400" s="782"/>
    </row>
    <row r="401" spans="3:11" x14ac:dyDescent="0.2">
      <c r="C401" s="569">
        <v>398</v>
      </c>
      <c r="D401" s="580"/>
      <c r="E401" s="581"/>
      <c r="F401" s="582"/>
      <c r="G401" s="583"/>
      <c r="H401" s="773"/>
      <c r="I401" s="776"/>
      <c r="J401" s="779"/>
      <c r="K401" s="782"/>
    </row>
    <row r="402" spans="3:11" x14ac:dyDescent="0.2">
      <c r="C402" s="569">
        <v>399</v>
      </c>
      <c r="D402" s="580"/>
      <c r="E402" s="581"/>
      <c r="F402" s="582"/>
      <c r="G402" s="583"/>
      <c r="H402" s="773"/>
      <c r="I402" s="776"/>
      <c r="J402" s="779"/>
      <c r="K402" s="782"/>
    </row>
    <row r="403" spans="3:11" x14ac:dyDescent="0.2">
      <c r="C403" s="569">
        <v>400</v>
      </c>
      <c r="D403" s="580"/>
      <c r="E403" s="581"/>
      <c r="F403" s="582"/>
      <c r="G403" s="583"/>
      <c r="H403" s="773"/>
      <c r="I403" s="776"/>
      <c r="J403" s="779"/>
      <c r="K403" s="782"/>
    </row>
    <row r="404" spans="3:11" x14ac:dyDescent="0.2">
      <c r="C404" s="569">
        <v>401</v>
      </c>
      <c r="D404" s="580"/>
      <c r="E404" s="581"/>
      <c r="F404" s="582"/>
      <c r="G404" s="583"/>
      <c r="H404" s="773"/>
      <c r="I404" s="776"/>
      <c r="J404" s="779"/>
      <c r="K404" s="782"/>
    </row>
    <row r="405" spans="3:11" x14ac:dyDescent="0.2">
      <c r="C405" s="569">
        <v>402</v>
      </c>
      <c r="D405" s="580"/>
      <c r="E405" s="581"/>
      <c r="F405" s="582"/>
      <c r="G405" s="583"/>
      <c r="H405" s="773"/>
      <c r="I405" s="776"/>
      <c r="J405" s="779"/>
      <c r="K405" s="782"/>
    </row>
    <row r="406" spans="3:11" x14ac:dyDescent="0.2">
      <c r="C406" s="569">
        <v>403</v>
      </c>
      <c r="D406" s="580"/>
      <c r="E406" s="581"/>
      <c r="F406" s="582"/>
      <c r="G406" s="583"/>
      <c r="H406" s="773"/>
      <c r="I406" s="776"/>
      <c r="J406" s="779"/>
      <c r="K406" s="782"/>
    </row>
    <row r="407" spans="3:11" x14ac:dyDescent="0.2">
      <c r="C407" s="569">
        <v>404</v>
      </c>
      <c r="D407" s="580"/>
      <c r="E407" s="581"/>
      <c r="F407" s="582"/>
      <c r="G407" s="583"/>
      <c r="H407" s="773"/>
      <c r="I407" s="776"/>
      <c r="J407" s="779"/>
      <c r="K407" s="782"/>
    </row>
    <row r="408" spans="3:11" x14ac:dyDescent="0.2">
      <c r="C408" s="569">
        <v>405</v>
      </c>
      <c r="D408" s="580"/>
      <c r="E408" s="581"/>
      <c r="F408" s="582"/>
      <c r="G408" s="583"/>
      <c r="H408" s="773"/>
      <c r="I408" s="776"/>
      <c r="J408" s="779"/>
      <c r="K408" s="782"/>
    </row>
    <row r="409" spans="3:11" x14ac:dyDescent="0.2">
      <c r="C409" s="569">
        <v>406</v>
      </c>
      <c r="D409" s="580"/>
      <c r="E409" s="581"/>
      <c r="F409" s="582"/>
      <c r="G409" s="583"/>
      <c r="H409" s="773"/>
      <c r="I409" s="776"/>
      <c r="J409" s="779"/>
      <c r="K409" s="782"/>
    </row>
    <row r="410" spans="3:11" x14ac:dyDescent="0.2">
      <c r="C410" s="569">
        <v>407</v>
      </c>
      <c r="D410" s="580"/>
      <c r="E410" s="581"/>
      <c r="F410" s="582"/>
      <c r="G410" s="583"/>
      <c r="H410" s="773"/>
      <c r="I410" s="776"/>
      <c r="J410" s="779"/>
      <c r="K410" s="782"/>
    </row>
    <row r="411" spans="3:11" x14ac:dyDescent="0.2">
      <c r="C411" s="569">
        <v>408</v>
      </c>
      <c r="D411" s="580"/>
      <c r="E411" s="581"/>
      <c r="F411" s="582"/>
      <c r="G411" s="583"/>
      <c r="H411" s="773"/>
      <c r="I411" s="776"/>
      <c r="J411" s="779"/>
      <c r="K411" s="782"/>
    </row>
    <row r="412" spans="3:11" x14ac:dyDescent="0.2">
      <c r="C412" s="569">
        <v>409</v>
      </c>
      <c r="D412" s="580"/>
      <c r="E412" s="581"/>
      <c r="F412" s="582"/>
      <c r="G412" s="583"/>
      <c r="H412" s="773"/>
      <c r="I412" s="776"/>
      <c r="J412" s="779"/>
      <c r="K412" s="782"/>
    </row>
    <row r="413" spans="3:11" x14ac:dyDescent="0.2">
      <c r="C413" s="569">
        <v>410</v>
      </c>
      <c r="D413" s="580"/>
      <c r="E413" s="581"/>
      <c r="F413" s="582"/>
      <c r="G413" s="583"/>
      <c r="H413" s="773"/>
      <c r="I413" s="776"/>
      <c r="J413" s="779"/>
      <c r="K413" s="782"/>
    </row>
    <row r="414" spans="3:11" x14ac:dyDescent="0.2">
      <c r="C414" s="569">
        <v>411</v>
      </c>
      <c r="D414" s="580"/>
      <c r="E414" s="581"/>
      <c r="F414" s="582"/>
      <c r="G414" s="583"/>
      <c r="H414" s="773"/>
      <c r="I414" s="776"/>
      <c r="J414" s="779"/>
      <c r="K414" s="782"/>
    </row>
    <row r="415" spans="3:11" x14ac:dyDescent="0.2">
      <c r="C415" s="569">
        <v>412</v>
      </c>
      <c r="D415" s="580"/>
      <c r="E415" s="581"/>
      <c r="F415" s="582"/>
      <c r="G415" s="583"/>
      <c r="H415" s="773"/>
      <c r="I415" s="776"/>
      <c r="J415" s="779"/>
      <c r="K415" s="782"/>
    </row>
    <row r="416" spans="3:11" x14ac:dyDescent="0.2">
      <c r="C416" s="569">
        <v>413</v>
      </c>
      <c r="D416" s="580"/>
      <c r="E416" s="581"/>
      <c r="F416" s="582"/>
      <c r="G416" s="583"/>
      <c r="H416" s="773"/>
      <c r="I416" s="776"/>
      <c r="J416" s="779"/>
      <c r="K416" s="782"/>
    </row>
    <row r="417" spans="3:11" x14ac:dyDescent="0.2">
      <c r="C417" s="569">
        <v>414</v>
      </c>
      <c r="D417" s="580"/>
      <c r="E417" s="581"/>
      <c r="F417" s="582"/>
      <c r="G417" s="583"/>
      <c r="H417" s="773"/>
      <c r="I417" s="776"/>
      <c r="J417" s="779"/>
      <c r="K417" s="782"/>
    </row>
    <row r="418" spans="3:11" x14ac:dyDescent="0.2">
      <c r="C418" s="569">
        <v>415</v>
      </c>
      <c r="D418" s="580"/>
      <c r="E418" s="581"/>
      <c r="F418" s="582"/>
      <c r="G418" s="583"/>
      <c r="H418" s="773"/>
      <c r="I418" s="776"/>
      <c r="J418" s="779"/>
      <c r="K418" s="782"/>
    </row>
    <row r="419" spans="3:11" x14ac:dyDescent="0.2">
      <c r="C419" s="569">
        <v>416</v>
      </c>
      <c r="D419" s="580"/>
      <c r="E419" s="581"/>
      <c r="F419" s="582"/>
      <c r="G419" s="583"/>
      <c r="H419" s="773"/>
      <c r="I419" s="776"/>
      <c r="J419" s="779"/>
      <c r="K419" s="782"/>
    </row>
    <row r="420" spans="3:11" x14ac:dyDescent="0.2">
      <c r="C420" s="569">
        <v>417</v>
      </c>
      <c r="D420" s="580"/>
      <c r="E420" s="581"/>
      <c r="F420" s="582"/>
      <c r="G420" s="583"/>
      <c r="H420" s="773"/>
      <c r="I420" s="776"/>
      <c r="J420" s="779"/>
      <c r="K420" s="782"/>
    </row>
    <row r="421" spans="3:11" x14ac:dyDescent="0.2">
      <c r="C421" s="569">
        <v>418</v>
      </c>
      <c r="D421" s="580"/>
      <c r="E421" s="581"/>
      <c r="F421" s="582"/>
      <c r="G421" s="583"/>
      <c r="H421" s="773"/>
      <c r="I421" s="776"/>
      <c r="J421" s="779"/>
      <c r="K421" s="782"/>
    </row>
    <row r="422" spans="3:11" x14ac:dyDescent="0.2">
      <c r="C422" s="569">
        <v>419</v>
      </c>
      <c r="D422" s="580"/>
      <c r="E422" s="581"/>
      <c r="F422" s="582"/>
      <c r="G422" s="583"/>
      <c r="H422" s="773"/>
      <c r="I422" s="776"/>
      <c r="J422" s="779"/>
      <c r="K422" s="782"/>
    </row>
    <row r="423" spans="3:11" x14ac:dyDescent="0.2">
      <c r="C423" s="569">
        <v>420</v>
      </c>
      <c r="D423" s="580"/>
      <c r="E423" s="581"/>
      <c r="F423" s="582"/>
      <c r="G423" s="583"/>
      <c r="H423" s="773"/>
      <c r="I423" s="776"/>
      <c r="J423" s="779"/>
      <c r="K423" s="782"/>
    </row>
    <row r="424" spans="3:11" x14ac:dyDescent="0.2">
      <c r="C424" s="569">
        <v>421</v>
      </c>
      <c r="D424" s="580"/>
      <c r="E424" s="581"/>
      <c r="F424" s="582"/>
      <c r="G424" s="583"/>
      <c r="H424" s="773"/>
      <c r="I424" s="776"/>
      <c r="J424" s="779"/>
      <c r="K424" s="782"/>
    </row>
    <row r="425" spans="3:11" x14ac:dyDescent="0.2">
      <c r="C425" s="569">
        <v>422</v>
      </c>
      <c r="D425" s="580"/>
      <c r="E425" s="581"/>
      <c r="F425" s="582"/>
      <c r="G425" s="583"/>
      <c r="H425" s="773"/>
      <c r="I425" s="776"/>
      <c r="J425" s="779"/>
      <c r="K425" s="782"/>
    </row>
    <row r="426" spans="3:11" x14ac:dyDescent="0.2">
      <c r="C426" s="569">
        <v>423</v>
      </c>
      <c r="D426" s="580"/>
      <c r="E426" s="581"/>
      <c r="F426" s="582"/>
      <c r="G426" s="583"/>
      <c r="H426" s="773"/>
      <c r="I426" s="776"/>
      <c r="J426" s="779"/>
      <c r="K426" s="782"/>
    </row>
    <row r="427" spans="3:11" x14ac:dyDescent="0.2">
      <c r="C427" s="569">
        <v>424</v>
      </c>
      <c r="D427" s="580"/>
      <c r="E427" s="581"/>
      <c r="F427" s="582"/>
      <c r="G427" s="583"/>
      <c r="H427" s="773"/>
      <c r="I427" s="776"/>
      <c r="J427" s="779"/>
      <c r="K427" s="782"/>
    </row>
    <row r="428" spans="3:11" x14ac:dyDescent="0.2">
      <c r="C428" s="569">
        <v>425</v>
      </c>
      <c r="D428" s="580"/>
      <c r="E428" s="581"/>
      <c r="F428" s="582"/>
      <c r="G428" s="583"/>
      <c r="H428" s="773"/>
      <c r="I428" s="776"/>
      <c r="J428" s="779"/>
      <c r="K428" s="782"/>
    </row>
    <row r="429" spans="3:11" x14ac:dyDescent="0.2">
      <c r="C429" s="569">
        <v>426</v>
      </c>
      <c r="D429" s="580"/>
      <c r="E429" s="581"/>
      <c r="F429" s="582"/>
      <c r="G429" s="583"/>
      <c r="H429" s="773"/>
      <c r="I429" s="776"/>
      <c r="J429" s="779"/>
      <c r="K429" s="782"/>
    </row>
    <row r="430" spans="3:11" x14ac:dyDescent="0.2">
      <c r="C430" s="569">
        <v>427</v>
      </c>
      <c r="D430" s="580"/>
      <c r="E430" s="581"/>
      <c r="F430" s="582"/>
      <c r="G430" s="583"/>
      <c r="H430" s="773"/>
      <c r="I430" s="776"/>
      <c r="J430" s="779"/>
      <c r="K430" s="782"/>
    </row>
    <row r="431" spans="3:11" x14ac:dyDescent="0.2">
      <c r="C431" s="569">
        <v>428</v>
      </c>
      <c r="D431" s="580"/>
      <c r="E431" s="581"/>
      <c r="F431" s="582"/>
      <c r="G431" s="583"/>
      <c r="H431" s="773"/>
      <c r="I431" s="776"/>
      <c r="J431" s="779"/>
      <c r="K431" s="782"/>
    </row>
    <row r="432" spans="3:11" x14ac:dyDescent="0.2">
      <c r="C432" s="569">
        <v>429</v>
      </c>
      <c r="D432" s="580"/>
      <c r="E432" s="581"/>
      <c r="F432" s="582"/>
      <c r="G432" s="583"/>
      <c r="H432" s="773"/>
      <c r="I432" s="776"/>
      <c r="J432" s="779"/>
      <c r="K432" s="782"/>
    </row>
    <row r="433" spans="3:11" x14ac:dyDescent="0.2">
      <c r="C433" s="569">
        <v>430</v>
      </c>
      <c r="D433" s="580"/>
      <c r="E433" s="581"/>
      <c r="F433" s="582"/>
      <c r="G433" s="583"/>
      <c r="H433" s="773"/>
      <c r="I433" s="776"/>
      <c r="J433" s="779"/>
      <c r="K433" s="782"/>
    </row>
    <row r="434" spans="3:11" x14ac:dyDescent="0.2">
      <c r="C434" s="569">
        <v>431</v>
      </c>
      <c r="D434" s="580"/>
      <c r="E434" s="581"/>
      <c r="F434" s="582"/>
      <c r="G434" s="583"/>
      <c r="H434" s="773"/>
      <c r="I434" s="776"/>
      <c r="J434" s="779"/>
      <c r="K434" s="782"/>
    </row>
    <row r="435" spans="3:11" x14ac:dyDescent="0.2">
      <c r="C435" s="569">
        <v>432</v>
      </c>
      <c r="D435" s="580"/>
      <c r="E435" s="581"/>
      <c r="F435" s="582"/>
      <c r="G435" s="583"/>
      <c r="H435" s="773"/>
      <c r="I435" s="776"/>
      <c r="J435" s="779"/>
      <c r="K435" s="782"/>
    </row>
    <row r="436" spans="3:11" x14ac:dyDescent="0.2">
      <c r="C436" s="569">
        <v>433</v>
      </c>
      <c r="D436" s="580"/>
      <c r="E436" s="581"/>
      <c r="F436" s="582"/>
      <c r="G436" s="583"/>
      <c r="H436" s="773"/>
      <c r="I436" s="776"/>
      <c r="J436" s="779"/>
      <c r="K436" s="782"/>
    </row>
    <row r="437" spans="3:11" x14ac:dyDescent="0.2">
      <c r="C437" s="569">
        <v>434</v>
      </c>
      <c r="D437" s="580"/>
      <c r="E437" s="581"/>
      <c r="F437" s="582"/>
      <c r="G437" s="583"/>
      <c r="H437" s="773"/>
      <c r="I437" s="776"/>
      <c r="J437" s="779"/>
      <c r="K437" s="782"/>
    </row>
    <row r="438" spans="3:11" x14ac:dyDescent="0.2">
      <c r="C438" s="569">
        <v>435</v>
      </c>
      <c r="D438" s="580"/>
      <c r="E438" s="581"/>
      <c r="F438" s="582"/>
      <c r="G438" s="583"/>
      <c r="H438" s="773"/>
      <c r="I438" s="776"/>
      <c r="J438" s="779"/>
      <c r="K438" s="782"/>
    </row>
    <row r="439" spans="3:11" x14ac:dyDescent="0.2">
      <c r="C439" s="569">
        <v>436</v>
      </c>
      <c r="D439" s="580"/>
      <c r="E439" s="581"/>
      <c r="F439" s="582"/>
      <c r="G439" s="583"/>
      <c r="H439" s="773"/>
      <c r="I439" s="776"/>
      <c r="J439" s="779"/>
      <c r="K439" s="782"/>
    </row>
    <row r="440" spans="3:11" x14ac:dyDescent="0.2">
      <c r="C440" s="569">
        <v>437</v>
      </c>
      <c r="D440" s="580"/>
      <c r="E440" s="581"/>
      <c r="F440" s="582"/>
      <c r="G440" s="583"/>
      <c r="H440" s="773"/>
      <c r="I440" s="776"/>
      <c r="J440" s="779"/>
      <c r="K440" s="782"/>
    </row>
    <row r="441" spans="3:11" x14ac:dyDescent="0.2">
      <c r="C441" s="569">
        <v>438</v>
      </c>
      <c r="D441" s="580"/>
      <c r="E441" s="581"/>
      <c r="F441" s="582"/>
      <c r="G441" s="583"/>
      <c r="H441" s="773"/>
      <c r="I441" s="776"/>
      <c r="J441" s="779"/>
      <c r="K441" s="782"/>
    </row>
    <row r="442" spans="3:11" x14ac:dyDescent="0.2">
      <c r="C442" s="569">
        <v>439</v>
      </c>
      <c r="D442" s="580"/>
      <c r="E442" s="581"/>
      <c r="F442" s="582"/>
      <c r="G442" s="583"/>
      <c r="H442" s="773"/>
      <c r="I442" s="776"/>
      <c r="J442" s="779"/>
      <c r="K442" s="782"/>
    </row>
    <row r="443" spans="3:11" x14ac:dyDescent="0.2">
      <c r="C443" s="569">
        <v>440</v>
      </c>
      <c r="D443" s="580"/>
      <c r="E443" s="581"/>
      <c r="F443" s="582"/>
      <c r="G443" s="583"/>
      <c r="H443" s="773"/>
      <c r="I443" s="776"/>
      <c r="J443" s="779"/>
      <c r="K443" s="782"/>
    </row>
    <row r="444" spans="3:11" x14ac:dyDescent="0.2">
      <c r="C444" s="569">
        <v>441</v>
      </c>
      <c r="D444" s="580"/>
      <c r="E444" s="581"/>
      <c r="F444" s="582"/>
      <c r="G444" s="583"/>
      <c r="H444" s="773"/>
      <c r="I444" s="776"/>
      <c r="J444" s="779"/>
      <c r="K444" s="782"/>
    </row>
    <row r="445" spans="3:11" x14ac:dyDescent="0.2">
      <c r="C445" s="569">
        <v>442</v>
      </c>
      <c r="D445" s="580"/>
      <c r="E445" s="581"/>
      <c r="F445" s="582"/>
      <c r="G445" s="583"/>
      <c r="H445" s="773"/>
      <c r="I445" s="776"/>
      <c r="J445" s="779"/>
      <c r="K445" s="782"/>
    </row>
    <row r="446" spans="3:11" x14ac:dyDescent="0.2">
      <c r="C446" s="569">
        <v>443</v>
      </c>
      <c r="D446" s="580"/>
      <c r="E446" s="581"/>
      <c r="F446" s="582"/>
      <c r="G446" s="583"/>
      <c r="H446" s="773"/>
      <c r="I446" s="776"/>
      <c r="J446" s="779"/>
      <c r="K446" s="782"/>
    </row>
    <row r="447" spans="3:11" x14ac:dyDescent="0.2">
      <c r="C447" s="569">
        <v>444</v>
      </c>
      <c r="D447" s="580"/>
      <c r="E447" s="581"/>
      <c r="F447" s="582"/>
      <c r="G447" s="583"/>
      <c r="H447" s="773"/>
      <c r="I447" s="776"/>
      <c r="J447" s="779"/>
      <c r="K447" s="782"/>
    </row>
    <row r="448" spans="3:11" x14ac:dyDescent="0.2">
      <c r="C448" s="569">
        <v>445</v>
      </c>
      <c r="D448" s="580"/>
      <c r="E448" s="581"/>
      <c r="F448" s="582"/>
      <c r="G448" s="583"/>
      <c r="H448" s="773"/>
      <c r="I448" s="776"/>
      <c r="J448" s="779"/>
      <c r="K448" s="782"/>
    </row>
    <row r="449" spans="3:11" x14ac:dyDescent="0.2">
      <c r="C449" s="569">
        <v>446</v>
      </c>
      <c r="D449" s="580"/>
      <c r="E449" s="581"/>
      <c r="F449" s="582"/>
      <c r="G449" s="583"/>
      <c r="H449" s="773"/>
      <c r="I449" s="776"/>
      <c r="J449" s="779"/>
      <c r="K449" s="782"/>
    </row>
    <row r="450" spans="3:11" x14ac:dyDescent="0.2">
      <c r="C450" s="569">
        <v>447</v>
      </c>
      <c r="D450" s="580"/>
      <c r="E450" s="581"/>
      <c r="F450" s="582"/>
      <c r="G450" s="583"/>
      <c r="H450" s="773"/>
      <c r="I450" s="776"/>
      <c r="J450" s="779"/>
      <c r="K450" s="782"/>
    </row>
    <row r="451" spans="3:11" x14ac:dyDescent="0.2">
      <c r="C451" s="569">
        <v>448</v>
      </c>
      <c r="D451" s="580"/>
      <c r="E451" s="581"/>
      <c r="F451" s="582"/>
      <c r="G451" s="583"/>
      <c r="H451" s="773"/>
      <c r="I451" s="776"/>
      <c r="J451" s="779"/>
      <c r="K451" s="782"/>
    </row>
    <row r="452" spans="3:11" x14ac:dyDescent="0.2">
      <c r="C452" s="569">
        <v>449</v>
      </c>
      <c r="D452" s="580"/>
      <c r="E452" s="581"/>
      <c r="F452" s="582"/>
      <c r="G452" s="583"/>
      <c r="H452" s="773"/>
      <c r="I452" s="776"/>
      <c r="J452" s="779"/>
      <c r="K452" s="782"/>
    </row>
    <row r="453" spans="3:11" x14ac:dyDescent="0.2">
      <c r="C453" s="569">
        <v>450</v>
      </c>
      <c r="D453" s="580"/>
      <c r="E453" s="581"/>
      <c r="F453" s="582"/>
      <c r="G453" s="583"/>
      <c r="H453" s="773"/>
      <c r="I453" s="776"/>
      <c r="J453" s="779"/>
      <c r="K453" s="782"/>
    </row>
    <row r="454" spans="3:11" x14ac:dyDescent="0.2">
      <c r="C454" s="569">
        <v>451</v>
      </c>
      <c r="D454" s="580"/>
      <c r="E454" s="581"/>
      <c r="F454" s="582"/>
      <c r="G454" s="583"/>
      <c r="H454" s="773"/>
      <c r="I454" s="776"/>
      <c r="J454" s="779"/>
      <c r="K454" s="782"/>
    </row>
    <row r="455" spans="3:11" x14ac:dyDescent="0.2">
      <c r="C455" s="569">
        <v>452</v>
      </c>
      <c r="D455" s="580"/>
      <c r="E455" s="581"/>
      <c r="F455" s="582"/>
      <c r="G455" s="583"/>
      <c r="H455" s="773"/>
      <c r="I455" s="776"/>
      <c r="J455" s="779"/>
      <c r="K455" s="782"/>
    </row>
    <row r="456" spans="3:11" x14ac:dyDescent="0.2">
      <c r="C456" s="569">
        <v>453</v>
      </c>
      <c r="D456" s="580"/>
      <c r="E456" s="581"/>
      <c r="F456" s="582"/>
      <c r="G456" s="583"/>
      <c r="H456" s="773"/>
      <c r="I456" s="776"/>
      <c r="J456" s="779"/>
      <c r="K456" s="782"/>
    </row>
    <row r="457" spans="3:11" x14ac:dyDescent="0.2">
      <c r="C457" s="569">
        <v>454</v>
      </c>
      <c r="D457" s="580"/>
      <c r="E457" s="581"/>
      <c r="F457" s="582"/>
      <c r="G457" s="583"/>
      <c r="H457" s="773"/>
      <c r="I457" s="776"/>
      <c r="J457" s="779"/>
      <c r="K457" s="782"/>
    </row>
    <row r="458" spans="3:11" x14ac:dyDescent="0.2">
      <c r="C458" s="569">
        <v>455</v>
      </c>
      <c r="D458" s="580"/>
      <c r="E458" s="581"/>
      <c r="F458" s="582"/>
      <c r="G458" s="583"/>
      <c r="H458" s="773"/>
      <c r="I458" s="776"/>
      <c r="J458" s="779"/>
      <c r="K458" s="782"/>
    </row>
    <row r="459" spans="3:11" x14ac:dyDescent="0.2">
      <c r="C459" s="569">
        <v>456</v>
      </c>
      <c r="D459" s="580"/>
      <c r="E459" s="581"/>
      <c r="F459" s="582"/>
      <c r="G459" s="583"/>
      <c r="H459" s="773"/>
      <c r="I459" s="776"/>
      <c r="J459" s="779"/>
      <c r="K459" s="782"/>
    </row>
    <row r="460" spans="3:11" x14ac:dyDescent="0.2">
      <c r="C460" s="569">
        <v>457</v>
      </c>
      <c r="D460" s="580"/>
      <c r="E460" s="581"/>
      <c r="F460" s="582"/>
      <c r="G460" s="583"/>
      <c r="H460" s="773"/>
      <c r="I460" s="776"/>
      <c r="J460" s="779"/>
      <c r="K460" s="782"/>
    </row>
    <row r="461" spans="3:11" x14ac:dyDescent="0.2">
      <c r="C461" s="569">
        <v>458</v>
      </c>
      <c r="D461" s="580"/>
      <c r="E461" s="581"/>
      <c r="F461" s="582"/>
      <c r="G461" s="583"/>
      <c r="H461" s="773"/>
      <c r="I461" s="776"/>
      <c r="J461" s="779"/>
      <c r="K461" s="782"/>
    </row>
    <row r="462" spans="3:11" x14ac:dyDescent="0.2">
      <c r="C462" s="569">
        <v>459</v>
      </c>
      <c r="D462" s="580"/>
      <c r="E462" s="581"/>
      <c r="F462" s="582"/>
      <c r="G462" s="583"/>
      <c r="H462" s="773"/>
      <c r="I462" s="776"/>
      <c r="J462" s="779"/>
      <c r="K462" s="782"/>
    </row>
    <row r="463" spans="3:11" x14ac:dyDescent="0.2">
      <c r="C463" s="569">
        <v>460</v>
      </c>
      <c r="D463" s="580"/>
      <c r="E463" s="581"/>
      <c r="F463" s="582"/>
      <c r="G463" s="583"/>
      <c r="H463" s="773"/>
      <c r="I463" s="776"/>
      <c r="J463" s="779"/>
      <c r="K463" s="782"/>
    </row>
    <row r="464" spans="3:11" x14ac:dyDescent="0.2">
      <c r="C464" s="569">
        <v>461</v>
      </c>
      <c r="D464" s="580"/>
      <c r="E464" s="581"/>
      <c r="F464" s="582"/>
      <c r="G464" s="583"/>
      <c r="H464" s="773"/>
      <c r="I464" s="776"/>
      <c r="J464" s="779"/>
      <c r="K464" s="782"/>
    </row>
    <row r="465" spans="3:11" x14ac:dyDescent="0.2">
      <c r="C465" s="569">
        <v>462</v>
      </c>
      <c r="D465" s="580"/>
      <c r="E465" s="581"/>
      <c r="F465" s="582"/>
      <c r="G465" s="583"/>
      <c r="H465" s="773"/>
      <c r="I465" s="776"/>
      <c r="J465" s="779"/>
      <c r="K465" s="782"/>
    </row>
    <row r="466" spans="3:11" x14ac:dyDescent="0.2">
      <c r="C466" s="569">
        <v>463</v>
      </c>
      <c r="D466" s="580"/>
      <c r="E466" s="581"/>
      <c r="F466" s="582"/>
      <c r="G466" s="583"/>
      <c r="H466" s="773"/>
      <c r="I466" s="776"/>
      <c r="J466" s="779"/>
      <c r="K466" s="782"/>
    </row>
    <row r="467" spans="3:11" x14ac:dyDescent="0.2">
      <c r="C467" s="569">
        <v>464</v>
      </c>
      <c r="D467" s="580"/>
      <c r="E467" s="581"/>
      <c r="F467" s="582"/>
      <c r="G467" s="583"/>
      <c r="H467" s="773"/>
      <c r="I467" s="776"/>
      <c r="J467" s="779"/>
      <c r="K467" s="782"/>
    </row>
    <row r="468" spans="3:11" x14ac:dyDescent="0.2">
      <c r="C468" s="569">
        <v>465</v>
      </c>
      <c r="D468" s="580"/>
      <c r="E468" s="581"/>
      <c r="F468" s="582"/>
      <c r="G468" s="583"/>
      <c r="H468" s="773"/>
      <c r="I468" s="776"/>
      <c r="J468" s="779"/>
      <c r="K468" s="782"/>
    </row>
    <row r="469" spans="3:11" x14ac:dyDescent="0.2">
      <c r="C469" s="569">
        <v>466</v>
      </c>
      <c r="D469" s="580"/>
      <c r="E469" s="581"/>
      <c r="F469" s="582"/>
      <c r="G469" s="583"/>
      <c r="H469" s="773"/>
      <c r="I469" s="776"/>
      <c r="J469" s="779"/>
      <c r="K469" s="782"/>
    </row>
    <row r="470" spans="3:11" x14ac:dyDescent="0.2">
      <c r="C470" s="569">
        <v>467</v>
      </c>
      <c r="D470" s="580"/>
      <c r="E470" s="581"/>
      <c r="F470" s="582"/>
      <c r="G470" s="583"/>
      <c r="H470" s="773"/>
      <c r="I470" s="776"/>
      <c r="J470" s="779"/>
      <c r="K470" s="782"/>
    </row>
    <row r="471" spans="3:11" x14ac:dyDescent="0.2">
      <c r="C471" s="569">
        <v>468</v>
      </c>
      <c r="D471" s="580"/>
      <c r="E471" s="581"/>
      <c r="F471" s="582"/>
      <c r="G471" s="583"/>
      <c r="H471" s="773"/>
      <c r="I471" s="776"/>
      <c r="J471" s="779"/>
      <c r="K471" s="782"/>
    </row>
    <row r="472" spans="3:11" x14ac:dyDescent="0.2">
      <c r="C472" s="569">
        <v>469</v>
      </c>
      <c r="D472" s="580"/>
      <c r="E472" s="581"/>
      <c r="F472" s="582"/>
      <c r="G472" s="583"/>
      <c r="H472" s="773"/>
      <c r="I472" s="776"/>
      <c r="J472" s="779"/>
      <c r="K472" s="782"/>
    </row>
    <row r="473" spans="3:11" x14ac:dyDescent="0.2">
      <c r="C473" s="569">
        <v>470</v>
      </c>
      <c r="D473" s="580"/>
      <c r="E473" s="581"/>
      <c r="F473" s="582"/>
      <c r="G473" s="583"/>
      <c r="H473" s="773"/>
      <c r="I473" s="776"/>
      <c r="J473" s="779"/>
      <c r="K473" s="782"/>
    </row>
    <row r="474" spans="3:11" x14ac:dyDescent="0.2">
      <c r="C474" s="569">
        <v>471</v>
      </c>
      <c r="D474" s="580"/>
      <c r="E474" s="581"/>
      <c r="F474" s="582"/>
      <c r="G474" s="583"/>
      <c r="H474" s="773"/>
      <c r="I474" s="776"/>
      <c r="J474" s="779"/>
      <c r="K474" s="782"/>
    </row>
    <row r="475" spans="3:11" x14ac:dyDescent="0.2">
      <c r="C475" s="569">
        <v>472</v>
      </c>
      <c r="D475" s="580"/>
      <c r="E475" s="581"/>
      <c r="F475" s="582"/>
      <c r="G475" s="583"/>
      <c r="H475" s="773"/>
      <c r="I475" s="776"/>
      <c r="J475" s="779"/>
      <c r="K475" s="782"/>
    </row>
    <row r="476" spans="3:11" x14ac:dyDescent="0.2">
      <c r="C476" s="569">
        <v>473</v>
      </c>
      <c r="D476" s="580"/>
      <c r="E476" s="581"/>
      <c r="F476" s="582"/>
      <c r="G476" s="583"/>
      <c r="H476" s="773"/>
      <c r="I476" s="776"/>
      <c r="J476" s="779"/>
      <c r="K476" s="782"/>
    </row>
    <row r="477" spans="3:11" x14ac:dyDescent="0.2">
      <c r="C477" s="569">
        <v>474</v>
      </c>
      <c r="D477" s="580"/>
      <c r="E477" s="581"/>
      <c r="F477" s="582"/>
      <c r="G477" s="583"/>
      <c r="H477" s="773"/>
      <c r="I477" s="776"/>
      <c r="J477" s="779"/>
      <c r="K477" s="782"/>
    </row>
    <row r="478" spans="3:11" x14ac:dyDescent="0.2">
      <c r="C478" s="569">
        <v>475</v>
      </c>
      <c r="D478" s="580"/>
      <c r="E478" s="581"/>
      <c r="F478" s="582"/>
      <c r="G478" s="583"/>
      <c r="H478" s="773"/>
      <c r="I478" s="776"/>
      <c r="J478" s="779"/>
      <c r="K478" s="782"/>
    </row>
    <row r="479" spans="3:11" x14ac:dyDescent="0.2">
      <c r="C479" s="569">
        <v>476</v>
      </c>
      <c r="D479" s="580"/>
      <c r="E479" s="581"/>
      <c r="F479" s="582"/>
      <c r="G479" s="583"/>
      <c r="H479" s="773"/>
      <c r="I479" s="776"/>
      <c r="J479" s="779"/>
      <c r="K479" s="782"/>
    </row>
    <row r="480" spans="3:11" x14ac:dyDescent="0.2">
      <c r="C480" s="569">
        <v>477</v>
      </c>
      <c r="D480" s="580"/>
      <c r="E480" s="581"/>
      <c r="F480" s="582"/>
      <c r="G480" s="583"/>
      <c r="H480" s="773"/>
      <c r="I480" s="776"/>
      <c r="J480" s="779"/>
      <c r="K480" s="782"/>
    </row>
    <row r="481" spans="3:11" x14ac:dyDescent="0.2">
      <c r="C481" s="569">
        <v>478</v>
      </c>
      <c r="D481" s="580"/>
      <c r="E481" s="581"/>
      <c r="F481" s="582"/>
      <c r="G481" s="583"/>
      <c r="H481" s="773"/>
      <c r="I481" s="776"/>
      <c r="J481" s="779"/>
      <c r="K481" s="782"/>
    </row>
    <row r="482" spans="3:11" x14ac:dyDescent="0.2">
      <c r="C482" s="569">
        <v>479</v>
      </c>
      <c r="D482" s="580"/>
      <c r="E482" s="581"/>
      <c r="F482" s="582"/>
      <c r="G482" s="583"/>
      <c r="H482" s="773"/>
      <c r="I482" s="776"/>
      <c r="J482" s="779"/>
      <c r="K482" s="782"/>
    </row>
    <row r="483" spans="3:11" x14ac:dyDescent="0.2">
      <c r="C483" s="569">
        <v>480</v>
      </c>
      <c r="D483" s="580"/>
      <c r="E483" s="581"/>
      <c r="F483" s="582"/>
      <c r="G483" s="583"/>
      <c r="H483" s="773"/>
      <c r="I483" s="776"/>
      <c r="J483" s="779"/>
      <c r="K483" s="782"/>
    </row>
    <row r="484" spans="3:11" x14ac:dyDescent="0.2">
      <c r="C484" s="569">
        <v>481</v>
      </c>
      <c r="D484" s="580"/>
      <c r="E484" s="581"/>
      <c r="F484" s="582"/>
      <c r="G484" s="583"/>
      <c r="H484" s="773"/>
      <c r="I484" s="776"/>
      <c r="J484" s="779"/>
      <c r="K484" s="782"/>
    </row>
    <row r="485" spans="3:11" x14ac:dyDescent="0.2">
      <c r="C485" s="569">
        <v>482</v>
      </c>
      <c r="D485" s="580"/>
      <c r="E485" s="581"/>
      <c r="F485" s="582"/>
      <c r="G485" s="583"/>
      <c r="H485" s="773"/>
      <c r="I485" s="776"/>
      <c r="J485" s="779"/>
      <c r="K485" s="782"/>
    </row>
    <row r="486" spans="3:11" x14ac:dyDescent="0.2">
      <c r="C486" s="569">
        <v>483</v>
      </c>
      <c r="D486" s="580"/>
      <c r="E486" s="581"/>
      <c r="F486" s="582"/>
      <c r="G486" s="583"/>
      <c r="H486" s="773"/>
      <c r="I486" s="776"/>
      <c r="J486" s="779"/>
      <c r="K486" s="782"/>
    </row>
    <row r="487" spans="3:11" x14ac:dyDescent="0.2">
      <c r="C487" s="569">
        <v>484</v>
      </c>
      <c r="D487" s="580"/>
      <c r="E487" s="581"/>
      <c r="F487" s="582"/>
      <c r="G487" s="583"/>
      <c r="H487" s="773"/>
      <c r="I487" s="776"/>
      <c r="J487" s="779"/>
      <c r="K487" s="782"/>
    </row>
    <row r="488" spans="3:11" x14ac:dyDescent="0.2">
      <c r="C488" s="569">
        <v>485</v>
      </c>
      <c r="D488" s="580"/>
      <c r="E488" s="581"/>
      <c r="F488" s="582"/>
      <c r="G488" s="583"/>
      <c r="H488" s="773"/>
      <c r="I488" s="776"/>
      <c r="J488" s="779"/>
      <c r="K488" s="782"/>
    </row>
    <row r="489" spans="3:11" x14ac:dyDescent="0.2">
      <c r="C489" s="569">
        <v>486</v>
      </c>
      <c r="D489" s="580"/>
      <c r="E489" s="581"/>
      <c r="F489" s="582"/>
      <c r="G489" s="583"/>
      <c r="H489" s="773"/>
      <c r="I489" s="776"/>
      <c r="J489" s="779"/>
      <c r="K489" s="782"/>
    </row>
    <row r="490" spans="3:11" x14ac:dyDescent="0.2">
      <c r="C490" s="569">
        <v>487</v>
      </c>
      <c r="D490" s="580"/>
      <c r="E490" s="581"/>
      <c r="F490" s="582"/>
      <c r="G490" s="583"/>
      <c r="H490" s="773"/>
      <c r="I490" s="776"/>
      <c r="J490" s="779"/>
      <c r="K490" s="782"/>
    </row>
    <row r="491" spans="3:11" x14ac:dyDescent="0.2">
      <c r="C491" s="569">
        <v>488</v>
      </c>
      <c r="D491" s="580"/>
      <c r="E491" s="581"/>
      <c r="F491" s="582"/>
      <c r="G491" s="583"/>
      <c r="H491" s="773"/>
      <c r="I491" s="776"/>
      <c r="J491" s="779"/>
      <c r="K491" s="782"/>
    </row>
    <row r="492" spans="3:11" x14ac:dyDescent="0.2">
      <c r="C492" s="569">
        <v>489</v>
      </c>
      <c r="D492" s="580"/>
      <c r="E492" s="581"/>
      <c r="F492" s="582"/>
      <c r="G492" s="583"/>
      <c r="H492" s="773"/>
      <c r="I492" s="776"/>
      <c r="J492" s="779"/>
      <c r="K492" s="782"/>
    </row>
    <row r="493" spans="3:11" x14ac:dyDescent="0.2">
      <c r="C493" s="569">
        <v>490</v>
      </c>
      <c r="D493" s="580"/>
      <c r="E493" s="581"/>
      <c r="F493" s="582"/>
      <c r="G493" s="583"/>
      <c r="H493" s="773"/>
      <c r="I493" s="776"/>
      <c r="J493" s="779"/>
      <c r="K493" s="782"/>
    </row>
    <row r="494" spans="3:11" x14ac:dyDescent="0.2">
      <c r="C494" s="569">
        <v>491</v>
      </c>
      <c r="D494" s="580"/>
      <c r="E494" s="581"/>
      <c r="F494" s="582"/>
      <c r="G494" s="583"/>
      <c r="H494" s="773"/>
      <c r="I494" s="776"/>
      <c r="J494" s="779"/>
      <c r="K494" s="782"/>
    </row>
    <row r="495" spans="3:11" x14ac:dyDescent="0.2">
      <c r="C495" s="569">
        <v>492</v>
      </c>
      <c r="D495" s="580"/>
      <c r="E495" s="581"/>
      <c r="F495" s="582"/>
      <c r="G495" s="583"/>
      <c r="H495" s="773"/>
      <c r="I495" s="776"/>
      <c r="J495" s="779"/>
      <c r="K495" s="782"/>
    </row>
    <row r="496" spans="3:11" x14ac:dyDescent="0.2">
      <c r="C496" s="569">
        <v>493</v>
      </c>
      <c r="D496" s="580"/>
      <c r="E496" s="581"/>
      <c r="F496" s="582"/>
      <c r="G496" s="583"/>
      <c r="H496" s="773"/>
      <c r="I496" s="776"/>
      <c r="J496" s="779"/>
      <c r="K496" s="782"/>
    </row>
    <row r="497" spans="3:11" x14ac:dyDescent="0.2">
      <c r="C497" s="569">
        <v>494</v>
      </c>
      <c r="D497" s="580"/>
      <c r="E497" s="581"/>
      <c r="F497" s="582"/>
      <c r="G497" s="583"/>
      <c r="H497" s="773"/>
      <c r="I497" s="776"/>
      <c r="J497" s="779"/>
      <c r="K497" s="782"/>
    </row>
    <row r="498" spans="3:11" x14ac:dyDescent="0.2">
      <c r="C498" s="569">
        <v>495</v>
      </c>
      <c r="D498" s="580"/>
      <c r="E498" s="581"/>
      <c r="F498" s="582"/>
      <c r="G498" s="583"/>
      <c r="H498" s="773"/>
      <c r="I498" s="776"/>
      <c r="J498" s="779"/>
      <c r="K498" s="782"/>
    </row>
    <row r="499" spans="3:11" x14ac:dyDescent="0.2">
      <c r="C499" s="569">
        <v>496</v>
      </c>
      <c r="D499" s="580"/>
      <c r="E499" s="581"/>
      <c r="F499" s="582"/>
      <c r="G499" s="583"/>
      <c r="H499" s="773"/>
      <c r="I499" s="776"/>
      <c r="J499" s="779"/>
      <c r="K499" s="782"/>
    </row>
    <row r="500" spans="3:11" x14ac:dyDescent="0.2">
      <c r="C500" s="569">
        <v>497</v>
      </c>
      <c r="D500" s="580"/>
      <c r="E500" s="581"/>
      <c r="F500" s="582"/>
      <c r="G500" s="583"/>
      <c r="H500" s="773"/>
      <c r="I500" s="776"/>
      <c r="J500" s="779"/>
      <c r="K500" s="782"/>
    </row>
    <row r="501" spans="3:11" x14ac:dyDescent="0.2">
      <c r="C501" s="569">
        <v>498</v>
      </c>
      <c r="D501" s="580"/>
      <c r="E501" s="581"/>
      <c r="F501" s="582"/>
      <c r="G501" s="583"/>
      <c r="H501" s="773"/>
      <c r="I501" s="776"/>
      <c r="J501" s="779"/>
      <c r="K501" s="782"/>
    </row>
    <row r="502" spans="3:11" x14ac:dyDescent="0.2">
      <c r="C502" s="569">
        <v>499</v>
      </c>
      <c r="D502" s="580"/>
      <c r="E502" s="581"/>
      <c r="F502" s="582"/>
      <c r="G502" s="583"/>
      <c r="H502" s="773"/>
      <c r="I502" s="776"/>
      <c r="J502" s="779"/>
      <c r="K502" s="782"/>
    </row>
    <row r="503" spans="3:11" x14ac:dyDescent="0.2">
      <c r="C503" s="569">
        <v>500</v>
      </c>
      <c r="D503" s="580"/>
      <c r="E503" s="581"/>
      <c r="F503" s="582"/>
      <c r="G503" s="583"/>
      <c r="H503" s="773"/>
      <c r="I503" s="776"/>
      <c r="J503" s="779"/>
      <c r="K503" s="782"/>
    </row>
    <row r="504" spans="3:11" x14ac:dyDescent="0.2">
      <c r="C504" s="569">
        <v>501</v>
      </c>
      <c r="D504" s="580"/>
      <c r="E504" s="581"/>
      <c r="F504" s="582"/>
      <c r="G504" s="583"/>
      <c r="H504" s="773"/>
      <c r="I504" s="776"/>
      <c r="J504" s="779"/>
      <c r="K504" s="782"/>
    </row>
    <row r="505" spans="3:11" x14ac:dyDescent="0.2">
      <c r="C505" s="569">
        <v>502</v>
      </c>
      <c r="D505" s="580"/>
      <c r="E505" s="581"/>
      <c r="F505" s="582"/>
      <c r="G505" s="583"/>
      <c r="H505" s="773"/>
      <c r="I505" s="776"/>
      <c r="J505" s="779"/>
      <c r="K505" s="782"/>
    </row>
    <row r="506" spans="3:11" x14ac:dyDescent="0.2">
      <c r="C506" s="569">
        <v>503</v>
      </c>
      <c r="D506" s="580"/>
      <c r="E506" s="581"/>
      <c r="F506" s="582"/>
      <c r="G506" s="583"/>
      <c r="H506" s="773"/>
      <c r="I506" s="776"/>
      <c r="J506" s="779"/>
      <c r="K506" s="782"/>
    </row>
    <row r="507" spans="3:11" x14ac:dyDescent="0.2">
      <c r="C507" s="569">
        <v>504</v>
      </c>
      <c r="D507" s="580"/>
      <c r="E507" s="581"/>
      <c r="F507" s="582"/>
      <c r="G507" s="583"/>
      <c r="H507" s="773"/>
      <c r="I507" s="776"/>
      <c r="J507" s="779"/>
      <c r="K507" s="782"/>
    </row>
    <row r="508" spans="3:11" x14ac:dyDescent="0.2">
      <c r="C508" s="569">
        <v>505</v>
      </c>
      <c r="D508" s="580"/>
      <c r="E508" s="581"/>
      <c r="F508" s="582"/>
      <c r="G508" s="583"/>
      <c r="H508" s="773"/>
      <c r="I508" s="776"/>
      <c r="J508" s="779"/>
      <c r="K508" s="782"/>
    </row>
    <row r="509" spans="3:11" x14ac:dyDescent="0.2">
      <c r="C509" s="569">
        <v>506</v>
      </c>
      <c r="D509" s="580"/>
      <c r="E509" s="581"/>
      <c r="F509" s="582"/>
      <c r="G509" s="583"/>
      <c r="H509" s="773"/>
      <c r="I509" s="776"/>
      <c r="J509" s="779"/>
      <c r="K509" s="782"/>
    </row>
    <row r="510" spans="3:11" x14ac:dyDescent="0.2">
      <c r="C510" s="569">
        <v>507</v>
      </c>
      <c r="D510" s="580"/>
      <c r="E510" s="581"/>
      <c r="F510" s="582"/>
      <c r="G510" s="583"/>
      <c r="H510" s="773"/>
      <c r="I510" s="776"/>
      <c r="J510" s="779"/>
      <c r="K510" s="782"/>
    </row>
    <row r="511" spans="3:11" x14ac:dyDescent="0.2">
      <c r="C511" s="569">
        <v>508</v>
      </c>
      <c r="D511" s="580"/>
      <c r="E511" s="581"/>
      <c r="F511" s="582"/>
      <c r="G511" s="583"/>
      <c r="H511" s="773"/>
      <c r="I511" s="776"/>
      <c r="J511" s="779"/>
      <c r="K511" s="782"/>
    </row>
    <row r="512" spans="3:11" x14ac:dyDescent="0.2">
      <c r="C512" s="569">
        <v>509</v>
      </c>
      <c r="D512" s="580"/>
      <c r="E512" s="581"/>
      <c r="F512" s="582"/>
      <c r="G512" s="583"/>
      <c r="H512" s="773"/>
      <c r="I512" s="776"/>
      <c r="J512" s="779"/>
      <c r="K512" s="782"/>
    </row>
    <row r="513" spans="3:11" x14ac:dyDescent="0.2">
      <c r="C513" s="569">
        <v>510</v>
      </c>
      <c r="D513" s="580"/>
      <c r="E513" s="581"/>
      <c r="F513" s="582"/>
      <c r="G513" s="583"/>
      <c r="H513" s="773"/>
      <c r="I513" s="776"/>
      <c r="J513" s="779"/>
      <c r="K513" s="782"/>
    </row>
    <row r="514" spans="3:11" x14ac:dyDescent="0.2">
      <c r="C514" s="569">
        <v>511</v>
      </c>
      <c r="D514" s="580"/>
      <c r="E514" s="581"/>
      <c r="F514" s="582"/>
      <c r="G514" s="583"/>
      <c r="H514" s="773"/>
      <c r="I514" s="776"/>
      <c r="J514" s="779"/>
      <c r="K514" s="782"/>
    </row>
    <row r="515" spans="3:11" x14ac:dyDescent="0.2">
      <c r="C515" s="569">
        <v>512</v>
      </c>
      <c r="D515" s="580"/>
      <c r="E515" s="581"/>
      <c r="F515" s="582"/>
      <c r="G515" s="583"/>
      <c r="H515" s="773"/>
      <c r="I515" s="776"/>
      <c r="J515" s="779"/>
      <c r="K515" s="782"/>
    </row>
    <row r="516" spans="3:11" x14ac:dyDescent="0.2">
      <c r="C516" s="569">
        <v>513</v>
      </c>
      <c r="D516" s="580"/>
      <c r="E516" s="581"/>
      <c r="F516" s="582"/>
      <c r="G516" s="583"/>
      <c r="H516" s="773"/>
      <c r="I516" s="776"/>
      <c r="J516" s="779"/>
      <c r="K516" s="782"/>
    </row>
    <row r="517" spans="3:11" x14ac:dyDescent="0.2">
      <c r="C517" s="569">
        <v>514</v>
      </c>
      <c r="D517" s="580"/>
      <c r="E517" s="581"/>
      <c r="F517" s="582"/>
      <c r="G517" s="583"/>
      <c r="H517" s="773"/>
      <c r="I517" s="776"/>
      <c r="J517" s="779"/>
      <c r="K517" s="782"/>
    </row>
    <row r="518" spans="3:11" x14ac:dyDescent="0.2">
      <c r="C518" s="569">
        <v>515</v>
      </c>
      <c r="D518" s="580"/>
      <c r="E518" s="581"/>
      <c r="F518" s="582"/>
      <c r="G518" s="583"/>
      <c r="H518" s="773"/>
      <c r="I518" s="776"/>
      <c r="J518" s="779"/>
      <c r="K518" s="782"/>
    </row>
    <row r="519" spans="3:11" x14ac:dyDescent="0.2">
      <c r="C519" s="569">
        <v>516</v>
      </c>
      <c r="D519" s="580"/>
      <c r="E519" s="581"/>
      <c r="F519" s="582"/>
      <c r="G519" s="583"/>
      <c r="H519" s="773"/>
      <c r="I519" s="776"/>
      <c r="J519" s="779"/>
      <c r="K519" s="782"/>
    </row>
    <row r="520" spans="3:11" x14ac:dyDescent="0.2">
      <c r="C520" s="569">
        <v>517</v>
      </c>
      <c r="D520" s="580"/>
      <c r="E520" s="581"/>
      <c r="F520" s="582"/>
      <c r="G520" s="583"/>
      <c r="H520" s="773"/>
      <c r="I520" s="776"/>
      <c r="J520" s="779"/>
      <c r="K520" s="782"/>
    </row>
    <row r="521" spans="3:11" x14ac:dyDescent="0.2">
      <c r="C521" s="569">
        <v>518</v>
      </c>
      <c r="D521" s="580"/>
      <c r="E521" s="581"/>
      <c r="F521" s="582"/>
      <c r="G521" s="583"/>
      <c r="H521" s="773"/>
      <c r="I521" s="776"/>
      <c r="J521" s="779"/>
      <c r="K521" s="782"/>
    </row>
    <row r="522" spans="3:11" x14ac:dyDescent="0.2">
      <c r="C522" s="569">
        <v>519</v>
      </c>
      <c r="D522" s="580"/>
      <c r="E522" s="581"/>
      <c r="F522" s="582"/>
      <c r="G522" s="583"/>
      <c r="H522" s="773"/>
      <c r="I522" s="776"/>
      <c r="J522" s="779"/>
      <c r="K522" s="782"/>
    </row>
    <row r="523" spans="3:11" x14ac:dyDescent="0.2">
      <c r="C523" s="569">
        <v>520</v>
      </c>
      <c r="D523" s="580"/>
      <c r="E523" s="581"/>
      <c r="F523" s="582"/>
      <c r="G523" s="583"/>
      <c r="H523" s="773"/>
      <c r="I523" s="776"/>
      <c r="J523" s="779"/>
      <c r="K523" s="782"/>
    </row>
    <row r="524" spans="3:11" x14ac:dyDescent="0.2">
      <c r="C524" s="569">
        <v>521</v>
      </c>
      <c r="D524" s="580"/>
      <c r="E524" s="581"/>
      <c r="F524" s="582"/>
      <c r="G524" s="583"/>
      <c r="H524" s="773"/>
      <c r="I524" s="776"/>
      <c r="J524" s="779"/>
      <c r="K524" s="782"/>
    </row>
    <row r="525" spans="3:11" x14ac:dyDescent="0.2">
      <c r="C525" s="569">
        <v>522</v>
      </c>
      <c r="D525" s="580"/>
      <c r="E525" s="581"/>
      <c r="F525" s="582"/>
      <c r="G525" s="583"/>
      <c r="H525" s="773"/>
      <c r="I525" s="776"/>
      <c r="J525" s="779"/>
      <c r="K525" s="782"/>
    </row>
    <row r="526" spans="3:11" x14ac:dyDescent="0.2">
      <c r="C526" s="569">
        <v>523</v>
      </c>
      <c r="D526" s="580"/>
      <c r="E526" s="581"/>
      <c r="F526" s="582"/>
      <c r="G526" s="583"/>
      <c r="H526" s="773"/>
      <c r="I526" s="776"/>
      <c r="J526" s="779"/>
      <c r="K526" s="782"/>
    </row>
    <row r="527" spans="3:11" x14ac:dyDescent="0.2">
      <c r="C527" s="569">
        <v>524</v>
      </c>
      <c r="D527" s="580"/>
      <c r="E527" s="581"/>
      <c r="F527" s="582"/>
      <c r="G527" s="583"/>
      <c r="H527" s="773"/>
      <c r="I527" s="776"/>
      <c r="J527" s="779"/>
      <c r="K527" s="782"/>
    </row>
    <row r="528" spans="3:11" x14ac:dyDescent="0.2">
      <c r="C528" s="569">
        <v>525</v>
      </c>
      <c r="D528" s="580"/>
      <c r="E528" s="581"/>
      <c r="F528" s="582"/>
      <c r="G528" s="583"/>
      <c r="H528" s="773"/>
      <c r="I528" s="776"/>
      <c r="J528" s="779"/>
      <c r="K528" s="782"/>
    </row>
    <row r="529" spans="3:11" x14ac:dyDescent="0.2">
      <c r="C529" s="569">
        <v>526</v>
      </c>
      <c r="D529" s="580"/>
      <c r="E529" s="581"/>
      <c r="F529" s="582"/>
      <c r="G529" s="583"/>
      <c r="H529" s="773"/>
      <c r="I529" s="776"/>
      <c r="J529" s="779"/>
      <c r="K529" s="782"/>
    </row>
    <row r="530" spans="3:11" x14ac:dyDescent="0.2">
      <c r="C530" s="569">
        <v>527</v>
      </c>
      <c r="D530" s="580"/>
      <c r="E530" s="581"/>
      <c r="F530" s="582"/>
      <c r="G530" s="583"/>
      <c r="H530" s="773"/>
      <c r="I530" s="776"/>
      <c r="J530" s="779"/>
      <c r="K530" s="782"/>
    </row>
    <row r="531" spans="3:11" x14ac:dyDescent="0.2">
      <c r="C531" s="569">
        <v>528</v>
      </c>
      <c r="D531" s="580"/>
      <c r="E531" s="581"/>
      <c r="F531" s="582"/>
      <c r="G531" s="583"/>
      <c r="H531" s="773"/>
      <c r="I531" s="776"/>
      <c r="J531" s="779"/>
      <c r="K531" s="782"/>
    </row>
    <row r="532" spans="3:11" x14ac:dyDescent="0.2">
      <c r="C532" s="569">
        <v>529</v>
      </c>
      <c r="D532" s="580"/>
      <c r="E532" s="581"/>
      <c r="F532" s="582"/>
      <c r="G532" s="583"/>
      <c r="H532" s="773"/>
      <c r="I532" s="776"/>
      <c r="J532" s="779"/>
      <c r="K532" s="782"/>
    </row>
    <row r="533" spans="3:11" x14ac:dyDescent="0.2">
      <c r="C533" s="569">
        <v>530</v>
      </c>
      <c r="D533" s="580"/>
      <c r="E533" s="581"/>
      <c r="F533" s="582"/>
      <c r="G533" s="583"/>
      <c r="H533" s="773"/>
      <c r="I533" s="776"/>
      <c r="J533" s="779"/>
      <c r="K533" s="782"/>
    </row>
    <row r="534" spans="3:11" x14ac:dyDescent="0.2">
      <c r="C534" s="569">
        <v>531</v>
      </c>
      <c r="D534" s="580"/>
      <c r="E534" s="581"/>
      <c r="F534" s="582"/>
      <c r="G534" s="583"/>
      <c r="H534" s="773"/>
      <c r="I534" s="776"/>
      <c r="J534" s="779"/>
      <c r="K534" s="782"/>
    </row>
    <row r="535" spans="3:11" x14ac:dyDescent="0.2">
      <c r="C535" s="569">
        <v>532</v>
      </c>
      <c r="D535" s="580"/>
      <c r="E535" s="581"/>
      <c r="F535" s="582"/>
      <c r="G535" s="583"/>
      <c r="H535" s="773"/>
      <c r="I535" s="776"/>
      <c r="J535" s="779"/>
      <c r="K535" s="782"/>
    </row>
    <row r="536" spans="3:11" x14ac:dyDescent="0.2">
      <c r="C536" s="569">
        <v>533</v>
      </c>
      <c r="D536" s="580"/>
      <c r="E536" s="581"/>
      <c r="F536" s="582"/>
      <c r="G536" s="583"/>
      <c r="H536" s="773"/>
      <c r="I536" s="776"/>
      <c r="J536" s="779"/>
      <c r="K536" s="782"/>
    </row>
    <row r="537" spans="3:11" x14ac:dyDescent="0.2">
      <c r="C537" s="569">
        <v>534</v>
      </c>
      <c r="D537" s="580"/>
      <c r="E537" s="581"/>
      <c r="F537" s="582"/>
      <c r="G537" s="583"/>
      <c r="H537" s="773"/>
      <c r="I537" s="776"/>
      <c r="J537" s="779"/>
      <c r="K537" s="782"/>
    </row>
    <row r="538" spans="3:11" x14ac:dyDescent="0.2">
      <c r="C538" s="569">
        <v>535</v>
      </c>
      <c r="D538" s="580"/>
      <c r="E538" s="581"/>
      <c r="F538" s="582"/>
      <c r="G538" s="583"/>
      <c r="H538" s="773"/>
      <c r="I538" s="776"/>
      <c r="J538" s="779"/>
      <c r="K538" s="782"/>
    </row>
    <row r="539" spans="3:11" x14ac:dyDescent="0.2">
      <c r="C539" s="569">
        <v>536</v>
      </c>
      <c r="D539" s="580"/>
      <c r="E539" s="581"/>
      <c r="F539" s="582"/>
      <c r="G539" s="583"/>
      <c r="H539" s="773"/>
      <c r="I539" s="776"/>
      <c r="J539" s="779"/>
      <c r="K539" s="782"/>
    </row>
    <row r="540" spans="3:11" x14ac:dyDescent="0.2">
      <c r="C540" s="569">
        <v>537</v>
      </c>
      <c r="D540" s="580"/>
      <c r="E540" s="581"/>
      <c r="F540" s="582"/>
      <c r="G540" s="583"/>
      <c r="H540" s="773"/>
      <c r="I540" s="776"/>
      <c r="J540" s="779"/>
      <c r="K540" s="782"/>
    </row>
    <row r="541" spans="3:11" x14ac:dyDescent="0.2">
      <c r="C541" s="569">
        <v>538</v>
      </c>
      <c r="D541" s="580"/>
      <c r="E541" s="581"/>
      <c r="F541" s="582"/>
      <c r="G541" s="583"/>
      <c r="H541" s="773"/>
      <c r="I541" s="776"/>
      <c r="J541" s="779"/>
      <c r="K541" s="782"/>
    </row>
    <row r="542" spans="3:11" x14ac:dyDescent="0.2">
      <c r="C542" s="569">
        <v>539</v>
      </c>
      <c r="D542" s="580"/>
      <c r="E542" s="581"/>
      <c r="F542" s="582"/>
      <c r="G542" s="583"/>
      <c r="H542" s="773"/>
      <c r="I542" s="776"/>
      <c r="J542" s="779"/>
      <c r="K542" s="782"/>
    </row>
    <row r="543" spans="3:11" x14ac:dyDescent="0.2">
      <c r="C543" s="569">
        <v>540</v>
      </c>
      <c r="D543" s="580"/>
      <c r="E543" s="581"/>
      <c r="F543" s="582"/>
      <c r="G543" s="583"/>
      <c r="H543" s="773"/>
      <c r="I543" s="776"/>
      <c r="J543" s="779"/>
      <c r="K543" s="782"/>
    </row>
    <row r="544" spans="3:11" x14ac:dyDescent="0.2">
      <c r="C544" s="569">
        <v>541</v>
      </c>
      <c r="D544" s="580"/>
      <c r="E544" s="581"/>
      <c r="F544" s="582"/>
      <c r="G544" s="583"/>
      <c r="H544" s="773"/>
      <c r="I544" s="776"/>
      <c r="J544" s="779"/>
      <c r="K544" s="782"/>
    </row>
    <row r="545" spans="3:11" x14ac:dyDescent="0.2">
      <c r="C545" s="569">
        <v>542</v>
      </c>
      <c r="D545" s="580"/>
      <c r="E545" s="581"/>
      <c r="F545" s="582"/>
      <c r="G545" s="583"/>
      <c r="H545" s="773"/>
      <c r="I545" s="776"/>
      <c r="J545" s="779"/>
      <c r="K545" s="782"/>
    </row>
    <row r="546" spans="3:11" x14ac:dyDescent="0.2">
      <c r="C546" s="569">
        <v>543</v>
      </c>
      <c r="D546" s="580"/>
      <c r="E546" s="581"/>
      <c r="F546" s="582"/>
      <c r="G546" s="583"/>
      <c r="H546" s="773"/>
      <c r="I546" s="776"/>
      <c r="J546" s="779"/>
      <c r="K546" s="782"/>
    </row>
    <row r="547" spans="3:11" x14ac:dyDescent="0.2">
      <c r="C547" s="569">
        <v>544</v>
      </c>
      <c r="D547" s="580"/>
      <c r="E547" s="581"/>
      <c r="F547" s="582"/>
      <c r="G547" s="583"/>
      <c r="H547" s="773"/>
      <c r="I547" s="776"/>
      <c r="J547" s="779"/>
      <c r="K547" s="782"/>
    </row>
    <row r="548" spans="3:11" x14ac:dyDescent="0.2">
      <c r="C548" s="569">
        <v>545</v>
      </c>
      <c r="D548" s="580"/>
      <c r="E548" s="581"/>
      <c r="F548" s="582"/>
      <c r="G548" s="583"/>
      <c r="H548" s="773"/>
      <c r="I548" s="776"/>
      <c r="J548" s="779"/>
      <c r="K548" s="782"/>
    </row>
    <row r="549" spans="3:11" x14ac:dyDescent="0.2">
      <c r="C549" s="569">
        <v>546</v>
      </c>
      <c r="D549" s="580"/>
      <c r="E549" s="581"/>
      <c r="F549" s="582"/>
      <c r="G549" s="583"/>
      <c r="H549" s="773"/>
      <c r="I549" s="776"/>
      <c r="J549" s="779"/>
      <c r="K549" s="782"/>
    </row>
    <row r="550" spans="3:11" x14ac:dyDescent="0.2">
      <c r="C550" s="569">
        <v>547</v>
      </c>
      <c r="D550" s="580"/>
      <c r="E550" s="581"/>
      <c r="F550" s="582"/>
      <c r="G550" s="583"/>
      <c r="H550" s="773"/>
      <c r="I550" s="776"/>
      <c r="J550" s="779"/>
      <c r="K550" s="782"/>
    </row>
    <row r="551" spans="3:11" x14ac:dyDescent="0.2">
      <c r="C551" s="569">
        <v>548</v>
      </c>
      <c r="D551" s="580"/>
      <c r="E551" s="581"/>
      <c r="F551" s="582"/>
      <c r="G551" s="583"/>
      <c r="H551" s="773"/>
      <c r="I551" s="776"/>
      <c r="J551" s="779"/>
      <c r="K551" s="782"/>
    </row>
    <row r="552" spans="3:11" x14ac:dyDescent="0.2">
      <c r="C552" s="569">
        <v>549</v>
      </c>
      <c r="D552" s="580"/>
      <c r="E552" s="581"/>
      <c r="F552" s="582"/>
      <c r="G552" s="583"/>
      <c r="H552" s="773"/>
      <c r="I552" s="776"/>
      <c r="J552" s="779"/>
      <c r="K552" s="782"/>
    </row>
    <row r="553" spans="3:11" x14ac:dyDescent="0.2">
      <c r="C553" s="569">
        <v>550</v>
      </c>
      <c r="D553" s="580"/>
      <c r="E553" s="581"/>
      <c r="F553" s="582"/>
      <c r="G553" s="583"/>
      <c r="H553" s="773"/>
      <c r="I553" s="776"/>
      <c r="J553" s="779"/>
      <c r="K553" s="782"/>
    </row>
    <row r="554" spans="3:11" x14ac:dyDescent="0.2">
      <c r="C554" s="569">
        <v>551</v>
      </c>
      <c r="D554" s="580"/>
      <c r="E554" s="581"/>
      <c r="F554" s="582"/>
      <c r="G554" s="583"/>
      <c r="H554" s="773"/>
      <c r="I554" s="776"/>
      <c r="J554" s="779"/>
      <c r="K554" s="782"/>
    </row>
    <row r="555" spans="3:11" x14ac:dyDescent="0.2">
      <c r="C555" s="569">
        <v>552</v>
      </c>
      <c r="D555" s="580"/>
      <c r="E555" s="581"/>
      <c r="F555" s="582"/>
      <c r="G555" s="583"/>
      <c r="H555" s="773"/>
      <c r="I555" s="776"/>
      <c r="J555" s="779"/>
      <c r="K555" s="782"/>
    </row>
    <row r="556" spans="3:11" x14ac:dyDescent="0.2">
      <c r="C556" s="569">
        <v>553</v>
      </c>
      <c r="D556" s="580"/>
      <c r="E556" s="581"/>
      <c r="F556" s="582"/>
      <c r="G556" s="583"/>
      <c r="H556" s="773"/>
      <c r="I556" s="776"/>
      <c r="J556" s="779"/>
      <c r="K556" s="782"/>
    </row>
    <row r="557" spans="3:11" x14ac:dyDescent="0.2">
      <c r="C557" s="569">
        <v>554</v>
      </c>
      <c r="D557" s="580"/>
      <c r="E557" s="581"/>
      <c r="F557" s="582"/>
      <c r="G557" s="583"/>
      <c r="H557" s="773"/>
      <c r="I557" s="776"/>
      <c r="J557" s="779"/>
      <c r="K557" s="782"/>
    </row>
    <row r="558" spans="3:11" x14ac:dyDescent="0.2">
      <c r="C558" s="569">
        <v>555</v>
      </c>
      <c r="D558" s="580"/>
      <c r="E558" s="581"/>
      <c r="F558" s="582"/>
      <c r="G558" s="583"/>
      <c r="H558" s="773"/>
      <c r="I558" s="776"/>
      <c r="J558" s="779"/>
      <c r="K558" s="782"/>
    </row>
    <row r="559" spans="3:11" x14ac:dyDescent="0.2">
      <c r="C559" s="569">
        <v>556</v>
      </c>
      <c r="D559" s="580"/>
      <c r="E559" s="581"/>
      <c r="F559" s="582"/>
      <c r="G559" s="583"/>
      <c r="H559" s="773"/>
      <c r="I559" s="776"/>
      <c r="J559" s="779"/>
      <c r="K559" s="782"/>
    </row>
    <row r="560" spans="3:11" x14ac:dyDescent="0.2">
      <c r="C560" s="569">
        <v>557</v>
      </c>
      <c r="D560" s="580"/>
      <c r="E560" s="581"/>
      <c r="F560" s="582"/>
      <c r="G560" s="583"/>
      <c r="H560" s="773"/>
      <c r="I560" s="776"/>
      <c r="J560" s="779"/>
      <c r="K560" s="782"/>
    </row>
    <row r="561" spans="3:11" x14ac:dyDescent="0.2">
      <c r="C561" s="569">
        <v>558</v>
      </c>
      <c r="D561" s="580"/>
      <c r="E561" s="581"/>
      <c r="F561" s="582"/>
      <c r="G561" s="583"/>
      <c r="H561" s="773"/>
      <c r="I561" s="776"/>
      <c r="J561" s="779"/>
      <c r="K561" s="782"/>
    </row>
    <row r="562" spans="3:11" x14ac:dyDescent="0.2">
      <c r="C562" s="569">
        <v>559</v>
      </c>
      <c r="D562" s="580"/>
      <c r="E562" s="581"/>
      <c r="F562" s="582"/>
      <c r="G562" s="583"/>
      <c r="H562" s="773"/>
      <c r="I562" s="776"/>
      <c r="J562" s="779"/>
      <c r="K562" s="782"/>
    </row>
    <row r="563" spans="3:11" x14ac:dyDescent="0.2">
      <c r="C563" s="569">
        <v>560</v>
      </c>
      <c r="D563" s="580"/>
      <c r="E563" s="581"/>
      <c r="F563" s="582"/>
      <c r="G563" s="583"/>
      <c r="H563" s="773"/>
      <c r="I563" s="776"/>
      <c r="J563" s="779"/>
      <c r="K563" s="782"/>
    </row>
    <row r="564" spans="3:11" x14ac:dyDescent="0.2">
      <c r="C564" s="569">
        <v>561</v>
      </c>
      <c r="D564" s="580"/>
      <c r="E564" s="581"/>
      <c r="F564" s="582"/>
      <c r="G564" s="583"/>
      <c r="H564" s="773"/>
      <c r="I564" s="776"/>
      <c r="J564" s="779"/>
      <c r="K564" s="782"/>
    </row>
    <row r="565" spans="3:11" x14ac:dyDescent="0.2">
      <c r="C565" s="569">
        <v>562</v>
      </c>
      <c r="D565" s="580"/>
      <c r="E565" s="581"/>
      <c r="F565" s="582"/>
      <c r="G565" s="583"/>
      <c r="H565" s="773"/>
      <c r="I565" s="776"/>
      <c r="J565" s="779"/>
      <c r="K565" s="782"/>
    </row>
    <row r="566" spans="3:11" x14ac:dyDescent="0.2">
      <c r="C566" s="569">
        <v>563</v>
      </c>
      <c r="D566" s="580"/>
      <c r="E566" s="581"/>
      <c r="F566" s="582"/>
      <c r="G566" s="583"/>
      <c r="H566" s="773"/>
      <c r="I566" s="776"/>
      <c r="J566" s="779"/>
      <c r="K566" s="782"/>
    </row>
    <row r="567" spans="3:11" x14ac:dyDescent="0.2">
      <c r="C567" s="569">
        <v>564</v>
      </c>
      <c r="D567" s="580"/>
      <c r="E567" s="581"/>
      <c r="F567" s="582"/>
      <c r="G567" s="583"/>
      <c r="H567" s="773"/>
      <c r="I567" s="776"/>
      <c r="J567" s="779"/>
      <c r="K567" s="782"/>
    </row>
    <row r="568" spans="3:11" x14ac:dyDescent="0.2">
      <c r="C568" s="569">
        <v>565</v>
      </c>
      <c r="D568" s="580"/>
      <c r="E568" s="581"/>
      <c r="F568" s="582"/>
      <c r="G568" s="583"/>
      <c r="H568" s="773"/>
      <c r="I568" s="776"/>
      <c r="J568" s="779"/>
      <c r="K568" s="782"/>
    </row>
    <row r="569" spans="3:11" x14ac:dyDescent="0.2">
      <c r="C569" s="569">
        <v>566</v>
      </c>
      <c r="D569" s="580"/>
      <c r="E569" s="581"/>
      <c r="F569" s="582"/>
      <c r="G569" s="583"/>
      <c r="H569" s="773"/>
      <c r="I569" s="776"/>
      <c r="J569" s="779"/>
      <c r="K569" s="782"/>
    </row>
    <row r="570" spans="3:11" x14ac:dyDescent="0.2">
      <c r="C570" s="569">
        <v>567</v>
      </c>
      <c r="D570" s="580"/>
      <c r="E570" s="581"/>
      <c r="F570" s="582"/>
      <c r="G570" s="583"/>
      <c r="H570" s="773"/>
      <c r="I570" s="776"/>
      <c r="J570" s="779"/>
      <c r="K570" s="782"/>
    </row>
    <row r="571" spans="3:11" x14ac:dyDescent="0.2">
      <c r="C571" s="569">
        <v>568</v>
      </c>
      <c r="D571" s="580"/>
      <c r="E571" s="581"/>
      <c r="F571" s="582"/>
      <c r="G571" s="583"/>
      <c r="H571" s="773"/>
      <c r="I571" s="776"/>
      <c r="J571" s="779"/>
      <c r="K571" s="782"/>
    </row>
    <row r="572" spans="3:11" x14ac:dyDescent="0.2">
      <c r="C572" s="569">
        <v>569</v>
      </c>
      <c r="D572" s="580"/>
      <c r="E572" s="581"/>
      <c r="F572" s="582"/>
      <c r="G572" s="583"/>
      <c r="H572" s="773"/>
      <c r="I572" s="776"/>
      <c r="J572" s="779"/>
      <c r="K572" s="782"/>
    </row>
    <row r="573" spans="3:11" x14ac:dyDescent="0.2">
      <c r="C573" s="569">
        <v>570</v>
      </c>
      <c r="D573" s="580"/>
      <c r="E573" s="581"/>
      <c r="F573" s="582"/>
      <c r="G573" s="583"/>
      <c r="H573" s="773"/>
      <c r="I573" s="776"/>
      <c r="J573" s="779"/>
      <c r="K573" s="782"/>
    </row>
    <row r="574" spans="3:11" x14ac:dyDescent="0.2">
      <c r="C574" s="569">
        <v>571</v>
      </c>
      <c r="D574" s="580"/>
      <c r="E574" s="581"/>
      <c r="F574" s="582"/>
      <c r="G574" s="583"/>
      <c r="H574" s="773"/>
      <c r="I574" s="776"/>
      <c r="J574" s="779"/>
      <c r="K574" s="782"/>
    </row>
    <row r="575" spans="3:11" x14ac:dyDescent="0.2">
      <c r="C575" s="569">
        <v>572</v>
      </c>
      <c r="D575" s="580"/>
      <c r="E575" s="581"/>
      <c r="F575" s="582"/>
      <c r="G575" s="583"/>
      <c r="H575" s="773"/>
      <c r="I575" s="776"/>
      <c r="J575" s="779"/>
      <c r="K575" s="782"/>
    </row>
    <row r="576" spans="3:11" x14ac:dyDescent="0.2">
      <c r="C576" s="569">
        <v>573</v>
      </c>
      <c r="D576" s="580"/>
      <c r="E576" s="581"/>
      <c r="F576" s="582"/>
      <c r="G576" s="583"/>
      <c r="H576" s="773"/>
      <c r="I576" s="776"/>
      <c r="J576" s="779"/>
      <c r="K576" s="782"/>
    </row>
    <row r="577" spans="3:11" x14ac:dyDescent="0.2">
      <c r="C577" s="569">
        <v>574</v>
      </c>
      <c r="D577" s="580"/>
      <c r="E577" s="581"/>
      <c r="F577" s="582"/>
      <c r="G577" s="583"/>
      <c r="H577" s="773"/>
      <c r="I577" s="776"/>
      <c r="J577" s="779"/>
      <c r="K577" s="782"/>
    </row>
    <row r="578" spans="3:11" x14ac:dyDescent="0.2">
      <c r="C578" s="569">
        <v>575</v>
      </c>
      <c r="D578" s="580"/>
      <c r="E578" s="581"/>
      <c r="F578" s="582"/>
      <c r="G578" s="583"/>
      <c r="H578" s="773"/>
      <c r="I578" s="776"/>
      <c r="J578" s="779"/>
      <c r="K578" s="782"/>
    </row>
    <row r="579" spans="3:11" x14ac:dyDescent="0.2">
      <c r="C579" s="569">
        <v>576</v>
      </c>
      <c r="D579" s="580"/>
      <c r="E579" s="581"/>
      <c r="F579" s="582"/>
      <c r="G579" s="583"/>
      <c r="H579" s="773"/>
      <c r="I579" s="776"/>
      <c r="J579" s="779"/>
      <c r="K579" s="782"/>
    </row>
    <row r="580" spans="3:11" x14ac:dyDescent="0.2">
      <c r="C580" s="569">
        <v>577</v>
      </c>
      <c r="D580" s="580"/>
      <c r="E580" s="581"/>
      <c r="F580" s="582"/>
      <c r="G580" s="583"/>
      <c r="H580" s="773"/>
      <c r="I580" s="776"/>
      <c r="J580" s="779"/>
      <c r="K580" s="782"/>
    </row>
    <row r="581" spans="3:11" x14ac:dyDescent="0.2">
      <c r="C581" s="569">
        <v>578</v>
      </c>
      <c r="D581" s="580"/>
      <c r="E581" s="581"/>
      <c r="F581" s="582"/>
      <c r="G581" s="583"/>
      <c r="H581" s="773"/>
      <c r="I581" s="776"/>
      <c r="J581" s="779"/>
      <c r="K581" s="782"/>
    </row>
    <row r="582" spans="3:11" x14ac:dyDescent="0.2">
      <c r="C582" s="569">
        <v>579</v>
      </c>
      <c r="D582" s="580"/>
      <c r="E582" s="581"/>
      <c r="F582" s="582"/>
      <c r="G582" s="583"/>
      <c r="H582" s="773"/>
      <c r="I582" s="776"/>
      <c r="J582" s="779"/>
      <c r="K582" s="782"/>
    </row>
    <row r="583" spans="3:11" x14ac:dyDescent="0.2">
      <c r="C583" s="569">
        <v>580</v>
      </c>
      <c r="D583" s="580"/>
      <c r="E583" s="581"/>
      <c r="F583" s="582"/>
      <c r="G583" s="583"/>
      <c r="H583" s="773"/>
      <c r="I583" s="776"/>
      <c r="J583" s="779"/>
      <c r="K583" s="782"/>
    </row>
    <row r="584" spans="3:11" x14ac:dyDescent="0.2">
      <c r="C584" s="569">
        <v>581</v>
      </c>
      <c r="D584" s="580"/>
      <c r="E584" s="581"/>
      <c r="F584" s="582"/>
      <c r="G584" s="583"/>
      <c r="H584" s="773"/>
      <c r="I584" s="776"/>
      <c r="J584" s="779"/>
      <c r="K584" s="782"/>
    </row>
    <row r="585" spans="3:11" x14ac:dyDescent="0.2">
      <c r="C585" s="569">
        <v>582</v>
      </c>
      <c r="D585" s="580"/>
      <c r="E585" s="581"/>
      <c r="F585" s="582"/>
      <c r="G585" s="583"/>
      <c r="H585" s="773"/>
      <c r="I585" s="776"/>
      <c r="J585" s="779"/>
      <c r="K585" s="782"/>
    </row>
    <row r="586" spans="3:11" x14ac:dyDescent="0.2">
      <c r="C586" s="569">
        <v>583</v>
      </c>
      <c r="D586" s="580"/>
      <c r="E586" s="581"/>
      <c r="F586" s="582"/>
      <c r="G586" s="583"/>
      <c r="H586" s="773"/>
      <c r="I586" s="776"/>
      <c r="J586" s="779"/>
      <c r="K586" s="782"/>
    </row>
    <row r="587" spans="3:11" x14ac:dyDescent="0.2">
      <c r="C587" s="569">
        <v>584</v>
      </c>
      <c r="D587" s="580"/>
      <c r="E587" s="581"/>
      <c r="F587" s="582"/>
      <c r="G587" s="583"/>
      <c r="H587" s="773"/>
      <c r="I587" s="776"/>
      <c r="J587" s="779"/>
      <c r="K587" s="782"/>
    </row>
    <row r="588" spans="3:11" x14ac:dyDescent="0.2">
      <c r="C588" s="569">
        <v>585</v>
      </c>
      <c r="D588" s="580"/>
      <c r="E588" s="581"/>
      <c r="F588" s="582"/>
      <c r="G588" s="583"/>
      <c r="H588" s="773"/>
      <c r="I588" s="776"/>
      <c r="J588" s="779"/>
      <c r="K588" s="782"/>
    </row>
    <row r="589" spans="3:11" x14ac:dyDescent="0.2">
      <c r="C589" s="569">
        <v>586</v>
      </c>
      <c r="D589" s="580"/>
      <c r="E589" s="581"/>
      <c r="F589" s="582"/>
      <c r="G589" s="583"/>
      <c r="H589" s="773"/>
      <c r="I589" s="776"/>
      <c r="J589" s="779"/>
      <c r="K589" s="782"/>
    </row>
    <row r="590" spans="3:11" x14ac:dyDescent="0.2">
      <c r="C590" s="569">
        <v>587</v>
      </c>
      <c r="D590" s="580"/>
      <c r="E590" s="581"/>
      <c r="F590" s="582"/>
      <c r="G590" s="583"/>
      <c r="H590" s="773"/>
      <c r="I590" s="776"/>
      <c r="J590" s="779"/>
      <c r="K590" s="782"/>
    </row>
    <row r="591" spans="3:11" x14ac:dyDescent="0.2">
      <c r="C591" s="569">
        <v>588</v>
      </c>
      <c r="D591" s="580"/>
      <c r="E591" s="581"/>
      <c r="F591" s="582"/>
      <c r="G591" s="583"/>
      <c r="H591" s="773"/>
      <c r="I591" s="776"/>
      <c r="J591" s="779"/>
      <c r="K591" s="782"/>
    </row>
    <row r="592" spans="3:11" x14ac:dyDescent="0.2">
      <c r="C592" s="569">
        <v>589</v>
      </c>
      <c r="D592" s="580"/>
      <c r="E592" s="581"/>
      <c r="F592" s="582"/>
      <c r="G592" s="583"/>
      <c r="H592" s="773"/>
      <c r="I592" s="776"/>
      <c r="J592" s="779"/>
      <c r="K592" s="782"/>
    </row>
    <row r="593" spans="3:11" x14ac:dyDescent="0.2">
      <c r="C593" s="569">
        <v>590</v>
      </c>
      <c r="D593" s="580"/>
      <c r="E593" s="581"/>
      <c r="F593" s="582"/>
      <c r="G593" s="583"/>
      <c r="H593" s="773"/>
      <c r="I593" s="776"/>
      <c r="J593" s="779"/>
      <c r="K593" s="782"/>
    </row>
    <row r="594" spans="3:11" x14ac:dyDescent="0.2">
      <c r="C594" s="569">
        <v>591</v>
      </c>
      <c r="D594" s="580"/>
      <c r="E594" s="581"/>
      <c r="F594" s="582"/>
      <c r="G594" s="583"/>
      <c r="H594" s="773"/>
      <c r="I594" s="776"/>
      <c r="J594" s="779"/>
      <c r="K594" s="782"/>
    </row>
    <row r="595" spans="3:11" x14ac:dyDescent="0.2">
      <c r="C595" s="569">
        <v>592</v>
      </c>
      <c r="D595" s="580"/>
      <c r="E595" s="581"/>
      <c r="F595" s="582"/>
      <c r="G595" s="583"/>
      <c r="H595" s="773"/>
      <c r="I595" s="776"/>
      <c r="J595" s="779"/>
      <c r="K595" s="782"/>
    </row>
    <row r="596" spans="3:11" x14ac:dyDescent="0.2">
      <c r="C596" s="569">
        <v>593</v>
      </c>
      <c r="D596" s="580"/>
      <c r="E596" s="581"/>
      <c r="F596" s="582"/>
      <c r="G596" s="583"/>
      <c r="H596" s="773"/>
      <c r="I596" s="776"/>
      <c r="J596" s="779"/>
      <c r="K596" s="782"/>
    </row>
    <row r="597" spans="3:11" x14ac:dyDescent="0.2">
      <c r="C597" s="569">
        <v>594</v>
      </c>
      <c r="D597" s="580"/>
      <c r="E597" s="581"/>
      <c r="F597" s="582"/>
      <c r="G597" s="583"/>
      <c r="H597" s="773"/>
      <c r="I597" s="776"/>
      <c r="J597" s="779"/>
      <c r="K597" s="782"/>
    </row>
    <row r="598" spans="3:11" x14ac:dyDescent="0.2">
      <c r="C598" s="569">
        <v>595</v>
      </c>
      <c r="D598" s="580"/>
      <c r="E598" s="581"/>
      <c r="F598" s="582"/>
      <c r="G598" s="583"/>
      <c r="H598" s="773"/>
      <c r="I598" s="776"/>
      <c r="J598" s="779"/>
      <c r="K598" s="782"/>
    </row>
    <row r="599" spans="3:11" x14ac:dyDescent="0.2">
      <c r="C599" s="569">
        <v>596</v>
      </c>
      <c r="D599" s="580"/>
      <c r="E599" s="581"/>
      <c r="F599" s="582"/>
      <c r="G599" s="583"/>
      <c r="H599" s="773"/>
      <c r="I599" s="776"/>
      <c r="J599" s="779"/>
      <c r="K599" s="782"/>
    </row>
    <row r="600" spans="3:11" x14ac:dyDescent="0.2">
      <c r="C600" s="569">
        <v>597</v>
      </c>
      <c r="D600" s="580"/>
      <c r="E600" s="581"/>
      <c r="F600" s="582"/>
      <c r="G600" s="583"/>
      <c r="H600" s="773"/>
      <c r="I600" s="776"/>
      <c r="J600" s="779"/>
      <c r="K600" s="782"/>
    </row>
    <row r="601" spans="3:11" x14ac:dyDescent="0.2">
      <c r="C601" s="569">
        <v>598</v>
      </c>
      <c r="D601" s="580"/>
      <c r="E601" s="581"/>
      <c r="F601" s="582"/>
      <c r="G601" s="583"/>
      <c r="H601" s="773"/>
      <c r="I601" s="776"/>
      <c r="J601" s="779"/>
      <c r="K601" s="782"/>
    </row>
    <row r="602" spans="3:11" x14ac:dyDescent="0.2">
      <c r="C602" s="569">
        <v>599</v>
      </c>
      <c r="D602" s="580"/>
      <c r="E602" s="581"/>
      <c r="F602" s="582"/>
      <c r="G602" s="583"/>
      <c r="H602" s="773"/>
      <c r="I602" s="776"/>
      <c r="J602" s="779"/>
      <c r="K602" s="782"/>
    </row>
    <row r="603" spans="3:11" x14ac:dyDescent="0.2">
      <c r="C603" s="569">
        <v>600</v>
      </c>
      <c r="D603" s="580"/>
      <c r="E603" s="581"/>
      <c r="F603" s="582"/>
      <c r="G603" s="583"/>
      <c r="H603" s="773"/>
      <c r="I603" s="776"/>
      <c r="J603" s="779"/>
      <c r="K603" s="782"/>
    </row>
    <row r="604" spans="3:11" x14ac:dyDescent="0.2">
      <c r="C604" s="569">
        <v>601</v>
      </c>
      <c r="D604" s="580"/>
      <c r="E604" s="581"/>
      <c r="F604" s="582"/>
      <c r="G604" s="583"/>
      <c r="H604" s="773"/>
      <c r="I604" s="776"/>
      <c r="J604" s="779"/>
      <c r="K604" s="782"/>
    </row>
    <row r="605" spans="3:11" x14ac:dyDescent="0.2">
      <c r="C605" s="569">
        <v>602</v>
      </c>
      <c r="D605" s="580"/>
      <c r="E605" s="581"/>
      <c r="F605" s="582"/>
      <c r="G605" s="583"/>
      <c r="H605" s="773"/>
      <c r="I605" s="776"/>
      <c r="J605" s="779"/>
      <c r="K605" s="782"/>
    </row>
    <row r="606" spans="3:11" x14ac:dyDescent="0.2">
      <c r="C606" s="569">
        <v>603</v>
      </c>
      <c r="D606" s="580"/>
      <c r="E606" s="581"/>
      <c r="F606" s="582"/>
      <c r="G606" s="583"/>
      <c r="H606" s="773"/>
      <c r="I606" s="776"/>
      <c r="J606" s="779"/>
      <c r="K606" s="782"/>
    </row>
    <row r="607" spans="3:11" x14ac:dyDescent="0.2">
      <c r="C607" s="569">
        <v>604</v>
      </c>
      <c r="D607" s="580"/>
      <c r="E607" s="581"/>
      <c r="F607" s="582"/>
      <c r="G607" s="583"/>
      <c r="H607" s="773"/>
      <c r="I607" s="776"/>
      <c r="J607" s="779"/>
      <c r="K607" s="782"/>
    </row>
    <row r="608" spans="3:11" x14ac:dyDescent="0.2">
      <c r="C608" s="569">
        <v>605</v>
      </c>
      <c r="D608" s="580"/>
      <c r="E608" s="581"/>
      <c r="F608" s="582"/>
      <c r="G608" s="583"/>
      <c r="H608" s="773"/>
      <c r="I608" s="776"/>
      <c r="J608" s="779"/>
      <c r="K608" s="782"/>
    </row>
    <row r="609" spans="3:11" x14ac:dyDescent="0.2">
      <c r="C609" s="569">
        <v>606</v>
      </c>
      <c r="D609" s="580"/>
      <c r="E609" s="581"/>
      <c r="F609" s="582"/>
      <c r="G609" s="583"/>
      <c r="H609" s="773"/>
      <c r="I609" s="776"/>
      <c r="J609" s="779"/>
      <c r="K609" s="782"/>
    </row>
    <row r="610" spans="3:11" x14ac:dyDescent="0.2">
      <c r="C610" s="569">
        <v>607</v>
      </c>
      <c r="D610" s="580"/>
      <c r="E610" s="581"/>
      <c r="F610" s="582"/>
      <c r="G610" s="583"/>
      <c r="H610" s="773"/>
      <c r="I610" s="776"/>
      <c r="J610" s="779"/>
      <c r="K610" s="782"/>
    </row>
    <row r="611" spans="3:11" x14ac:dyDescent="0.2">
      <c r="C611" s="569">
        <v>608</v>
      </c>
      <c r="D611" s="580"/>
      <c r="E611" s="581"/>
      <c r="F611" s="582"/>
      <c r="G611" s="583"/>
      <c r="H611" s="773"/>
      <c r="I611" s="776"/>
      <c r="J611" s="779"/>
      <c r="K611" s="782"/>
    </row>
    <row r="612" spans="3:11" x14ac:dyDescent="0.2">
      <c r="C612" s="569">
        <v>609</v>
      </c>
      <c r="D612" s="580"/>
      <c r="E612" s="581"/>
      <c r="F612" s="582"/>
      <c r="G612" s="583"/>
      <c r="H612" s="773"/>
      <c r="I612" s="776"/>
      <c r="J612" s="779"/>
      <c r="K612" s="782"/>
    </row>
    <row r="613" spans="3:11" x14ac:dyDescent="0.2">
      <c r="C613" s="569">
        <v>610</v>
      </c>
      <c r="D613" s="580"/>
      <c r="E613" s="581"/>
      <c r="F613" s="582"/>
      <c r="G613" s="583"/>
      <c r="H613" s="773"/>
      <c r="I613" s="776"/>
      <c r="J613" s="779"/>
      <c r="K613" s="782"/>
    </row>
    <row r="614" spans="3:11" x14ac:dyDescent="0.2">
      <c r="C614" s="569">
        <v>611</v>
      </c>
      <c r="D614" s="580"/>
      <c r="E614" s="581"/>
      <c r="F614" s="582"/>
      <c r="G614" s="583"/>
      <c r="H614" s="773"/>
      <c r="I614" s="776"/>
      <c r="J614" s="779"/>
      <c r="K614" s="782"/>
    </row>
    <row r="615" spans="3:11" x14ac:dyDescent="0.2">
      <c r="C615" s="569">
        <v>612</v>
      </c>
      <c r="D615" s="580"/>
      <c r="E615" s="581"/>
      <c r="F615" s="582"/>
      <c r="G615" s="583"/>
      <c r="H615" s="773"/>
      <c r="I615" s="776"/>
      <c r="J615" s="779"/>
      <c r="K615" s="782"/>
    </row>
    <row r="616" spans="3:11" x14ac:dyDescent="0.2">
      <c r="C616" s="569">
        <v>613</v>
      </c>
      <c r="D616" s="580"/>
      <c r="E616" s="581"/>
      <c r="F616" s="582"/>
      <c r="G616" s="583"/>
      <c r="H616" s="773"/>
      <c r="I616" s="776"/>
      <c r="J616" s="779"/>
      <c r="K616" s="782"/>
    </row>
    <row r="617" spans="3:11" x14ac:dyDescent="0.2">
      <c r="C617" s="569">
        <v>614</v>
      </c>
      <c r="D617" s="580"/>
      <c r="E617" s="581"/>
      <c r="F617" s="582"/>
      <c r="G617" s="583"/>
      <c r="H617" s="773"/>
      <c r="I617" s="776"/>
      <c r="J617" s="779"/>
      <c r="K617" s="782"/>
    </row>
    <row r="618" spans="3:11" x14ac:dyDescent="0.2">
      <c r="C618" s="569">
        <v>615</v>
      </c>
      <c r="D618" s="580"/>
      <c r="E618" s="581"/>
      <c r="F618" s="582"/>
      <c r="G618" s="583"/>
      <c r="H618" s="773"/>
      <c r="I618" s="776"/>
      <c r="J618" s="779"/>
      <c r="K618" s="782"/>
    </row>
    <row r="619" spans="3:11" x14ac:dyDescent="0.2">
      <c r="C619" s="569">
        <v>616</v>
      </c>
      <c r="D619" s="580"/>
      <c r="E619" s="581"/>
      <c r="F619" s="582"/>
      <c r="G619" s="583"/>
      <c r="H619" s="773"/>
      <c r="I619" s="776"/>
      <c r="J619" s="779"/>
      <c r="K619" s="782"/>
    </row>
    <row r="620" spans="3:11" x14ac:dyDescent="0.2">
      <c r="C620" s="569">
        <v>617</v>
      </c>
      <c r="D620" s="580"/>
      <c r="E620" s="581"/>
      <c r="F620" s="582"/>
      <c r="G620" s="583"/>
      <c r="H620" s="773"/>
      <c r="I620" s="776"/>
      <c r="J620" s="779"/>
      <c r="K620" s="782"/>
    </row>
    <row r="621" spans="3:11" x14ac:dyDescent="0.2">
      <c r="C621" s="569">
        <v>618</v>
      </c>
      <c r="D621" s="580"/>
      <c r="E621" s="581"/>
      <c r="F621" s="582"/>
      <c r="G621" s="583"/>
      <c r="H621" s="773"/>
      <c r="I621" s="776"/>
      <c r="J621" s="779"/>
      <c r="K621" s="782"/>
    </row>
    <row r="622" spans="3:11" x14ac:dyDescent="0.2">
      <c r="C622" s="569">
        <v>619</v>
      </c>
      <c r="D622" s="580"/>
      <c r="E622" s="581"/>
      <c r="F622" s="582"/>
      <c r="G622" s="583"/>
      <c r="H622" s="773"/>
      <c r="I622" s="776"/>
      <c r="J622" s="779"/>
      <c r="K622" s="782"/>
    </row>
    <row r="623" spans="3:11" x14ac:dyDescent="0.2">
      <c r="C623" s="569">
        <v>620</v>
      </c>
      <c r="D623" s="580"/>
      <c r="E623" s="581"/>
      <c r="F623" s="582"/>
      <c r="G623" s="583"/>
      <c r="H623" s="773"/>
      <c r="I623" s="776"/>
      <c r="J623" s="779"/>
      <c r="K623" s="782"/>
    </row>
    <row r="624" spans="3:11" x14ac:dyDescent="0.2">
      <c r="C624" s="569">
        <v>621</v>
      </c>
      <c r="D624" s="580"/>
      <c r="E624" s="581"/>
      <c r="F624" s="582"/>
      <c r="G624" s="583"/>
      <c r="H624" s="773"/>
      <c r="I624" s="776"/>
      <c r="J624" s="779"/>
      <c r="K624" s="782"/>
    </row>
    <row r="625" spans="3:11" x14ac:dyDescent="0.2">
      <c r="C625" s="569">
        <v>622</v>
      </c>
      <c r="D625" s="580"/>
      <c r="E625" s="581"/>
      <c r="F625" s="582"/>
      <c r="G625" s="583"/>
      <c r="H625" s="773"/>
      <c r="I625" s="776"/>
      <c r="J625" s="779"/>
      <c r="K625" s="782"/>
    </row>
    <row r="626" spans="3:11" x14ac:dyDescent="0.2">
      <c r="C626" s="569">
        <v>623</v>
      </c>
      <c r="D626" s="580"/>
      <c r="E626" s="581"/>
      <c r="F626" s="582"/>
      <c r="G626" s="583"/>
      <c r="H626" s="773"/>
      <c r="I626" s="776"/>
      <c r="J626" s="779"/>
      <c r="K626" s="782"/>
    </row>
    <row r="627" spans="3:11" x14ac:dyDescent="0.2">
      <c r="C627" s="569">
        <v>624</v>
      </c>
      <c r="D627" s="580"/>
      <c r="E627" s="581"/>
      <c r="F627" s="582"/>
      <c r="G627" s="583"/>
      <c r="H627" s="773"/>
      <c r="I627" s="776"/>
      <c r="J627" s="779"/>
      <c r="K627" s="782"/>
    </row>
    <row r="628" spans="3:11" x14ac:dyDescent="0.2">
      <c r="C628" s="569">
        <v>625</v>
      </c>
      <c r="D628" s="580"/>
      <c r="E628" s="581"/>
      <c r="F628" s="582"/>
      <c r="G628" s="583"/>
      <c r="H628" s="773"/>
      <c r="I628" s="776"/>
      <c r="J628" s="779"/>
      <c r="K628" s="782"/>
    </row>
    <row r="629" spans="3:11" x14ac:dyDescent="0.2">
      <c r="C629" s="569">
        <v>626</v>
      </c>
      <c r="D629" s="580"/>
      <c r="E629" s="581"/>
      <c r="F629" s="582"/>
      <c r="G629" s="583"/>
      <c r="H629" s="773"/>
      <c r="I629" s="776"/>
      <c r="J629" s="779"/>
      <c r="K629" s="782"/>
    </row>
    <row r="630" spans="3:11" x14ac:dyDescent="0.2">
      <c r="C630" s="569">
        <v>627</v>
      </c>
      <c r="D630" s="580"/>
      <c r="E630" s="581"/>
      <c r="F630" s="582"/>
      <c r="G630" s="583"/>
      <c r="H630" s="773"/>
      <c r="I630" s="776"/>
      <c r="J630" s="779"/>
      <c r="K630" s="782"/>
    </row>
    <row r="631" spans="3:11" x14ac:dyDescent="0.2">
      <c r="C631" s="569">
        <v>628</v>
      </c>
      <c r="D631" s="580"/>
      <c r="E631" s="581"/>
      <c r="F631" s="582"/>
      <c r="G631" s="583"/>
      <c r="H631" s="773"/>
      <c r="I631" s="776"/>
      <c r="J631" s="779"/>
      <c r="K631" s="782"/>
    </row>
    <row r="632" spans="3:11" x14ac:dyDescent="0.2">
      <c r="C632" s="569">
        <v>629</v>
      </c>
      <c r="D632" s="580"/>
      <c r="E632" s="581"/>
      <c r="F632" s="582"/>
      <c r="G632" s="583"/>
      <c r="H632" s="773"/>
      <c r="I632" s="776"/>
      <c r="J632" s="779"/>
      <c r="K632" s="782"/>
    </row>
    <row r="633" spans="3:11" x14ac:dyDescent="0.2">
      <c r="C633" s="569">
        <v>630</v>
      </c>
      <c r="D633" s="580"/>
      <c r="E633" s="581"/>
      <c r="F633" s="582"/>
      <c r="G633" s="583"/>
      <c r="H633" s="773"/>
      <c r="I633" s="776"/>
      <c r="J633" s="779"/>
      <c r="K633" s="782"/>
    </row>
    <row r="634" spans="3:11" x14ac:dyDescent="0.2">
      <c r="C634" s="569">
        <v>631</v>
      </c>
      <c r="D634" s="580"/>
      <c r="E634" s="581"/>
      <c r="F634" s="582"/>
      <c r="G634" s="583"/>
      <c r="H634" s="773"/>
      <c r="I634" s="776"/>
      <c r="J634" s="779"/>
      <c r="K634" s="782"/>
    </row>
    <row r="635" spans="3:11" x14ac:dyDescent="0.2">
      <c r="C635" s="569">
        <v>632</v>
      </c>
      <c r="D635" s="580"/>
      <c r="E635" s="581"/>
      <c r="F635" s="582"/>
      <c r="G635" s="583"/>
      <c r="H635" s="773"/>
      <c r="I635" s="776"/>
      <c r="J635" s="779"/>
      <c r="K635" s="782"/>
    </row>
    <row r="636" spans="3:11" x14ac:dyDescent="0.2">
      <c r="C636" s="569">
        <v>633</v>
      </c>
      <c r="D636" s="580"/>
      <c r="E636" s="581"/>
      <c r="F636" s="582"/>
      <c r="G636" s="583"/>
      <c r="H636" s="773"/>
      <c r="I636" s="776"/>
      <c r="J636" s="779"/>
      <c r="K636" s="782"/>
    </row>
    <row r="637" spans="3:11" x14ac:dyDescent="0.2">
      <c r="C637" s="569">
        <v>634</v>
      </c>
      <c r="D637" s="580"/>
      <c r="E637" s="581"/>
      <c r="F637" s="582"/>
      <c r="G637" s="583"/>
      <c r="H637" s="773"/>
      <c r="I637" s="776"/>
      <c r="J637" s="779"/>
      <c r="K637" s="782"/>
    </row>
    <row r="638" spans="3:11" x14ac:dyDescent="0.2">
      <c r="C638" s="569">
        <v>635</v>
      </c>
      <c r="D638" s="580"/>
      <c r="E638" s="581"/>
      <c r="F638" s="582"/>
      <c r="G638" s="583"/>
      <c r="H638" s="773"/>
      <c r="I638" s="776"/>
      <c r="J638" s="779"/>
      <c r="K638" s="782"/>
    </row>
    <row r="639" spans="3:11" x14ac:dyDescent="0.2">
      <c r="C639" s="569">
        <v>636</v>
      </c>
      <c r="D639" s="580"/>
      <c r="E639" s="581"/>
      <c r="F639" s="582"/>
      <c r="G639" s="583"/>
      <c r="H639" s="773"/>
      <c r="I639" s="776"/>
      <c r="J639" s="779"/>
      <c r="K639" s="782"/>
    </row>
    <row r="640" spans="3:11" x14ac:dyDescent="0.2">
      <c r="C640" s="569">
        <v>637</v>
      </c>
      <c r="D640" s="580"/>
      <c r="E640" s="581"/>
      <c r="F640" s="582"/>
      <c r="G640" s="583"/>
      <c r="H640" s="773"/>
      <c r="I640" s="776"/>
      <c r="J640" s="779"/>
      <c r="K640" s="782"/>
    </row>
    <row r="641" spans="3:11" x14ac:dyDescent="0.2">
      <c r="C641" s="569">
        <v>638</v>
      </c>
      <c r="D641" s="580"/>
      <c r="E641" s="581"/>
      <c r="F641" s="582"/>
      <c r="G641" s="583"/>
      <c r="H641" s="773"/>
      <c r="I641" s="776"/>
      <c r="J641" s="779"/>
      <c r="K641" s="782"/>
    </row>
    <row r="642" spans="3:11" x14ac:dyDescent="0.2">
      <c r="C642" s="569">
        <v>639</v>
      </c>
      <c r="D642" s="580"/>
      <c r="E642" s="581"/>
      <c r="F642" s="582"/>
      <c r="G642" s="583"/>
      <c r="H642" s="773"/>
      <c r="I642" s="776"/>
      <c r="J642" s="779"/>
      <c r="K642" s="782"/>
    </row>
    <row r="643" spans="3:11" x14ac:dyDescent="0.2">
      <c r="C643" s="569">
        <v>640</v>
      </c>
      <c r="D643" s="580"/>
      <c r="E643" s="581"/>
      <c r="F643" s="582"/>
      <c r="G643" s="583"/>
      <c r="H643" s="773"/>
      <c r="I643" s="776"/>
      <c r="J643" s="779"/>
      <c r="K643" s="782"/>
    </row>
    <row r="644" spans="3:11" x14ac:dyDescent="0.2">
      <c r="C644" s="569">
        <v>641</v>
      </c>
      <c r="D644" s="580"/>
      <c r="E644" s="581"/>
      <c r="F644" s="582"/>
      <c r="G644" s="583"/>
      <c r="H644" s="773"/>
      <c r="I644" s="776"/>
      <c r="J644" s="779"/>
      <c r="K644" s="782"/>
    </row>
    <row r="645" spans="3:11" x14ac:dyDescent="0.2">
      <c r="C645" s="569">
        <v>642</v>
      </c>
      <c r="D645" s="580"/>
      <c r="E645" s="581"/>
      <c r="F645" s="582"/>
      <c r="G645" s="583"/>
      <c r="H645" s="773"/>
      <c r="I645" s="776"/>
      <c r="J645" s="779"/>
      <c r="K645" s="782"/>
    </row>
    <row r="646" spans="3:11" x14ac:dyDescent="0.2">
      <c r="C646" s="569">
        <v>643</v>
      </c>
      <c r="D646" s="580"/>
      <c r="E646" s="581"/>
      <c r="F646" s="582"/>
      <c r="G646" s="583"/>
      <c r="H646" s="773"/>
      <c r="I646" s="776"/>
      <c r="J646" s="779"/>
      <c r="K646" s="782"/>
    </row>
    <row r="647" spans="3:11" x14ac:dyDescent="0.2">
      <c r="C647" s="569">
        <v>644</v>
      </c>
      <c r="D647" s="580"/>
      <c r="E647" s="581"/>
      <c r="F647" s="582"/>
      <c r="G647" s="583"/>
      <c r="H647" s="773"/>
      <c r="I647" s="776"/>
      <c r="J647" s="779"/>
      <c r="K647" s="782"/>
    </row>
    <row r="648" spans="3:11" x14ac:dyDescent="0.2">
      <c r="C648" s="569">
        <v>645</v>
      </c>
      <c r="D648" s="580"/>
      <c r="E648" s="581"/>
      <c r="F648" s="582"/>
      <c r="G648" s="583"/>
      <c r="H648" s="773"/>
      <c r="I648" s="776"/>
      <c r="J648" s="779"/>
      <c r="K648" s="782"/>
    </row>
    <row r="649" spans="3:11" x14ac:dyDescent="0.2">
      <c r="C649" s="569">
        <v>646</v>
      </c>
      <c r="D649" s="580"/>
      <c r="E649" s="581"/>
      <c r="F649" s="582"/>
      <c r="G649" s="583"/>
      <c r="H649" s="773"/>
      <c r="I649" s="776"/>
      <c r="J649" s="779"/>
      <c r="K649" s="782"/>
    </row>
    <row r="650" spans="3:11" x14ac:dyDescent="0.2">
      <c r="C650" s="569">
        <v>647</v>
      </c>
      <c r="D650" s="580"/>
      <c r="E650" s="581"/>
      <c r="F650" s="582"/>
      <c r="G650" s="583"/>
      <c r="H650" s="773"/>
      <c r="I650" s="776"/>
      <c r="J650" s="779"/>
      <c r="K650" s="782"/>
    </row>
    <row r="651" spans="3:11" x14ac:dyDescent="0.2">
      <c r="C651" s="569">
        <v>648</v>
      </c>
      <c r="D651" s="580"/>
      <c r="E651" s="581"/>
      <c r="F651" s="582"/>
      <c r="G651" s="583"/>
      <c r="H651" s="773"/>
      <c r="I651" s="776"/>
      <c r="J651" s="779"/>
      <c r="K651" s="782"/>
    </row>
    <row r="652" spans="3:11" x14ac:dyDescent="0.2">
      <c r="C652" s="569">
        <v>649</v>
      </c>
      <c r="D652" s="580"/>
      <c r="E652" s="581"/>
      <c r="F652" s="582"/>
      <c r="G652" s="583"/>
      <c r="H652" s="773"/>
      <c r="I652" s="776"/>
      <c r="J652" s="779"/>
      <c r="K652" s="782"/>
    </row>
    <row r="653" spans="3:11" x14ac:dyDescent="0.2">
      <c r="C653" s="569">
        <v>650</v>
      </c>
      <c r="D653" s="580"/>
      <c r="E653" s="581"/>
      <c r="F653" s="582"/>
      <c r="G653" s="583"/>
      <c r="H653" s="773"/>
      <c r="I653" s="776"/>
      <c r="J653" s="779"/>
      <c r="K653" s="782"/>
    </row>
    <row r="654" spans="3:11" x14ac:dyDescent="0.2">
      <c r="C654" s="569">
        <v>651</v>
      </c>
      <c r="D654" s="580"/>
      <c r="E654" s="581"/>
      <c r="F654" s="582"/>
      <c r="G654" s="583"/>
      <c r="H654" s="773"/>
      <c r="I654" s="776"/>
      <c r="J654" s="779"/>
      <c r="K654" s="782"/>
    </row>
    <row r="655" spans="3:11" x14ac:dyDescent="0.2">
      <c r="C655" s="569">
        <v>652</v>
      </c>
      <c r="D655" s="580"/>
      <c r="E655" s="581"/>
      <c r="F655" s="582"/>
      <c r="G655" s="583"/>
      <c r="H655" s="773"/>
      <c r="I655" s="776"/>
      <c r="J655" s="779"/>
      <c r="K655" s="782"/>
    </row>
    <row r="656" spans="3:11" x14ac:dyDescent="0.2">
      <c r="C656" s="569">
        <v>653</v>
      </c>
      <c r="D656" s="580"/>
      <c r="E656" s="581"/>
      <c r="F656" s="582"/>
      <c r="G656" s="583"/>
      <c r="H656" s="773"/>
      <c r="I656" s="776"/>
      <c r="J656" s="779"/>
      <c r="K656" s="782"/>
    </row>
    <row r="657" spans="3:11" x14ac:dyDescent="0.2">
      <c r="C657" s="569">
        <v>654</v>
      </c>
      <c r="D657" s="580"/>
      <c r="E657" s="581"/>
      <c r="F657" s="582"/>
      <c r="G657" s="583"/>
      <c r="H657" s="773"/>
      <c r="I657" s="776"/>
      <c r="J657" s="779"/>
      <c r="K657" s="782"/>
    </row>
    <row r="658" spans="3:11" x14ac:dyDescent="0.2">
      <c r="C658" s="569">
        <v>655</v>
      </c>
      <c r="D658" s="580"/>
      <c r="E658" s="581"/>
      <c r="F658" s="582"/>
      <c r="G658" s="583"/>
      <c r="H658" s="773"/>
      <c r="I658" s="776"/>
      <c r="J658" s="779"/>
      <c r="K658" s="782"/>
    </row>
    <row r="659" spans="3:11" x14ac:dyDescent="0.2">
      <c r="C659" s="569">
        <v>656</v>
      </c>
      <c r="D659" s="580"/>
      <c r="E659" s="581"/>
      <c r="F659" s="582"/>
      <c r="G659" s="583"/>
      <c r="H659" s="773"/>
      <c r="I659" s="776"/>
      <c r="J659" s="779"/>
      <c r="K659" s="782"/>
    </row>
    <row r="660" spans="3:11" x14ac:dyDescent="0.2">
      <c r="C660" s="569">
        <v>657</v>
      </c>
      <c r="D660" s="580"/>
      <c r="E660" s="581"/>
      <c r="F660" s="582"/>
      <c r="G660" s="583"/>
      <c r="H660" s="773"/>
      <c r="I660" s="776"/>
      <c r="J660" s="779"/>
      <c r="K660" s="782"/>
    </row>
    <row r="661" spans="3:11" x14ac:dyDescent="0.2">
      <c r="C661" s="569">
        <v>658</v>
      </c>
      <c r="D661" s="580"/>
      <c r="E661" s="581"/>
      <c r="F661" s="582"/>
      <c r="G661" s="583"/>
      <c r="H661" s="773"/>
      <c r="I661" s="776"/>
      <c r="J661" s="779"/>
      <c r="K661" s="782"/>
    </row>
    <row r="662" spans="3:11" x14ac:dyDescent="0.2">
      <c r="C662" s="569">
        <v>659</v>
      </c>
      <c r="D662" s="580"/>
      <c r="E662" s="581"/>
      <c r="F662" s="582"/>
      <c r="G662" s="583"/>
      <c r="H662" s="773"/>
      <c r="I662" s="776"/>
      <c r="J662" s="779"/>
      <c r="K662" s="782"/>
    </row>
    <row r="663" spans="3:11" x14ac:dyDescent="0.2">
      <c r="C663" s="569">
        <v>660</v>
      </c>
      <c r="D663" s="580"/>
      <c r="E663" s="581"/>
      <c r="F663" s="582"/>
      <c r="G663" s="583"/>
      <c r="H663" s="773"/>
      <c r="I663" s="776"/>
      <c r="J663" s="779"/>
      <c r="K663" s="782"/>
    </row>
    <row r="664" spans="3:11" x14ac:dyDescent="0.2">
      <c r="C664" s="569">
        <v>661</v>
      </c>
      <c r="D664" s="580"/>
      <c r="E664" s="581"/>
      <c r="F664" s="582"/>
      <c r="G664" s="583"/>
      <c r="H664" s="773"/>
      <c r="I664" s="776"/>
      <c r="J664" s="779"/>
      <c r="K664" s="782"/>
    </row>
    <row r="665" spans="3:11" x14ac:dyDescent="0.2">
      <c r="C665" s="569">
        <v>662</v>
      </c>
      <c r="D665" s="580"/>
      <c r="E665" s="581"/>
      <c r="F665" s="582"/>
      <c r="G665" s="583"/>
      <c r="H665" s="773"/>
      <c r="I665" s="776"/>
      <c r="J665" s="779"/>
      <c r="K665" s="782"/>
    </row>
    <row r="666" spans="3:11" x14ac:dyDescent="0.2">
      <c r="C666" s="569">
        <v>663</v>
      </c>
      <c r="D666" s="580"/>
      <c r="E666" s="581"/>
      <c r="F666" s="582"/>
      <c r="G666" s="583"/>
      <c r="H666" s="773"/>
      <c r="I666" s="776"/>
      <c r="J666" s="779"/>
      <c r="K666" s="782"/>
    </row>
    <row r="667" spans="3:11" x14ac:dyDescent="0.2">
      <c r="C667" s="569">
        <v>664</v>
      </c>
      <c r="D667" s="580"/>
      <c r="E667" s="581"/>
      <c r="F667" s="582"/>
      <c r="G667" s="583"/>
      <c r="H667" s="773"/>
      <c r="I667" s="776"/>
      <c r="J667" s="779"/>
      <c r="K667" s="782"/>
    </row>
    <row r="668" spans="3:11" x14ac:dyDescent="0.2">
      <c r="C668" s="569">
        <v>665</v>
      </c>
      <c r="D668" s="580"/>
      <c r="E668" s="581"/>
      <c r="F668" s="582"/>
      <c r="G668" s="583"/>
      <c r="H668" s="773"/>
      <c r="I668" s="776"/>
      <c r="J668" s="779"/>
      <c r="K668" s="782"/>
    </row>
    <row r="669" spans="3:11" x14ac:dyDescent="0.2">
      <c r="C669" s="569">
        <v>666</v>
      </c>
      <c r="D669" s="580"/>
      <c r="E669" s="581"/>
      <c r="F669" s="582"/>
      <c r="G669" s="583"/>
      <c r="H669" s="773"/>
      <c r="I669" s="776"/>
      <c r="J669" s="779"/>
      <c r="K669" s="782"/>
    </row>
    <row r="670" spans="3:11" x14ac:dyDescent="0.2">
      <c r="C670" s="569">
        <v>667</v>
      </c>
      <c r="D670" s="580"/>
      <c r="E670" s="581"/>
      <c r="F670" s="582"/>
      <c r="G670" s="583"/>
      <c r="H670" s="773"/>
      <c r="I670" s="776"/>
      <c r="J670" s="779"/>
      <c r="K670" s="782"/>
    </row>
    <row r="671" spans="3:11" x14ac:dyDescent="0.2">
      <c r="C671" s="569">
        <v>668</v>
      </c>
      <c r="D671" s="580"/>
      <c r="E671" s="581"/>
      <c r="F671" s="582"/>
      <c r="G671" s="583"/>
      <c r="H671" s="773"/>
      <c r="I671" s="776"/>
      <c r="J671" s="779"/>
      <c r="K671" s="782"/>
    </row>
    <row r="672" spans="3:11" x14ac:dyDescent="0.2">
      <c r="C672" s="569">
        <v>669</v>
      </c>
      <c r="D672" s="580"/>
      <c r="E672" s="581"/>
      <c r="F672" s="582"/>
      <c r="G672" s="583"/>
      <c r="H672" s="773"/>
      <c r="I672" s="776"/>
      <c r="J672" s="779"/>
      <c r="K672" s="782"/>
    </row>
    <row r="673" spans="3:11" x14ac:dyDescent="0.2">
      <c r="C673" s="569">
        <v>670</v>
      </c>
      <c r="D673" s="580"/>
      <c r="E673" s="581"/>
      <c r="F673" s="582"/>
      <c r="G673" s="583"/>
      <c r="H673" s="773"/>
      <c r="I673" s="776"/>
      <c r="J673" s="779"/>
      <c r="K673" s="782"/>
    </row>
    <row r="674" spans="3:11" x14ac:dyDescent="0.2">
      <c r="C674" s="569">
        <v>671</v>
      </c>
      <c r="D674" s="580"/>
      <c r="E674" s="581"/>
      <c r="F674" s="582"/>
      <c r="G674" s="583"/>
      <c r="H674" s="773"/>
      <c r="I674" s="776"/>
      <c r="J674" s="779"/>
      <c r="K674" s="782"/>
    </row>
    <row r="675" spans="3:11" x14ac:dyDescent="0.2">
      <c r="C675" s="569">
        <v>672</v>
      </c>
      <c r="D675" s="580"/>
      <c r="E675" s="581"/>
      <c r="F675" s="582"/>
      <c r="G675" s="583"/>
      <c r="H675" s="773"/>
      <c r="I675" s="776"/>
      <c r="J675" s="779"/>
      <c r="K675" s="782"/>
    </row>
    <row r="676" spans="3:11" x14ac:dyDescent="0.2">
      <c r="C676" s="569">
        <v>673</v>
      </c>
      <c r="D676" s="580"/>
      <c r="E676" s="581"/>
      <c r="F676" s="582"/>
      <c r="G676" s="583"/>
      <c r="H676" s="773"/>
      <c r="I676" s="776"/>
      <c r="J676" s="779"/>
      <c r="K676" s="782"/>
    </row>
    <row r="677" spans="3:11" x14ac:dyDescent="0.2">
      <c r="C677" s="569">
        <v>674</v>
      </c>
      <c r="D677" s="580"/>
      <c r="E677" s="581"/>
      <c r="F677" s="582"/>
      <c r="G677" s="583"/>
      <c r="H677" s="773"/>
      <c r="I677" s="776"/>
      <c r="J677" s="779"/>
      <c r="K677" s="782"/>
    </row>
    <row r="678" spans="3:11" x14ac:dyDescent="0.2">
      <c r="C678" s="569">
        <v>675</v>
      </c>
      <c r="D678" s="580"/>
      <c r="E678" s="581"/>
      <c r="F678" s="582"/>
      <c r="G678" s="583"/>
      <c r="H678" s="773"/>
      <c r="I678" s="776"/>
      <c r="J678" s="779"/>
      <c r="K678" s="782"/>
    </row>
    <row r="679" spans="3:11" x14ac:dyDescent="0.2">
      <c r="C679" s="569">
        <v>676</v>
      </c>
      <c r="D679" s="580"/>
      <c r="E679" s="581"/>
      <c r="F679" s="582"/>
      <c r="G679" s="583"/>
      <c r="H679" s="773"/>
      <c r="I679" s="776"/>
      <c r="J679" s="779"/>
      <c r="K679" s="782"/>
    </row>
    <row r="680" spans="3:11" x14ac:dyDescent="0.2">
      <c r="C680" s="569">
        <v>677</v>
      </c>
      <c r="D680" s="580"/>
      <c r="E680" s="581"/>
      <c r="F680" s="582"/>
      <c r="G680" s="583"/>
      <c r="H680" s="773"/>
      <c r="I680" s="776"/>
      <c r="J680" s="779"/>
      <c r="K680" s="782"/>
    </row>
    <row r="681" spans="3:11" x14ac:dyDescent="0.2">
      <c r="C681" s="569">
        <v>678</v>
      </c>
      <c r="D681" s="580"/>
      <c r="E681" s="581"/>
      <c r="F681" s="582"/>
      <c r="G681" s="583"/>
      <c r="H681" s="773"/>
      <c r="I681" s="776"/>
      <c r="J681" s="779"/>
      <c r="K681" s="782"/>
    </row>
    <row r="682" spans="3:11" x14ac:dyDescent="0.2">
      <c r="C682" s="569">
        <v>679</v>
      </c>
      <c r="D682" s="580"/>
      <c r="E682" s="581"/>
      <c r="F682" s="582"/>
      <c r="G682" s="583"/>
      <c r="H682" s="773"/>
      <c r="I682" s="776"/>
      <c r="J682" s="779"/>
      <c r="K682" s="782"/>
    </row>
    <row r="683" spans="3:11" x14ac:dyDescent="0.2">
      <c r="C683" s="569">
        <v>680</v>
      </c>
      <c r="D683" s="580"/>
      <c r="E683" s="581"/>
      <c r="F683" s="582"/>
      <c r="G683" s="583"/>
      <c r="H683" s="773"/>
      <c r="I683" s="776"/>
      <c r="J683" s="779"/>
      <c r="K683" s="782"/>
    </row>
    <row r="684" spans="3:11" x14ac:dyDescent="0.2">
      <c r="C684" s="569">
        <v>681</v>
      </c>
      <c r="D684" s="580"/>
      <c r="E684" s="581"/>
      <c r="F684" s="582"/>
      <c r="G684" s="583"/>
      <c r="H684" s="773"/>
      <c r="I684" s="776"/>
      <c r="J684" s="779"/>
      <c r="K684" s="782"/>
    </row>
    <row r="685" spans="3:11" x14ac:dyDescent="0.2">
      <c r="C685" s="569">
        <v>682</v>
      </c>
      <c r="D685" s="580"/>
      <c r="E685" s="581"/>
      <c r="F685" s="582"/>
      <c r="G685" s="583"/>
      <c r="H685" s="773"/>
      <c r="I685" s="776"/>
      <c r="J685" s="779"/>
      <c r="K685" s="782"/>
    </row>
    <row r="686" spans="3:11" x14ac:dyDescent="0.2">
      <c r="C686" s="569">
        <v>683</v>
      </c>
      <c r="D686" s="580"/>
      <c r="E686" s="581"/>
      <c r="F686" s="582"/>
      <c r="G686" s="583"/>
      <c r="H686" s="773"/>
      <c r="I686" s="776"/>
      <c r="J686" s="779"/>
      <c r="K686" s="782"/>
    </row>
    <row r="687" spans="3:11" x14ac:dyDescent="0.2">
      <c r="C687" s="569">
        <v>684</v>
      </c>
      <c r="D687" s="580"/>
      <c r="E687" s="581"/>
      <c r="F687" s="582"/>
      <c r="G687" s="583"/>
      <c r="H687" s="773"/>
      <c r="I687" s="776"/>
      <c r="J687" s="779"/>
      <c r="K687" s="782"/>
    </row>
    <row r="688" spans="3:11" x14ac:dyDescent="0.2">
      <c r="C688" s="569">
        <v>685</v>
      </c>
      <c r="D688" s="580"/>
      <c r="E688" s="581"/>
      <c r="F688" s="582"/>
      <c r="G688" s="583"/>
      <c r="H688" s="773"/>
      <c r="I688" s="776"/>
      <c r="J688" s="779"/>
      <c r="K688" s="782"/>
    </row>
    <row r="689" spans="3:11" x14ac:dyDescent="0.2">
      <c r="C689" s="569">
        <v>686</v>
      </c>
      <c r="D689" s="580"/>
      <c r="E689" s="581"/>
      <c r="F689" s="582"/>
      <c r="G689" s="583"/>
      <c r="H689" s="773"/>
      <c r="I689" s="776"/>
      <c r="J689" s="779"/>
      <c r="K689" s="782"/>
    </row>
    <row r="690" spans="3:11" x14ac:dyDescent="0.2">
      <c r="C690" s="569">
        <v>687</v>
      </c>
      <c r="D690" s="580"/>
      <c r="E690" s="581"/>
      <c r="F690" s="582"/>
      <c r="G690" s="583"/>
      <c r="H690" s="773"/>
      <c r="I690" s="776"/>
      <c r="J690" s="779"/>
      <c r="K690" s="782"/>
    </row>
    <row r="691" spans="3:11" x14ac:dyDescent="0.2">
      <c r="C691" s="569">
        <v>688</v>
      </c>
      <c r="D691" s="580"/>
      <c r="E691" s="581"/>
      <c r="F691" s="582"/>
      <c r="G691" s="583"/>
      <c r="H691" s="773"/>
      <c r="I691" s="776"/>
      <c r="J691" s="779"/>
      <c r="K691" s="782"/>
    </row>
    <row r="692" spans="3:11" x14ac:dyDescent="0.2">
      <c r="C692" s="569">
        <v>689</v>
      </c>
      <c r="D692" s="580"/>
      <c r="E692" s="581"/>
      <c r="F692" s="582"/>
      <c r="G692" s="583"/>
      <c r="H692" s="773"/>
      <c r="I692" s="776"/>
      <c r="J692" s="779"/>
      <c r="K692" s="782"/>
    </row>
    <row r="693" spans="3:11" x14ac:dyDescent="0.2">
      <c r="C693" s="569">
        <v>690</v>
      </c>
      <c r="D693" s="580"/>
      <c r="E693" s="581"/>
      <c r="F693" s="582"/>
      <c r="G693" s="583"/>
      <c r="H693" s="773"/>
      <c r="I693" s="776"/>
      <c r="J693" s="779"/>
      <c r="K693" s="782"/>
    </row>
    <row r="694" spans="3:11" x14ac:dyDescent="0.2">
      <c r="C694" s="569">
        <v>691</v>
      </c>
      <c r="D694" s="580"/>
      <c r="E694" s="581"/>
      <c r="F694" s="582"/>
      <c r="G694" s="583"/>
      <c r="H694" s="773"/>
      <c r="I694" s="776"/>
      <c r="J694" s="779"/>
      <c r="K694" s="782"/>
    </row>
    <row r="695" spans="3:11" x14ac:dyDescent="0.2">
      <c r="C695" s="569">
        <v>692</v>
      </c>
      <c r="D695" s="580"/>
      <c r="E695" s="581"/>
      <c r="F695" s="582"/>
      <c r="G695" s="583"/>
      <c r="H695" s="773"/>
      <c r="I695" s="776"/>
      <c r="J695" s="779"/>
      <c r="K695" s="782"/>
    </row>
    <row r="696" spans="3:11" x14ac:dyDescent="0.2">
      <c r="C696" s="569">
        <v>693</v>
      </c>
      <c r="D696" s="580"/>
      <c r="E696" s="581"/>
      <c r="F696" s="582"/>
      <c r="G696" s="583"/>
      <c r="H696" s="773"/>
      <c r="I696" s="776"/>
      <c r="J696" s="779"/>
      <c r="K696" s="782"/>
    </row>
    <row r="697" spans="3:11" x14ac:dyDescent="0.2">
      <c r="C697" s="569">
        <v>694</v>
      </c>
      <c r="D697" s="580"/>
      <c r="E697" s="581"/>
      <c r="F697" s="582"/>
      <c r="G697" s="583"/>
      <c r="H697" s="773"/>
      <c r="I697" s="776"/>
      <c r="J697" s="779"/>
      <c r="K697" s="782"/>
    </row>
    <row r="698" spans="3:11" x14ac:dyDescent="0.2">
      <c r="C698" s="569">
        <v>695</v>
      </c>
      <c r="D698" s="580"/>
      <c r="E698" s="581"/>
      <c r="F698" s="582"/>
      <c r="G698" s="583"/>
      <c r="H698" s="773"/>
      <c r="I698" s="776"/>
      <c r="J698" s="779"/>
      <c r="K698" s="782"/>
    </row>
    <row r="699" spans="3:11" x14ac:dyDescent="0.2">
      <c r="C699" s="569">
        <v>696</v>
      </c>
      <c r="D699" s="580"/>
      <c r="E699" s="581"/>
      <c r="F699" s="582"/>
      <c r="G699" s="583"/>
      <c r="H699" s="773"/>
      <c r="I699" s="776"/>
      <c r="J699" s="779"/>
      <c r="K699" s="782"/>
    </row>
    <row r="700" spans="3:11" x14ac:dyDescent="0.2">
      <c r="C700" s="569">
        <v>697</v>
      </c>
      <c r="D700" s="580"/>
      <c r="E700" s="581"/>
      <c r="F700" s="582"/>
      <c r="G700" s="583"/>
      <c r="H700" s="773"/>
      <c r="I700" s="776"/>
      <c r="J700" s="779"/>
      <c r="K700" s="782"/>
    </row>
    <row r="701" spans="3:11" x14ac:dyDescent="0.2">
      <c r="C701" s="569">
        <v>698</v>
      </c>
      <c r="D701" s="580"/>
      <c r="E701" s="581"/>
      <c r="F701" s="582"/>
      <c r="G701" s="583"/>
      <c r="H701" s="773"/>
      <c r="I701" s="776"/>
      <c r="J701" s="779"/>
      <c r="K701" s="782"/>
    </row>
    <row r="702" spans="3:11" x14ac:dyDescent="0.2">
      <c r="C702" s="569">
        <v>699</v>
      </c>
      <c r="D702" s="580"/>
      <c r="E702" s="581"/>
      <c r="F702" s="582"/>
      <c r="G702" s="583"/>
      <c r="H702" s="773"/>
      <c r="I702" s="776"/>
      <c r="J702" s="779"/>
      <c r="K702" s="782"/>
    </row>
    <row r="703" spans="3:11" x14ac:dyDescent="0.2">
      <c r="C703" s="569">
        <v>700</v>
      </c>
      <c r="D703" s="580"/>
      <c r="E703" s="581"/>
      <c r="F703" s="582"/>
      <c r="G703" s="583"/>
      <c r="H703" s="773"/>
      <c r="I703" s="776"/>
      <c r="J703" s="779"/>
      <c r="K703" s="782"/>
    </row>
    <row r="704" spans="3:11" x14ac:dyDescent="0.2">
      <c r="C704" s="569">
        <v>701</v>
      </c>
      <c r="D704" s="580"/>
      <c r="E704" s="581"/>
      <c r="F704" s="582"/>
      <c r="G704" s="583"/>
      <c r="H704" s="773"/>
      <c r="I704" s="776"/>
      <c r="J704" s="779"/>
      <c r="K704" s="782"/>
    </row>
    <row r="705" spans="3:11" x14ac:dyDescent="0.2">
      <c r="C705" s="569">
        <v>702</v>
      </c>
      <c r="D705" s="580"/>
      <c r="E705" s="581"/>
      <c r="F705" s="582"/>
      <c r="G705" s="583"/>
      <c r="H705" s="773"/>
      <c r="I705" s="776"/>
      <c r="J705" s="779"/>
      <c r="K705" s="782"/>
    </row>
    <row r="706" spans="3:11" x14ac:dyDescent="0.2">
      <c r="C706" s="569">
        <v>703</v>
      </c>
      <c r="D706" s="580"/>
      <c r="E706" s="581"/>
      <c r="F706" s="582"/>
      <c r="G706" s="583"/>
      <c r="H706" s="773"/>
      <c r="I706" s="776"/>
      <c r="J706" s="779"/>
      <c r="K706" s="782"/>
    </row>
    <row r="707" spans="3:11" x14ac:dyDescent="0.2">
      <c r="C707" s="569">
        <v>704</v>
      </c>
      <c r="D707" s="580"/>
      <c r="E707" s="581"/>
      <c r="F707" s="582"/>
      <c r="G707" s="583"/>
      <c r="H707" s="773"/>
      <c r="I707" s="776"/>
      <c r="J707" s="779"/>
      <c r="K707" s="782"/>
    </row>
    <row r="708" spans="3:11" x14ac:dyDescent="0.2">
      <c r="C708" s="569">
        <v>705</v>
      </c>
      <c r="D708" s="580"/>
      <c r="E708" s="581"/>
      <c r="F708" s="582"/>
      <c r="G708" s="583"/>
      <c r="H708" s="773"/>
      <c r="I708" s="776"/>
      <c r="J708" s="779"/>
      <c r="K708" s="782"/>
    </row>
    <row r="709" spans="3:11" x14ac:dyDescent="0.2">
      <c r="C709" s="569">
        <v>706</v>
      </c>
      <c r="D709" s="580"/>
      <c r="E709" s="581"/>
      <c r="F709" s="582"/>
      <c r="G709" s="583"/>
      <c r="H709" s="773"/>
      <c r="I709" s="776"/>
      <c r="J709" s="779"/>
      <c r="K709" s="782"/>
    </row>
    <row r="710" spans="3:11" x14ac:dyDescent="0.2">
      <c r="C710" s="569">
        <v>707</v>
      </c>
      <c r="D710" s="580"/>
      <c r="E710" s="581"/>
      <c r="F710" s="582"/>
      <c r="G710" s="583"/>
      <c r="H710" s="773"/>
      <c r="I710" s="776"/>
      <c r="J710" s="779"/>
      <c r="K710" s="782"/>
    </row>
    <row r="711" spans="3:11" x14ac:dyDescent="0.2">
      <c r="C711" s="569">
        <v>708</v>
      </c>
      <c r="D711" s="580"/>
      <c r="E711" s="581"/>
      <c r="F711" s="582"/>
      <c r="G711" s="583"/>
      <c r="H711" s="773"/>
      <c r="I711" s="776"/>
      <c r="J711" s="779"/>
      <c r="K711" s="782"/>
    </row>
    <row r="712" spans="3:11" x14ac:dyDescent="0.2">
      <c r="C712" s="569">
        <v>709</v>
      </c>
      <c r="D712" s="580"/>
      <c r="E712" s="581"/>
      <c r="F712" s="582"/>
      <c r="G712" s="583"/>
      <c r="H712" s="773"/>
      <c r="I712" s="776"/>
      <c r="J712" s="779"/>
      <c r="K712" s="782"/>
    </row>
    <row r="713" spans="3:11" x14ac:dyDescent="0.2">
      <c r="C713" s="569">
        <v>710</v>
      </c>
      <c r="D713" s="580"/>
      <c r="E713" s="581"/>
      <c r="F713" s="582"/>
      <c r="G713" s="583"/>
      <c r="H713" s="773"/>
      <c r="I713" s="776"/>
      <c r="J713" s="779"/>
      <c r="K713" s="782"/>
    </row>
    <row r="714" spans="3:11" x14ac:dyDescent="0.2">
      <c r="C714" s="569">
        <v>711</v>
      </c>
      <c r="D714" s="580"/>
      <c r="E714" s="581"/>
      <c r="F714" s="582"/>
      <c r="G714" s="583"/>
      <c r="H714" s="773"/>
      <c r="I714" s="776"/>
      <c r="J714" s="779"/>
      <c r="K714" s="782"/>
    </row>
    <row r="715" spans="3:11" x14ac:dyDescent="0.2">
      <c r="C715" s="569">
        <v>712</v>
      </c>
      <c r="D715" s="580"/>
      <c r="E715" s="581"/>
      <c r="F715" s="582"/>
      <c r="G715" s="583"/>
      <c r="H715" s="773"/>
      <c r="I715" s="776"/>
      <c r="J715" s="779"/>
      <c r="K715" s="782"/>
    </row>
    <row r="716" spans="3:11" x14ac:dyDescent="0.2">
      <c r="C716" s="569">
        <v>713</v>
      </c>
      <c r="D716" s="580"/>
      <c r="E716" s="581"/>
      <c r="F716" s="582"/>
      <c r="G716" s="583"/>
      <c r="H716" s="773"/>
      <c r="I716" s="776"/>
      <c r="J716" s="779"/>
      <c r="K716" s="782"/>
    </row>
    <row r="717" spans="3:11" x14ac:dyDescent="0.2">
      <c r="C717" s="569">
        <v>714</v>
      </c>
      <c r="D717" s="580"/>
      <c r="E717" s="581"/>
      <c r="F717" s="582"/>
      <c r="G717" s="583"/>
      <c r="H717" s="773"/>
      <c r="I717" s="776"/>
      <c r="J717" s="779"/>
      <c r="K717" s="782"/>
    </row>
    <row r="718" spans="3:11" x14ac:dyDescent="0.2">
      <c r="C718" s="569">
        <v>715</v>
      </c>
      <c r="D718" s="580"/>
      <c r="E718" s="581"/>
      <c r="F718" s="582"/>
      <c r="G718" s="583"/>
      <c r="H718" s="773"/>
      <c r="I718" s="776"/>
      <c r="J718" s="779"/>
      <c r="K718" s="782"/>
    </row>
    <row r="719" spans="3:11" x14ac:dyDescent="0.2">
      <c r="C719" s="569">
        <v>716</v>
      </c>
      <c r="D719" s="580"/>
      <c r="E719" s="581"/>
      <c r="F719" s="582"/>
      <c r="G719" s="583"/>
      <c r="H719" s="773"/>
      <c r="I719" s="776"/>
      <c r="J719" s="779"/>
      <c r="K719" s="782"/>
    </row>
    <row r="720" spans="3:11" x14ac:dyDescent="0.2">
      <c r="C720" s="569">
        <v>717</v>
      </c>
      <c r="D720" s="580"/>
      <c r="E720" s="581"/>
      <c r="F720" s="582"/>
      <c r="G720" s="583"/>
      <c r="H720" s="773"/>
      <c r="I720" s="776"/>
      <c r="J720" s="779"/>
      <c r="K720" s="782"/>
    </row>
    <row r="721" spans="3:11" x14ac:dyDescent="0.2">
      <c r="C721" s="569">
        <v>718</v>
      </c>
      <c r="D721" s="580"/>
      <c r="E721" s="581"/>
      <c r="F721" s="582"/>
      <c r="G721" s="583"/>
      <c r="H721" s="773"/>
      <c r="I721" s="776"/>
      <c r="J721" s="779"/>
      <c r="K721" s="782"/>
    </row>
    <row r="722" spans="3:11" x14ac:dyDescent="0.2">
      <c r="C722" s="569">
        <v>719</v>
      </c>
      <c r="D722" s="580"/>
      <c r="E722" s="581"/>
      <c r="F722" s="582"/>
      <c r="G722" s="583"/>
      <c r="H722" s="773"/>
      <c r="I722" s="776"/>
      <c r="J722" s="779"/>
      <c r="K722" s="782"/>
    </row>
    <row r="723" spans="3:11" x14ac:dyDescent="0.2">
      <c r="C723" s="569">
        <v>720</v>
      </c>
      <c r="D723" s="580"/>
      <c r="E723" s="581"/>
      <c r="F723" s="582"/>
      <c r="G723" s="583"/>
      <c r="H723" s="773"/>
      <c r="I723" s="776"/>
      <c r="J723" s="779"/>
      <c r="K723" s="782"/>
    </row>
    <row r="724" spans="3:11" x14ac:dyDescent="0.2">
      <c r="C724" s="569">
        <v>721</v>
      </c>
      <c r="D724" s="580"/>
      <c r="E724" s="581"/>
      <c r="F724" s="582"/>
      <c r="G724" s="583"/>
      <c r="H724" s="773"/>
      <c r="I724" s="776"/>
      <c r="J724" s="779"/>
      <c r="K724" s="782"/>
    </row>
    <row r="725" spans="3:11" x14ac:dyDescent="0.2">
      <c r="C725" s="569">
        <v>722</v>
      </c>
      <c r="D725" s="580"/>
      <c r="E725" s="581"/>
      <c r="F725" s="582"/>
      <c r="G725" s="583"/>
      <c r="H725" s="773"/>
      <c r="I725" s="776"/>
      <c r="J725" s="779"/>
      <c r="K725" s="782"/>
    </row>
    <row r="726" spans="3:11" x14ac:dyDescent="0.2">
      <c r="C726" s="569">
        <v>723</v>
      </c>
      <c r="D726" s="580"/>
      <c r="E726" s="581"/>
      <c r="F726" s="582"/>
      <c r="G726" s="583"/>
      <c r="H726" s="773"/>
      <c r="I726" s="776"/>
      <c r="J726" s="779"/>
      <c r="K726" s="782"/>
    </row>
    <row r="727" spans="3:11" x14ac:dyDescent="0.2">
      <c r="C727" s="569">
        <v>724</v>
      </c>
      <c r="D727" s="580"/>
      <c r="E727" s="581"/>
      <c r="F727" s="582"/>
      <c r="G727" s="583"/>
      <c r="H727" s="773"/>
      <c r="I727" s="776"/>
      <c r="J727" s="779"/>
      <c r="K727" s="782"/>
    </row>
    <row r="728" spans="3:11" x14ac:dyDescent="0.2">
      <c r="C728" s="569">
        <v>725</v>
      </c>
      <c r="D728" s="580"/>
      <c r="E728" s="581"/>
      <c r="F728" s="582"/>
      <c r="G728" s="583"/>
      <c r="H728" s="773"/>
      <c r="I728" s="776"/>
      <c r="J728" s="779"/>
      <c r="K728" s="782"/>
    </row>
    <row r="729" spans="3:11" x14ac:dyDescent="0.2">
      <c r="C729" s="569">
        <v>726</v>
      </c>
      <c r="D729" s="580"/>
      <c r="E729" s="581"/>
      <c r="F729" s="582"/>
      <c r="G729" s="583"/>
      <c r="H729" s="773"/>
      <c r="I729" s="776"/>
      <c r="J729" s="779"/>
      <c r="K729" s="782"/>
    </row>
    <row r="730" spans="3:11" x14ac:dyDescent="0.2">
      <c r="C730" s="569">
        <v>727</v>
      </c>
      <c r="D730" s="580"/>
      <c r="E730" s="581"/>
      <c r="F730" s="582"/>
      <c r="G730" s="583"/>
      <c r="H730" s="773"/>
      <c r="I730" s="776"/>
      <c r="J730" s="779"/>
      <c r="K730" s="782"/>
    </row>
    <row r="731" spans="3:11" x14ac:dyDescent="0.2">
      <c r="C731" s="569">
        <v>728</v>
      </c>
      <c r="D731" s="580"/>
      <c r="E731" s="581"/>
      <c r="F731" s="582"/>
      <c r="G731" s="583"/>
      <c r="H731" s="773"/>
      <c r="I731" s="776"/>
      <c r="J731" s="779"/>
      <c r="K731" s="782"/>
    </row>
    <row r="732" spans="3:11" x14ac:dyDescent="0.2">
      <c r="C732" s="569">
        <v>729</v>
      </c>
      <c r="D732" s="580"/>
      <c r="E732" s="581"/>
      <c r="F732" s="582"/>
      <c r="G732" s="583"/>
      <c r="H732" s="773"/>
      <c r="I732" s="776"/>
      <c r="J732" s="779"/>
      <c r="K732" s="782"/>
    </row>
    <row r="733" spans="3:11" x14ac:dyDescent="0.2">
      <c r="C733" s="569">
        <v>730</v>
      </c>
      <c r="D733" s="580"/>
      <c r="E733" s="581"/>
      <c r="F733" s="582"/>
      <c r="G733" s="583"/>
      <c r="H733" s="773"/>
      <c r="I733" s="776"/>
      <c r="J733" s="779"/>
      <c r="K733" s="782"/>
    </row>
    <row r="734" spans="3:11" x14ac:dyDescent="0.2">
      <c r="C734" s="569">
        <v>731</v>
      </c>
      <c r="D734" s="580"/>
      <c r="E734" s="581"/>
      <c r="F734" s="582"/>
      <c r="G734" s="583"/>
      <c r="H734" s="773"/>
      <c r="I734" s="776"/>
      <c r="J734" s="779"/>
      <c r="K734" s="782"/>
    </row>
    <row r="735" spans="3:11" x14ac:dyDescent="0.2">
      <c r="C735" s="569">
        <v>732</v>
      </c>
      <c r="D735" s="580"/>
      <c r="E735" s="581"/>
      <c r="F735" s="582"/>
      <c r="G735" s="583"/>
      <c r="H735" s="773"/>
      <c r="I735" s="776"/>
      <c r="J735" s="779"/>
      <c r="K735" s="782"/>
    </row>
    <row r="736" spans="3:11" x14ac:dyDescent="0.2">
      <c r="C736" s="569">
        <v>733</v>
      </c>
      <c r="D736" s="580"/>
      <c r="E736" s="581"/>
      <c r="F736" s="582"/>
      <c r="G736" s="583"/>
      <c r="H736" s="773"/>
      <c r="I736" s="776"/>
      <c r="J736" s="779"/>
      <c r="K736" s="782"/>
    </row>
    <row r="737" spans="3:11" x14ac:dyDescent="0.2">
      <c r="C737" s="569">
        <v>734</v>
      </c>
      <c r="D737" s="580"/>
      <c r="E737" s="581"/>
      <c r="F737" s="582"/>
      <c r="G737" s="583"/>
      <c r="H737" s="773"/>
      <c r="I737" s="776"/>
      <c r="J737" s="779"/>
      <c r="K737" s="782"/>
    </row>
    <row r="738" spans="3:11" x14ac:dyDescent="0.2">
      <c r="C738" s="569">
        <v>735</v>
      </c>
      <c r="D738" s="580"/>
      <c r="E738" s="581"/>
      <c r="F738" s="582"/>
      <c r="G738" s="583"/>
      <c r="H738" s="773"/>
      <c r="I738" s="776"/>
      <c r="J738" s="779"/>
      <c r="K738" s="782"/>
    </row>
    <row r="739" spans="3:11" x14ac:dyDescent="0.2">
      <c r="C739" s="569">
        <v>736</v>
      </c>
      <c r="D739" s="580"/>
      <c r="E739" s="581"/>
      <c r="F739" s="582"/>
      <c r="G739" s="583"/>
      <c r="H739" s="773"/>
      <c r="I739" s="776"/>
      <c r="J739" s="779"/>
      <c r="K739" s="782"/>
    </row>
    <row r="740" spans="3:11" x14ac:dyDescent="0.2">
      <c r="C740" s="569">
        <v>737</v>
      </c>
      <c r="D740" s="580"/>
      <c r="E740" s="581"/>
      <c r="F740" s="582"/>
      <c r="G740" s="583"/>
      <c r="H740" s="773"/>
      <c r="I740" s="776"/>
      <c r="J740" s="779"/>
      <c r="K740" s="782"/>
    </row>
    <row r="741" spans="3:11" x14ac:dyDescent="0.2">
      <c r="C741" s="569">
        <v>738</v>
      </c>
      <c r="D741" s="580"/>
      <c r="E741" s="581"/>
      <c r="F741" s="582"/>
      <c r="G741" s="583"/>
      <c r="H741" s="773"/>
      <c r="I741" s="776"/>
      <c r="J741" s="779"/>
      <c r="K741" s="782"/>
    </row>
    <row r="742" spans="3:11" x14ac:dyDescent="0.2">
      <c r="C742" s="569">
        <v>739</v>
      </c>
      <c r="D742" s="580"/>
      <c r="E742" s="581"/>
      <c r="F742" s="582"/>
      <c r="G742" s="583"/>
      <c r="H742" s="773"/>
      <c r="I742" s="776"/>
      <c r="J742" s="779"/>
      <c r="K742" s="782"/>
    </row>
    <row r="743" spans="3:11" x14ac:dyDescent="0.2">
      <c r="C743" s="569">
        <v>740</v>
      </c>
      <c r="D743" s="580"/>
      <c r="E743" s="581"/>
      <c r="F743" s="582"/>
      <c r="G743" s="583"/>
      <c r="H743" s="773"/>
      <c r="I743" s="776"/>
      <c r="J743" s="779"/>
      <c r="K743" s="782"/>
    </row>
    <row r="744" spans="3:11" x14ac:dyDescent="0.2">
      <c r="C744" s="569">
        <v>741</v>
      </c>
      <c r="D744" s="580"/>
      <c r="E744" s="581"/>
      <c r="F744" s="582"/>
      <c r="G744" s="583"/>
      <c r="H744" s="773"/>
      <c r="I744" s="776"/>
      <c r="J744" s="779"/>
      <c r="K744" s="782"/>
    </row>
    <row r="745" spans="3:11" x14ac:dyDescent="0.2">
      <c r="C745" s="569">
        <v>742</v>
      </c>
      <c r="D745" s="580"/>
      <c r="E745" s="581"/>
      <c r="F745" s="582"/>
      <c r="G745" s="583"/>
      <c r="H745" s="773"/>
      <c r="I745" s="776"/>
      <c r="J745" s="779"/>
      <c r="K745" s="782"/>
    </row>
    <row r="746" spans="3:11" x14ac:dyDescent="0.2">
      <c r="C746" s="569">
        <v>743</v>
      </c>
      <c r="D746" s="580"/>
      <c r="E746" s="581"/>
      <c r="F746" s="582"/>
      <c r="G746" s="583"/>
      <c r="H746" s="773"/>
      <c r="I746" s="776"/>
      <c r="J746" s="779"/>
      <c r="K746" s="782"/>
    </row>
    <row r="747" spans="3:11" x14ac:dyDescent="0.2">
      <c r="C747" s="569">
        <v>744</v>
      </c>
      <c r="D747" s="580"/>
      <c r="E747" s="581"/>
      <c r="F747" s="582"/>
      <c r="G747" s="583"/>
      <c r="H747" s="773"/>
      <c r="I747" s="776"/>
      <c r="J747" s="779"/>
      <c r="K747" s="782"/>
    </row>
    <row r="748" spans="3:11" x14ac:dyDescent="0.2">
      <c r="C748" s="569">
        <v>745</v>
      </c>
      <c r="D748" s="580"/>
      <c r="E748" s="581"/>
      <c r="F748" s="582"/>
      <c r="G748" s="583"/>
      <c r="H748" s="773"/>
      <c r="I748" s="776"/>
      <c r="J748" s="779"/>
      <c r="K748" s="782"/>
    </row>
    <row r="749" spans="3:11" x14ac:dyDescent="0.2">
      <c r="C749" s="569">
        <v>746</v>
      </c>
      <c r="D749" s="580"/>
      <c r="E749" s="581"/>
      <c r="F749" s="582"/>
      <c r="G749" s="583"/>
      <c r="H749" s="773"/>
      <c r="I749" s="776"/>
      <c r="J749" s="779"/>
      <c r="K749" s="782"/>
    </row>
    <row r="750" spans="3:11" x14ac:dyDescent="0.2">
      <c r="C750" s="569">
        <v>747</v>
      </c>
      <c r="D750" s="580"/>
      <c r="E750" s="581"/>
      <c r="F750" s="582"/>
      <c r="G750" s="583"/>
      <c r="H750" s="773"/>
      <c r="I750" s="776"/>
      <c r="J750" s="779"/>
      <c r="K750" s="782"/>
    </row>
    <row r="751" spans="3:11" x14ac:dyDescent="0.2">
      <c r="C751" s="569">
        <v>748</v>
      </c>
      <c r="D751" s="580"/>
      <c r="E751" s="581"/>
      <c r="F751" s="582"/>
      <c r="G751" s="583"/>
      <c r="H751" s="773"/>
      <c r="I751" s="776"/>
      <c r="J751" s="779"/>
      <c r="K751" s="782"/>
    </row>
    <row r="752" spans="3:11" x14ac:dyDescent="0.2">
      <c r="C752" s="569">
        <v>749</v>
      </c>
      <c r="D752" s="580"/>
      <c r="E752" s="581"/>
      <c r="F752" s="582"/>
      <c r="G752" s="583"/>
      <c r="H752" s="773"/>
      <c r="I752" s="776"/>
      <c r="J752" s="779"/>
      <c r="K752" s="782"/>
    </row>
    <row r="753" spans="3:11" x14ac:dyDescent="0.2">
      <c r="C753" s="569">
        <v>750</v>
      </c>
      <c r="D753" s="580"/>
      <c r="E753" s="581"/>
      <c r="F753" s="582"/>
      <c r="G753" s="583"/>
      <c r="H753" s="773"/>
      <c r="I753" s="776"/>
      <c r="J753" s="779"/>
      <c r="K753" s="782"/>
    </row>
    <row r="754" spans="3:11" x14ac:dyDescent="0.2">
      <c r="C754" s="569">
        <v>751</v>
      </c>
      <c r="D754" s="580"/>
      <c r="E754" s="581"/>
      <c r="F754" s="582"/>
      <c r="G754" s="583"/>
      <c r="H754" s="773"/>
      <c r="I754" s="776"/>
      <c r="J754" s="779"/>
      <c r="K754" s="782"/>
    </row>
    <row r="755" spans="3:11" x14ac:dyDescent="0.2">
      <c r="C755" s="569">
        <v>752</v>
      </c>
      <c r="D755" s="580"/>
      <c r="E755" s="581"/>
      <c r="F755" s="582"/>
      <c r="G755" s="583"/>
      <c r="H755" s="773"/>
      <c r="I755" s="776"/>
      <c r="J755" s="779"/>
      <c r="K755" s="782"/>
    </row>
    <row r="756" spans="3:11" x14ac:dyDescent="0.2">
      <c r="C756" s="569">
        <v>753</v>
      </c>
      <c r="D756" s="580"/>
      <c r="E756" s="581"/>
      <c r="F756" s="582"/>
      <c r="G756" s="583"/>
      <c r="H756" s="773"/>
      <c r="I756" s="776"/>
      <c r="J756" s="779"/>
      <c r="K756" s="782"/>
    </row>
    <row r="757" spans="3:11" x14ac:dyDescent="0.2">
      <c r="C757" s="569">
        <v>754</v>
      </c>
      <c r="D757" s="580"/>
      <c r="E757" s="581"/>
      <c r="F757" s="582"/>
      <c r="G757" s="583"/>
      <c r="H757" s="773"/>
      <c r="I757" s="776"/>
      <c r="J757" s="779"/>
      <c r="K757" s="782"/>
    </row>
    <row r="758" spans="3:11" x14ac:dyDescent="0.2">
      <c r="C758" s="569">
        <v>755</v>
      </c>
      <c r="D758" s="580"/>
      <c r="E758" s="581"/>
      <c r="F758" s="582"/>
      <c r="G758" s="583"/>
      <c r="H758" s="773"/>
      <c r="I758" s="776"/>
      <c r="J758" s="779"/>
      <c r="K758" s="782"/>
    </row>
    <row r="759" spans="3:11" x14ac:dyDescent="0.2">
      <c r="C759" s="569">
        <v>756</v>
      </c>
      <c r="D759" s="580"/>
      <c r="E759" s="581"/>
      <c r="F759" s="582"/>
      <c r="G759" s="583"/>
      <c r="H759" s="773"/>
      <c r="I759" s="776"/>
      <c r="J759" s="779"/>
      <c r="K759" s="782"/>
    </row>
    <row r="760" spans="3:11" x14ac:dyDescent="0.2">
      <c r="C760" s="569">
        <v>757</v>
      </c>
      <c r="D760" s="580"/>
      <c r="E760" s="581"/>
      <c r="F760" s="582"/>
      <c r="G760" s="583"/>
      <c r="H760" s="773"/>
      <c r="I760" s="776"/>
      <c r="J760" s="779"/>
      <c r="K760" s="782"/>
    </row>
    <row r="761" spans="3:11" x14ac:dyDescent="0.2">
      <c r="C761" s="569">
        <v>758</v>
      </c>
      <c r="D761" s="580"/>
      <c r="E761" s="581"/>
      <c r="F761" s="582"/>
      <c r="G761" s="583"/>
      <c r="H761" s="773"/>
      <c r="I761" s="776"/>
      <c r="J761" s="779"/>
      <c r="K761" s="782"/>
    </row>
    <row r="762" spans="3:11" x14ac:dyDescent="0.2">
      <c r="C762" s="569">
        <v>759</v>
      </c>
      <c r="D762" s="580"/>
      <c r="E762" s="581"/>
      <c r="F762" s="582"/>
      <c r="G762" s="583"/>
      <c r="H762" s="773"/>
      <c r="I762" s="776"/>
      <c r="J762" s="779"/>
      <c r="K762" s="782"/>
    </row>
    <row r="763" spans="3:11" x14ac:dyDescent="0.2">
      <c r="C763" s="569">
        <v>760</v>
      </c>
      <c r="D763" s="580"/>
      <c r="E763" s="581"/>
      <c r="F763" s="582"/>
      <c r="G763" s="583"/>
      <c r="H763" s="773"/>
      <c r="I763" s="776"/>
      <c r="J763" s="779"/>
      <c r="K763" s="782"/>
    </row>
    <row r="764" spans="3:11" x14ac:dyDescent="0.2">
      <c r="C764" s="569">
        <v>761</v>
      </c>
      <c r="D764" s="580"/>
      <c r="E764" s="581"/>
      <c r="F764" s="582"/>
      <c r="G764" s="583"/>
      <c r="H764" s="773"/>
      <c r="I764" s="776"/>
      <c r="J764" s="779"/>
      <c r="K764" s="782"/>
    </row>
    <row r="765" spans="3:11" x14ac:dyDescent="0.2">
      <c r="C765" s="569">
        <v>762</v>
      </c>
      <c r="D765" s="580"/>
      <c r="E765" s="581"/>
      <c r="F765" s="582"/>
      <c r="G765" s="583"/>
      <c r="H765" s="773"/>
      <c r="I765" s="776"/>
      <c r="J765" s="779"/>
      <c r="K765" s="782"/>
    </row>
    <row r="766" spans="3:11" x14ac:dyDescent="0.2">
      <c r="C766" s="569">
        <v>763</v>
      </c>
      <c r="D766" s="580"/>
      <c r="E766" s="581"/>
      <c r="F766" s="582"/>
      <c r="G766" s="583"/>
      <c r="H766" s="773"/>
      <c r="I766" s="776"/>
      <c r="J766" s="779"/>
      <c r="K766" s="782"/>
    </row>
    <row r="767" spans="3:11" x14ac:dyDescent="0.2">
      <c r="C767" s="569">
        <v>764</v>
      </c>
      <c r="D767" s="580"/>
      <c r="E767" s="581"/>
      <c r="F767" s="582"/>
      <c r="G767" s="583"/>
      <c r="H767" s="773"/>
      <c r="I767" s="776"/>
      <c r="J767" s="779"/>
      <c r="K767" s="782"/>
    </row>
    <row r="768" spans="3:11" x14ac:dyDescent="0.2">
      <c r="C768" s="569">
        <v>765</v>
      </c>
      <c r="D768" s="580"/>
      <c r="E768" s="581"/>
      <c r="F768" s="582"/>
      <c r="G768" s="583"/>
      <c r="H768" s="773"/>
      <c r="I768" s="776"/>
      <c r="J768" s="779"/>
      <c r="K768" s="782"/>
    </row>
    <row r="769" spans="3:11" x14ac:dyDescent="0.2">
      <c r="C769" s="569">
        <v>766</v>
      </c>
      <c r="D769" s="580"/>
      <c r="E769" s="581"/>
      <c r="F769" s="582"/>
      <c r="G769" s="583"/>
      <c r="H769" s="773"/>
      <c r="I769" s="776"/>
      <c r="J769" s="779"/>
      <c r="K769" s="782"/>
    </row>
    <row r="770" spans="3:11" x14ac:dyDescent="0.2">
      <c r="C770" s="569">
        <v>767</v>
      </c>
      <c r="D770" s="580"/>
      <c r="E770" s="581"/>
      <c r="F770" s="582"/>
      <c r="G770" s="583"/>
      <c r="H770" s="773"/>
      <c r="I770" s="776"/>
      <c r="J770" s="779"/>
      <c r="K770" s="782"/>
    </row>
    <row r="771" spans="3:11" x14ac:dyDescent="0.2">
      <c r="C771" s="569">
        <v>768</v>
      </c>
      <c r="D771" s="580"/>
      <c r="E771" s="581"/>
      <c r="F771" s="582"/>
      <c r="G771" s="583"/>
      <c r="H771" s="773"/>
      <c r="I771" s="776"/>
      <c r="J771" s="779"/>
      <c r="K771" s="782"/>
    </row>
    <row r="772" spans="3:11" x14ac:dyDescent="0.2">
      <c r="C772" s="569">
        <v>769</v>
      </c>
      <c r="D772" s="580"/>
      <c r="E772" s="581"/>
      <c r="F772" s="582"/>
      <c r="G772" s="583"/>
      <c r="H772" s="773"/>
      <c r="I772" s="776"/>
      <c r="J772" s="779"/>
      <c r="K772" s="782"/>
    </row>
    <row r="773" spans="3:11" x14ac:dyDescent="0.2">
      <c r="C773" s="569">
        <v>770</v>
      </c>
      <c r="D773" s="580"/>
      <c r="E773" s="581"/>
      <c r="F773" s="582"/>
      <c r="G773" s="583"/>
      <c r="H773" s="773"/>
      <c r="I773" s="776"/>
      <c r="J773" s="779"/>
      <c r="K773" s="782"/>
    </row>
    <row r="774" spans="3:11" x14ac:dyDescent="0.2">
      <c r="C774" s="569">
        <v>771</v>
      </c>
      <c r="D774" s="580"/>
      <c r="E774" s="581"/>
      <c r="F774" s="582"/>
      <c r="G774" s="583"/>
      <c r="H774" s="773"/>
      <c r="I774" s="776"/>
      <c r="J774" s="779"/>
      <c r="K774" s="782"/>
    </row>
    <row r="775" spans="3:11" x14ac:dyDescent="0.2">
      <c r="C775" s="569">
        <v>772</v>
      </c>
      <c r="D775" s="580"/>
      <c r="E775" s="581"/>
      <c r="F775" s="582"/>
      <c r="G775" s="583"/>
      <c r="H775" s="773"/>
      <c r="I775" s="776"/>
      <c r="J775" s="779"/>
      <c r="K775" s="782"/>
    </row>
    <row r="776" spans="3:11" x14ac:dyDescent="0.2">
      <c r="C776" s="569">
        <v>773</v>
      </c>
      <c r="D776" s="580"/>
      <c r="E776" s="581"/>
      <c r="F776" s="582"/>
      <c r="G776" s="583"/>
      <c r="H776" s="773"/>
      <c r="I776" s="776"/>
      <c r="J776" s="779"/>
      <c r="K776" s="782"/>
    </row>
    <row r="777" spans="3:11" x14ac:dyDescent="0.2">
      <c r="C777" s="569">
        <v>774</v>
      </c>
      <c r="D777" s="580"/>
      <c r="E777" s="581"/>
      <c r="F777" s="582"/>
      <c r="G777" s="583"/>
      <c r="H777" s="773"/>
      <c r="I777" s="776"/>
      <c r="J777" s="779"/>
      <c r="K777" s="782"/>
    </row>
    <row r="778" spans="3:11" x14ac:dyDescent="0.2">
      <c r="C778" s="569">
        <v>775</v>
      </c>
      <c r="D778" s="580"/>
      <c r="E778" s="581"/>
      <c r="F778" s="582"/>
      <c r="G778" s="583"/>
      <c r="H778" s="773"/>
      <c r="I778" s="776"/>
      <c r="J778" s="779"/>
      <c r="K778" s="782"/>
    </row>
    <row r="779" spans="3:11" x14ac:dyDescent="0.2">
      <c r="C779" s="569">
        <v>776</v>
      </c>
      <c r="D779" s="580"/>
      <c r="E779" s="581"/>
      <c r="F779" s="582"/>
      <c r="G779" s="583"/>
      <c r="H779" s="773"/>
      <c r="I779" s="776"/>
      <c r="J779" s="779"/>
      <c r="K779" s="782"/>
    </row>
    <row r="780" spans="3:11" x14ac:dyDescent="0.2">
      <c r="C780" s="569">
        <v>777</v>
      </c>
      <c r="D780" s="580"/>
      <c r="E780" s="581"/>
      <c r="F780" s="582"/>
      <c r="G780" s="583"/>
      <c r="H780" s="773"/>
      <c r="I780" s="776"/>
      <c r="J780" s="779"/>
      <c r="K780" s="782"/>
    </row>
    <row r="781" spans="3:11" x14ac:dyDescent="0.2">
      <c r="C781" s="569">
        <v>778</v>
      </c>
      <c r="D781" s="580"/>
      <c r="E781" s="581"/>
      <c r="F781" s="582"/>
      <c r="G781" s="583"/>
      <c r="H781" s="773"/>
      <c r="I781" s="776"/>
      <c r="J781" s="779"/>
      <c r="K781" s="782"/>
    </row>
    <row r="782" spans="3:11" x14ac:dyDescent="0.2">
      <c r="C782" s="569">
        <v>779</v>
      </c>
      <c r="D782" s="580"/>
      <c r="E782" s="581"/>
      <c r="F782" s="582"/>
      <c r="G782" s="583"/>
      <c r="H782" s="773"/>
      <c r="I782" s="776"/>
      <c r="J782" s="779"/>
      <c r="K782" s="782"/>
    </row>
    <row r="783" spans="3:11" x14ac:dyDescent="0.2">
      <c r="C783" s="569">
        <v>780</v>
      </c>
      <c r="D783" s="580"/>
      <c r="E783" s="581"/>
      <c r="F783" s="582"/>
      <c r="G783" s="583"/>
      <c r="H783" s="773"/>
      <c r="I783" s="776"/>
      <c r="J783" s="779"/>
      <c r="K783" s="782"/>
    </row>
    <row r="784" spans="3:11" x14ac:dyDescent="0.2">
      <c r="C784" s="569">
        <v>781</v>
      </c>
      <c r="D784" s="580"/>
      <c r="E784" s="581"/>
      <c r="F784" s="582"/>
      <c r="G784" s="583"/>
      <c r="H784" s="773"/>
      <c r="I784" s="776"/>
      <c r="J784" s="779"/>
      <c r="K784" s="782"/>
    </row>
    <row r="785" spans="3:11" x14ac:dyDescent="0.2">
      <c r="C785" s="569">
        <v>782</v>
      </c>
      <c r="D785" s="580"/>
      <c r="E785" s="581"/>
      <c r="F785" s="582"/>
      <c r="G785" s="583"/>
      <c r="H785" s="773"/>
      <c r="I785" s="776"/>
      <c r="J785" s="779"/>
      <c r="K785" s="782"/>
    </row>
    <row r="786" spans="3:11" x14ac:dyDescent="0.2">
      <c r="C786" s="569">
        <v>783</v>
      </c>
      <c r="D786" s="580"/>
      <c r="E786" s="581"/>
      <c r="F786" s="582"/>
      <c r="G786" s="583"/>
      <c r="H786" s="773"/>
      <c r="I786" s="776"/>
      <c r="J786" s="779"/>
      <c r="K786" s="782"/>
    </row>
    <row r="787" spans="3:11" x14ac:dyDescent="0.2">
      <c r="C787" s="569">
        <v>784</v>
      </c>
      <c r="D787" s="580"/>
      <c r="E787" s="581"/>
      <c r="F787" s="582"/>
      <c r="G787" s="583"/>
      <c r="H787" s="773"/>
      <c r="I787" s="776"/>
      <c r="J787" s="779"/>
      <c r="K787" s="782"/>
    </row>
    <row r="788" spans="3:11" x14ac:dyDescent="0.2">
      <c r="C788" s="569">
        <v>785</v>
      </c>
      <c r="D788" s="580"/>
      <c r="E788" s="581"/>
      <c r="F788" s="582"/>
      <c r="G788" s="583"/>
      <c r="H788" s="773"/>
      <c r="I788" s="776"/>
      <c r="J788" s="779"/>
      <c r="K788" s="782"/>
    </row>
    <row r="789" spans="3:11" x14ac:dyDescent="0.2">
      <c r="C789" s="569">
        <v>786</v>
      </c>
      <c r="D789" s="580"/>
      <c r="E789" s="581"/>
      <c r="F789" s="582"/>
      <c r="G789" s="583"/>
      <c r="H789" s="773"/>
      <c r="I789" s="776"/>
      <c r="J789" s="779"/>
      <c r="K789" s="782"/>
    </row>
    <row r="790" spans="3:11" x14ac:dyDescent="0.2">
      <c r="C790" s="569">
        <v>787</v>
      </c>
      <c r="D790" s="580"/>
      <c r="E790" s="581"/>
      <c r="F790" s="582"/>
      <c r="G790" s="583"/>
      <c r="H790" s="773"/>
      <c r="I790" s="776"/>
      <c r="J790" s="779"/>
      <c r="K790" s="782"/>
    </row>
    <row r="791" spans="3:11" x14ac:dyDescent="0.2">
      <c r="C791" s="569">
        <v>788</v>
      </c>
      <c r="D791" s="580"/>
      <c r="E791" s="581"/>
      <c r="F791" s="582"/>
      <c r="G791" s="583"/>
      <c r="H791" s="773"/>
      <c r="I791" s="776"/>
      <c r="J791" s="779"/>
      <c r="K791" s="782"/>
    </row>
    <row r="792" spans="3:11" x14ac:dyDescent="0.2">
      <c r="C792" s="569">
        <v>789</v>
      </c>
      <c r="D792" s="580"/>
      <c r="E792" s="581"/>
      <c r="F792" s="582"/>
      <c r="G792" s="583"/>
      <c r="H792" s="773"/>
      <c r="I792" s="776"/>
      <c r="J792" s="779"/>
      <c r="K792" s="782"/>
    </row>
    <row r="793" spans="3:11" x14ac:dyDescent="0.2">
      <c r="C793" s="569">
        <v>790</v>
      </c>
      <c r="D793" s="580"/>
      <c r="E793" s="581"/>
      <c r="F793" s="582"/>
      <c r="G793" s="583"/>
      <c r="H793" s="773"/>
      <c r="I793" s="776"/>
      <c r="J793" s="779"/>
      <c r="K793" s="782"/>
    </row>
    <row r="794" spans="3:11" x14ac:dyDescent="0.2">
      <c r="C794" s="569">
        <v>791</v>
      </c>
      <c r="D794" s="580"/>
      <c r="E794" s="581"/>
      <c r="F794" s="582"/>
      <c r="G794" s="583"/>
      <c r="H794" s="773"/>
      <c r="I794" s="776"/>
      <c r="J794" s="779"/>
      <c r="K794" s="782"/>
    </row>
    <row r="795" spans="3:11" x14ac:dyDescent="0.2">
      <c r="C795" s="569">
        <v>792</v>
      </c>
      <c r="D795" s="580"/>
      <c r="E795" s="581"/>
      <c r="F795" s="582"/>
      <c r="G795" s="583"/>
      <c r="H795" s="773"/>
      <c r="I795" s="776"/>
      <c r="J795" s="779"/>
      <c r="K795" s="782"/>
    </row>
    <row r="796" spans="3:11" x14ac:dyDescent="0.2">
      <c r="C796" s="569">
        <v>793</v>
      </c>
      <c r="D796" s="580"/>
      <c r="E796" s="581"/>
      <c r="F796" s="582"/>
      <c r="G796" s="583"/>
      <c r="H796" s="773"/>
      <c r="I796" s="776"/>
      <c r="J796" s="779"/>
      <c r="K796" s="782"/>
    </row>
    <row r="797" spans="3:11" x14ac:dyDescent="0.2">
      <c r="C797" s="569">
        <v>794</v>
      </c>
      <c r="D797" s="580"/>
      <c r="E797" s="581"/>
      <c r="F797" s="582"/>
      <c r="G797" s="583"/>
      <c r="H797" s="773"/>
      <c r="I797" s="776"/>
      <c r="J797" s="779"/>
      <c r="K797" s="782"/>
    </row>
    <row r="798" spans="3:11" x14ac:dyDescent="0.2">
      <c r="C798" s="569">
        <v>795</v>
      </c>
      <c r="D798" s="580"/>
      <c r="E798" s="581"/>
      <c r="F798" s="582"/>
      <c r="G798" s="583"/>
      <c r="H798" s="773"/>
      <c r="I798" s="776"/>
      <c r="J798" s="779"/>
      <c r="K798" s="782"/>
    </row>
    <row r="799" spans="3:11" x14ac:dyDescent="0.2">
      <c r="C799" s="569">
        <v>796</v>
      </c>
      <c r="D799" s="580"/>
      <c r="E799" s="581"/>
      <c r="F799" s="582"/>
      <c r="G799" s="583"/>
      <c r="H799" s="773"/>
      <c r="I799" s="776"/>
      <c r="J799" s="779"/>
      <c r="K799" s="782"/>
    </row>
    <row r="800" spans="3:11" x14ac:dyDescent="0.2">
      <c r="C800" s="569">
        <v>797</v>
      </c>
      <c r="D800" s="580"/>
      <c r="E800" s="581"/>
      <c r="F800" s="582"/>
      <c r="G800" s="583"/>
      <c r="H800" s="773"/>
      <c r="I800" s="776"/>
      <c r="J800" s="779"/>
      <c r="K800" s="782"/>
    </row>
    <row r="801" spans="3:11" x14ac:dyDescent="0.2">
      <c r="C801" s="569">
        <v>798</v>
      </c>
      <c r="D801" s="580"/>
      <c r="E801" s="581"/>
      <c r="F801" s="582"/>
      <c r="G801" s="583"/>
      <c r="H801" s="773"/>
      <c r="I801" s="776"/>
      <c r="J801" s="779"/>
      <c r="K801" s="782"/>
    </row>
    <row r="802" spans="3:11" x14ac:dyDescent="0.2">
      <c r="C802" s="569">
        <v>799</v>
      </c>
      <c r="D802" s="580"/>
      <c r="E802" s="581"/>
      <c r="F802" s="582"/>
      <c r="G802" s="583"/>
      <c r="H802" s="773"/>
      <c r="I802" s="776"/>
      <c r="J802" s="779"/>
      <c r="K802" s="782"/>
    </row>
    <row r="803" spans="3:11" x14ac:dyDescent="0.2">
      <c r="C803" s="569">
        <v>800</v>
      </c>
      <c r="D803" s="580"/>
      <c r="E803" s="581"/>
      <c r="F803" s="582"/>
      <c r="G803" s="583"/>
      <c r="H803" s="773"/>
      <c r="I803" s="776"/>
      <c r="J803" s="779"/>
      <c r="K803" s="782"/>
    </row>
    <row r="804" spans="3:11" x14ac:dyDescent="0.2">
      <c r="C804" s="569">
        <v>801</v>
      </c>
      <c r="D804" s="580"/>
      <c r="E804" s="581"/>
      <c r="F804" s="582"/>
      <c r="G804" s="583"/>
      <c r="H804" s="773"/>
      <c r="I804" s="776"/>
      <c r="J804" s="779"/>
      <c r="K804" s="782"/>
    </row>
    <row r="805" spans="3:11" x14ac:dyDescent="0.2">
      <c r="C805" s="569">
        <v>802</v>
      </c>
      <c r="D805" s="580"/>
      <c r="E805" s="581"/>
      <c r="F805" s="582"/>
      <c r="G805" s="583"/>
      <c r="H805" s="773"/>
      <c r="I805" s="776"/>
      <c r="J805" s="779"/>
      <c r="K805" s="782"/>
    </row>
    <row r="806" spans="3:11" x14ac:dyDescent="0.2">
      <c r="C806" s="569">
        <v>803</v>
      </c>
      <c r="D806" s="580"/>
      <c r="E806" s="581"/>
      <c r="F806" s="582"/>
      <c r="G806" s="583"/>
      <c r="H806" s="773"/>
      <c r="I806" s="776"/>
      <c r="J806" s="779"/>
      <c r="K806" s="782"/>
    </row>
    <row r="807" spans="3:11" x14ac:dyDescent="0.2">
      <c r="C807" s="569">
        <v>804</v>
      </c>
      <c r="D807" s="580"/>
      <c r="E807" s="581"/>
      <c r="F807" s="582"/>
      <c r="G807" s="583"/>
      <c r="H807" s="773"/>
      <c r="I807" s="776"/>
      <c r="J807" s="779"/>
      <c r="K807" s="782"/>
    </row>
    <row r="808" spans="3:11" x14ac:dyDescent="0.2">
      <c r="C808" s="569">
        <v>805</v>
      </c>
      <c r="D808" s="580"/>
      <c r="E808" s="581"/>
      <c r="F808" s="582"/>
      <c r="G808" s="583"/>
      <c r="H808" s="773"/>
      <c r="I808" s="776"/>
      <c r="J808" s="779"/>
      <c r="K808" s="782"/>
    </row>
    <row r="809" spans="3:11" x14ac:dyDescent="0.2">
      <c r="C809" s="569">
        <v>806</v>
      </c>
      <c r="D809" s="580"/>
      <c r="E809" s="581"/>
      <c r="F809" s="582"/>
      <c r="G809" s="583"/>
      <c r="H809" s="773"/>
      <c r="I809" s="776"/>
      <c r="J809" s="779"/>
      <c r="K809" s="782"/>
    </row>
    <row r="810" spans="3:11" x14ac:dyDescent="0.2">
      <c r="C810" s="569">
        <v>807</v>
      </c>
      <c r="D810" s="580"/>
      <c r="E810" s="581"/>
      <c r="F810" s="582"/>
      <c r="G810" s="583"/>
      <c r="H810" s="773"/>
      <c r="I810" s="776"/>
      <c r="J810" s="779"/>
      <c r="K810" s="782"/>
    </row>
    <row r="811" spans="3:11" x14ac:dyDescent="0.2">
      <c r="C811" s="569">
        <v>808</v>
      </c>
      <c r="D811" s="580"/>
      <c r="E811" s="581"/>
      <c r="F811" s="582"/>
      <c r="G811" s="583"/>
      <c r="H811" s="773"/>
      <c r="I811" s="776"/>
      <c r="J811" s="779"/>
      <c r="K811" s="782"/>
    </row>
    <row r="812" spans="3:11" x14ac:dyDescent="0.2">
      <c r="C812" s="569">
        <v>809</v>
      </c>
      <c r="D812" s="580"/>
      <c r="E812" s="581"/>
      <c r="F812" s="582"/>
      <c r="G812" s="583"/>
      <c r="H812" s="773"/>
      <c r="I812" s="776"/>
      <c r="J812" s="779"/>
      <c r="K812" s="782"/>
    </row>
    <row r="813" spans="3:11" x14ac:dyDescent="0.2">
      <c r="C813" s="569">
        <v>810</v>
      </c>
      <c r="D813" s="580"/>
      <c r="E813" s="581"/>
      <c r="F813" s="582"/>
      <c r="G813" s="583"/>
      <c r="H813" s="773"/>
      <c r="I813" s="776"/>
      <c r="J813" s="779"/>
      <c r="K813" s="782"/>
    </row>
    <row r="814" spans="3:11" x14ac:dyDescent="0.2">
      <c r="C814" s="569">
        <v>811</v>
      </c>
      <c r="D814" s="580"/>
      <c r="E814" s="581"/>
      <c r="F814" s="582"/>
      <c r="G814" s="583"/>
      <c r="H814" s="773"/>
      <c r="I814" s="776"/>
      <c r="J814" s="779"/>
      <c r="K814" s="782"/>
    </row>
    <row r="815" spans="3:11" x14ac:dyDescent="0.2">
      <c r="C815" s="569">
        <v>812</v>
      </c>
      <c r="D815" s="580"/>
      <c r="E815" s="581"/>
      <c r="F815" s="582"/>
      <c r="G815" s="583"/>
      <c r="H815" s="773"/>
      <c r="I815" s="776"/>
      <c r="J815" s="779"/>
      <c r="K815" s="782"/>
    </row>
    <row r="816" spans="3:11" x14ac:dyDescent="0.2">
      <c r="C816" s="569">
        <v>813</v>
      </c>
      <c r="D816" s="580"/>
      <c r="E816" s="581"/>
      <c r="F816" s="582"/>
      <c r="G816" s="583"/>
      <c r="H816" s="773"/>
      <c r="I816" s="776"/>
      <c r="J816" s="779"/>
      <c r="K816" s="782"/>
    </row>
    <row r="817" spans="3:11" x14ac:dyDescent="0.2">
      <c r="C817" s="569">
        <v>814</v>
      </c>
      <c r="D817" s="580"/>
      <c r="E817" s="581"/>
      <c r="F817" s="582"/>
      <c r="G817" s="583"/>
      <c r="H817" s="773"/>
      <c r="I817" s="776"/>
      <c r="J817" s="779"/>
      <c r="K817" s="782"/>
    </row>
    <row r="818" spans="3:11" x14ac:dyDescent="0.2">
      <c r="C818" s="569">
        <v>815</v>
      </c>
      <c r="D818" s="580"/>
      <c r="E818" s="581"/>
      <c r="F818" s="582"/>
      <c r="G818" s="583"/>
      <c r="H818" s="773"/>
      <c r="I818" s="776"/>
      <c r="J818" s="779"/>
      <c r="K818" s="782"/>
    </row>
    <row r="819" spans="3:11" x14ac:dyDescent="0.2">
      <c r="C819" s="569">
        <v>816</v>
      </c>
      <c r="D819" s="580"/>
      <c r="E819" s="581"/>
      <c r="F819" s="582"/>
      <c r="G819" s="583"/>
      <c r="H819" s="773"/>
      <c r="I819" s="776"/>
      <c r="J819" s="779"/>
      <c r="K819" s="782"/>
    </row>
    <row r="820" spans="3:11" x14ac:dyDescent="0.2">
      <c r="C820" s="569">
        <v>817</v>
      </c>
      <c r="D820" s="580"/>
      <c r="E820" s="581"/>
      <c r="F820" s="582"/>
      <c r="G820" s="583"/>
      <c r="H820" s="773"/>
      <c r="I820" s="776"/>
      <c r="J820" s="779"/>
      <c r="K820" s="782"/>
    </row>
    <row r="821" spans="3:11" x14ac:dyDescent="0.2">
      <c r="C821" s="569">
        <v>818</v>
      </c>
      <c r="D821" s="580"/>
      <c r="E821" s="581"/>
      <c r="F821" s="582"/>
      <c r="G821" s="583"/>
      <c r="H821" s="773"/>
      <c r="I821" s="776"/>
      <c r="J821" s="779"/>
      <c r="K821" s="782"/>
    </row>
    <row r="822" spans="3:11" x14ac:dyDescent="0.2">
      <c r="C822" s="569">
        <v>819</v>
      </c>
      <c r="D822" s="580"/>
      <c r="E822" s="581"/>
      <c r="F822" s="582"/>
      <c r="G822" s="583"/>
      <c r="H822" s="773"/>
      <c r="I822" s="776"/>
      <c r="J822" s="779"/>
      <c r="K822" s="782"/>
    </row>
    <row r="823" spans="3:11" x14ac:dyDescent="0.2">
      <c r="C823" s="569">
        <v>820</v>
      </c>
      <c r="D823" s="580"/>
      <c r="E823" s="581"/>
      <c r="F823" s="582"/>
      <c r="G823" s="583"/>
      <c r="H823" s="773"/>
      <c r="I823" s="776"/>
      <c r="J823" s="779"/>
      <c r="K823" s="782"/>
    </row>
    <row r="824" spans="3:11" x14ac:dyDescent="0.2">
      <c r="C824" s="569">
        <v>821</v>
      </c>
      <c r="D824" s="580"/>
      <c r="E824" s="581"/>
      <c r="F824" s="582"/>
      <c r="G824" s="583"/>
      <c r="H824" s="773"/>
      <c r="I824" s="776"/>
      <c r="J824" s="779"/>
      <c r="K824" s="782"/>
    </row>
    <row r="825" spans="3:11" x14ac:dyDescent="0.2">
      <c r="C825" s="569">
        <v>822</v>
      </c>
      <c r="D825" s="580"/>
      <c r="E825" s="581"/>
      <c r="F825" s="582"/>
      <c r="G825" s="583"/>
      <c r="H825" s="773"/>
      <c r="I825" s="776"/>
      <c r="J825" s="779"/>
      <c r="K825" s="782"/>
    </row>
    <row r="826" spans="3:11" x14ac:dyDescent="0.2">
      <c r="C826" s="569">
        <v>823</v>
      </c>
      <c r="D826" s="580"/>
      <c r="E826" s="581"/>
      <c r="F826" s="582"/>
      <c r="G826" s="583"/>
      <c r="H826" s="773"/>
      <c r="I826" s="776"/>
      <c r="J826" s="779"/>
      <c r="K826" s="782"/>
    </row>
    <row r="827" spans="3:11" x14ac:dyDescent="0.2">
      <c r="C827" s="569">
        <v>824</v>
      </c>
      <c r="D827" s="580"/>
      <c r="E827" s="581"/>
      <c r="F827" s="582"/>
      <c r="G827" s="583"/>
      <c r="H827" s="773"/>
      <c r="I827" s="776"/>
      <c r="J827" s="779"/>
      <c r="K827" s="782"/>
    </row>
    <row r="828" spans="3:11" x14ac:dyDescent="0.2">
      <c r="C828" s="569">
        <v>825</v>
      </c>
      <c r="D828" s="580"/>
      <c r="E828" s="581"/>
      <c r="F828" s="582"/>
      <c r="G828" s="583"/>
      <c r="H828" s="773"/>
      <c r="I828" s="776"/>
      <c r="J828" s="779"/>
      <c r="K828" s="782"/>
    </row>
    <row r="829" spans="3:11" x14ac:dyDescent="0.2">
      <c r="C829" s="569">
        <v>826</v>
      </c>
      <c r="D829" s="580"/>
      <c r="E829" s="581"/>
      <c r="F829" s="582"/>
      <c r="G829" s="583"/>
      <c r="H829" s="773"/>
      <c r="I829" s="776"/>
      <c r="J829" s="779"/>
      <c r="K829" s="782"/>
    </row>
    <row r="830" spans="3:11" x14ac:dyDescent="0.2">
      <c r="C830" s="569">
        <v>827</v>
      </c>
      <c r="D830" s="580"/>
      <c r="E830" s="581"/>
      <c r="F830" s="582"/>
      <c r="G830" s="583"/>
      <c r="H830" s="773"/>
      <c r="I830" s="776"/>
      <c r="J830" s="779"/>
      <c r="K830" s="782"/>
    </row>
    <row r="831" spans="3:11" x14ac:dyDescent="0.2">
      <c r="C831" s="569">
        <v>828</v>
      </c>
      <c r="D831" s="580"/>
      <c r="E831" s="581"/>
      <c r="F831" s="582"/>
      <c r="G831" s="583"/>
      <c r="H831" s="773"/>
      <c r="I831" s="776"/>
      <c r="J831" s="779"/>
      <c r="K831" s="782"/>
    </row>
    <row r="832" spans="3:11" x14ac:dyDescent="0.2">
      <c r="C832" s="569">
        <v>829</v>
      </c>
      <c r="D832" s="580"/>
      <c r="E832" s="581"/>
      <c r="F832" s="582"/>
      <c r="G832" s="583"/>
      <c r="H832" s="773"/>
      <c r="I832" s="776"/>
      <c r="J832" s="779"/>
      <c r="K832" s="782"/>
    </row>
    <row r="833" spans="3:11" x14ac:dyDescent="0.2">
      <c r="C833" s="569">
        <v>830</v>
      </c>
      <c r="D833" s="580"/>
      <c r="E833" s="581"/>
      <c r="F833" s="582"/>
      <c r="G833" s="583"/>
      <c r="H833" s="773"/>
      <c r="I833" s="776"/>
      <c r="J833" s="779"/>
      <c r="K833" s="782"/>
    </row>
    <row r="834" spans="3:11" x14ac:dyDescent="0.2">
      <c r="C834" s="569">
        <v>831</v>
      </c>
      <c r="D834" s="580"/>
      <c r="E834" s="581"/>
      <c r="F834" s="582"/>
      <c r="G834" s="583"/>
      <c r="H834" s="773"/>
      <c r="I834" s="776"/>
      <c r="J834" s="779"/>
      <c r="K834" s="782"/>
    </row>
    <row r="835" spans="3:11" x14ac:dyDescent="0.2">
      <c r="C835" s="569">
        <v>832</v>
      </c>
      <c r="D835" s="580"/>
      <c r="E835" s="581"/>
      <c r="F835" s="582"/>
      <c r="G835" s="583"/>
      <c r="H835" s="773"/>
      <c r="I835" s="776"/>
      <c r="J835" s="779"/>
      <c r="K835" s="782"/>
    </row>
    <row r="836" spans="3:11" x14ac:dyDescent="0.2">
      <c r="C836" s="569">
        <v>833</v>
      </c>
      <c r="D836" s="580"/>
      <c r="E836" s="581"/>
      <c r="F836" s="582"/>
      <c r="G836" s="583"/>
      <c r="H836" s="773"/>
      <c r="I836" s="776"/>
      <c r="J836" s="779"/>
      <c r="K836" s="782"/>
    </row>
    <row r="837" spans="3:11" x14ac:dyDescent="0.2">
      <c r="C837" s="569">
        <v>834</v>
      </c>
      <c r="D837" s="580"/>
      <c r="E837" s="581"/>
      <c r="F837" s="582"/>
      <c r="G837" s="583"/>
      <c r="H837" s="773"/>
      <c r="I837" s="776"/>
      <c r="J837" s="779"/>
      <c r="K837" s="782"/>
    </row>
    <row r="838" spans="3:11" x14ac:dyDescent="0.2">
      <c r="C838" s="569">
        <v>835</v>
      </c>
      <c r="D838" s="580"/>
      <c r="E838" s="581"/>
      <c r="F838" s="582"/>
      <c r="G838" s="583"/>
      <c r="H838" s="773"/>
      <c r="I838" s="776"/>
      <c r="J838" s="779"/>
      <c r="K838" s="782"/>
    </row>
    <row r="839" spans="3:11" x14ac:dyDescent="0.2">
      <c r="C839" s="569">
        <v>836</v>
      </c>
      <c r="D839" s="580"/>
      <c r="E839" s="581"/>
      <c r="F839" s="582"/>
      <c r="G839" s="583"/>
      <c r="H839" s="773"/>
      <c r="I839" s="776"/>
      <c r="J839" s="779"/>
      <c r="K839" s="782"/>
    </row>
    <row r="840" spans="3:11" x14ac:dyDescent="0.2">
      <c r="C840" s="569">
        <v>837</v>
      </c>
      <c r="D840" s="580"/>
      <c r="E840" s="581"/>
      <c r="F840" s="582"/>
      <c r="G840" s="583"/>
      <c r="H840" s="773"/>
      <c r="I840" s="776"/>
      <c r="J840" s="779"/>
      <c r="K840" s="782"/>
    </row>
    <row r="841" spans="3:11" x14ac:dyDescent="0.2">
      <c r="C841" s="569">
        <v>838</v>
      </c>
      <c r="D841" s="580"/>
      <c r="E841" s="581"/>
      <c r="F841" s="582"/>
      <c r="G841" s="583"/>
      <c r="H841" s="773"/>
      <c r="I841" s="776"/>
      <c r="J841" s="779"/>
      <c r="K841" s="782"/>
    </row>
    <row r="842" spans="3:11" x14ac:dyDescent="0.2">
      <c r="C842" s="569">
        <v>839</v>
      </c>
      <c r="D842" s="580"/>
      <c r="E842" s="581"/>
      <c r="F842" s="582"/>
      <c r="G842" s="583"/>
      <c r="H842" s="773"/>
      <c r="I842" s="776"/>
      <c r="J842" s="779"/>
      <c r="K842" s="782"/>
    </row>
    <row r="843" spans="3:11" x14ac:dyDescent="0.2">
      <c r="C843" s="569">
        <v>840</v>
      </c>
      <c r="D843" s="580"/>
      <c r="E843" s="581"/>
      <c r="F843" s="582"/>
      <c r="G843" s="583"/>
      <c r="H843" s="773"/>
      <c r="I843" s="776"/>
      <c r="J843" s="779"/>
      <c r="K843" s="782"/>
    </row>
    <row r="844" spans="3:11" x14ac:dyDescent="0.2">
      <c r="C844" s="569">
        <v>841</v>
      </c>
      <c r="D844" s="580"/>
      <c r="E844" s="581"/>
      <c r="F844" s="582"/>
      <c r="G844" s="583"/>
      <c r="H844" s="773"/>
      <c r="I844" s="776"/>
      <c r="J844" s="779"/>
      <c r="K844" s="782"/>
    </row>
    <row r="845" spans="3:11" x14ac:dyDescent="0.2">
      <c r="C845" s="569">
        <v>842</v>
      </c>
      <c r="D845" s="580"/>
      <c r="E845" s="581"/>
      <c r="F845" s="582"/>
      <c r="G845" s="583"/>
      <c r="H845" s="773"/>
      <c r="I845" s="776"/>
      <c r="J845" s="779"/>
      <c r="K845" s="782"/>
    </row>
    <row r="846" spans="3:11" x14ac:dyDescent="0.2">
      <c r="C846" s="569">
        <v>843</v>
      </c>
      <c r="D846" s="580"/>
      <c r="E846" s="581"/>
      <c r="F846" s="582"/>
      <c r="G846" s="583"/>
      <c r="H846" s="773"/>
      <c r="I846" s="776"/>
      <c r="J846" s="779"/>
      <c r="K846" s="782"/>
    </row>
    <row r="847" spans="3:11" x14ac:dyDescent="0.2">
      <c r="C847" s="569">
        <v>844</v>
      </c>
      <c r="D847" s="580"/>
      <c r="E847" s="581"/>
      <c r="F847" s="582"/>
      <c r="G847" s="583"/>
      <c r="H847" s="773"/>
      <c r="I847" s="776"/>
      <c r="J847" s="779"/>
      <c r="K847" s="782"/>
    </row>
    <row r="848" spans="3:11" x14ac:dyDescent="0.2">
      <c r="C848" s="569">
        <v>845</v>
      </c>
      <c r="D848" s="580"/>
      <c r="E848" s="581"/>
      <c r="F848" s="582"/>
      <c r="G848" s="583"/>
      <c r="H848" s="773"/>
      <c r="I848" s="776"/>
      <c r="J848" s="779"/>
      <c r="K848" s="782"/>
    </row>
    <row r="849" spans="3:11" x14ac:dyDescent="0.2">
      <c r="C849" s="569">
        <v>846</v>
      </c>
      <c r="D849" s="580"/>
      <c r="E849" s="581"/>
      <c r="F849" s="582"/>
      <c r="G849" s="583"/>
      <c r="H849" s="773"/>
      <c r="I849" s="776"/>
      <c r="J849" s="779"/>
      <c r="K849" s="782"/>
    </row>
    <row r="850" spans="3:11" x14ac:dyDescent="0.2">
      <c r="C850" s="569">
        <v>847</v>
      </c>
      <c r="D850" s="580"/>
      <c r="E850" s="581"/>
      <c r="F850" s="582"/>
      <c r="G850" s="583"/>
      <c r="H850" s="773"/>
      <c r="I850" s="776"/>
      <c r="J850" s="779"/>
      <c r="K850" s="782"/>
    </row>
    <row r="851" spans="3:11" x14ac:dyDescent="0.2">
      <c r="C851" s="569">
        <v>848</v>
      </c>
      <c r="D851" s="580"/>
      <c r="E851" s="581"/>
      <c r="F851" s="582"/>
      <c r="G851" s="583"/>
      <c r="H851" s="773"/>
      <c r="I851" s="776"/>
      <c r="J851" s="779"/>
      <c r="K851" s="782"/>
    </row>
    <row r="852" spans="3:11" x14ac:dyDescent="0.2">
      <c r="C852" s="569">
        <v>849</v>
      </c>
      <c r="D852" s="580"/>
      <c r="E852" s="581"/>
      <c r="F852" s="582"/>
      <c r="G852" s="583"/>
      <c r="H852" s="773"/>
      <c r="I852" s="776"/>
      <c r="J852" s="779"/>
      <c r="K852" s="782"/>
    </row>
    <row r="853" spans="3:11" x14ac:dyDescent="0.2">
      <c r="C853" s="569">
        <v>850</v>
      </c>
      <c r="D853" s="580"/>
      <c r="E853" s="581"/>
      <c r="F853" s="582"/>
      <c r="G853" s="583"/>
      <c r="H853" s="773"/>
      <c r="I853" s="776"/>
      <c r="J853" s="779"/>
      <c r="K853" s="782"/>
    </row>
    <row r="854" spans="3:11" x14ac:dyDescent="0.2">
      <c r="C854" s="569">
        <v>851</v>
      </c>
      <c r="D854" s="580"/>
      <c r="E854" s="581"/>
      <c r="F854" s="582"/>
      <c r="G854" s="583"/>
      <c r="H854" s="773"/>
      <c r="I854" s="776"/>
      <c r="J854" s="779"/>
      <c r="K854" s="782"/>
    </row>
    <row r="855" spans="3:11" x14ac:dyDescent="0.2">
      <c r="C855" s="569">
        <v>852</v>
      </c>
      <c r="D855" s="580"/>
      <c r="E855" s="581"/>
      <c r="F855" s="582"/>
      <c r="G855" s="583"/>
      <c r="H855" s="773"/>
      <c r="I855" s="776"/>
      <c r="J855" s="779"/>
      <c r="K855" s="782"/>
    </row>
    <row r="856" spans="3:11" x14ac:dyDescent="0.2">
      <c r="C856" s="569">
        <v>853</v>
      </c>
      <c r="D856" s="580"/>
      <c r="E856" s="581"/>
      <c r="F856" s="582"/>
      <c r="G856" s="583"/>
      <c r="H856" s="773"/>
      <c r="I856" s="776"/>
      <c r="J856" s="779"/>
      <c r="K856" s="782"/>
    </row>
    <row r="857" spans="3:11" x14ac:dyDescent="0.2">
      <c r="C857" s="569">
        <v>854</v>
      </c>
      <c r="D857" s="580"/>
      <c r="E857" s="581"/>
      <c r="F857" s="582"/>
      <c r="G857" s="583"/>
      <c r="H857" s="773"/>
      <c r="I857" s="776"/>
      <c r="J857" s="779"/>
      <c r="K857" s="782"/>
    </row>
    <row r="858" spans="3:11" x14ac:dyDescent="0.2">
      <c r="C858" s="569">
        <v>855</v>
      </c>
      <c r="D858" s="580"/>
      <c r="E858" s="581"/>
      <c r="F858" s="582"/>
      <c r="G858" s="583"/>
      <c r="H858" s="773"/>
      <c r="I858" s="776"/>
      <c r="J858" s="779"/>
      <c r="K858" s="782"/>
    </row>
    <row r="859" spans="3:11" ht="16" x14ac:dyDescent="0.2">
      <c r="C859" s="569">
        <v>856</v>
      </c>
      <c r="D859" s="580" t="s">
        <v>1025</v>
      </c>
      <c r="E859" s="581" t="s">
        <v>1026</v>
      </c>
      <c r="F859" s="582" t="s">
        <v>1026</v>
      </c>
      <c r="G859" s="583" t="s">
        <v>1026</v>
      </c>
      <c r="H859" s="773" t="s">
        <v>1026</v>
      </c>
      <c r="I859" s="776" t="s">
        <v>1026</v>
      </c>
      <c r="J859" s="779" t="s">
        <v>1026</v>
      </c>
      <c r="K859" s="782" t="s">
        <v>1026</v>
      </c>
    </row>
    <row r="860" spans="3:11" ht="16" x14ac:dyDescent="0.2">
      <c r="C860" s="569">
        <v>857</v>
      </c>
      <c r="D860" s="580" t="s">
        <v>1027</v>
      </c>
      <c r="E860" s="581" t="s">
        <v>1027</v>
      </c>
      <c r="F860" s="582" t="s">
        <v>1027</v>
      </c>
      <c r="G860" s="583" t="s">
        <v>1027</v>
      </c>
      <c r="H860" s="583" t="s">
        <v>1027</v>
      </c>
      <c r="I860" s="583" t="s">
        <v>1027</v>
      </c>
      <c r="J860" s="583" t="s">
        <v>1027</v>
      </c>
      <c r="K860" s="583" t="s">
        <v>1027</v>
      </c>
    </row>
    <row r="861" spans="3:11" ht="16" x14ac:dyDescent="0.2">
      <c r="C861" s="569">
        <v>858</v>
      </c>
      <c r="D861" s="580" t="s">
        <v>1028</v>
      </c>
      <c r="E861" s="581" t="s">
        <v>1029</v>
      </c>
      <c r="F861" s="582" t="s">
        <v>1028</v>
      </c>
      <c r="G861" s="583" t="s">
        <v>1028</v>
      </c>
      <c r="H861" s="583" t="s">
        <v>1028</v>
      </c>
      <c r="I861" s="583" t="s">
        <v>1028</v>
      </c>
      <c r="J861" s="583" t="s">
        <v>1028</v>
      </c>
      <c r="K861" s="583" t="s">
        <v>1028</v>
      </c>
    </row>
  </sheetData>
  <phoneticPr fontId="82" type="noConversion"/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A015-5713-4B62-935B-487F9C6AC5D3}">
  <dimension ref="A1:X31"/>
  <sheetViews>
    <sheetView workbookViewId="0">
      <selection activeCell="K13" sqref="K13"/>
    </sheetView>
  </sheetViews>
  <sheetFormatPr baseColWidth="10" defaultColWidth="8.83203125" defaultRowHeight="13" x14ac:dyDescent="0.15"/>
  <sheetData>
    <row r="1" spans="1:24" s="563" customFormat="1" ht="56" x14ac:dyDescent="0.15">
      <c r="A1" s="584" t="str" cm="1">
        <f t="array" aca="1" ref="A1" ca="1">MID(CELL("filename",$A$1),FIND("]",CELL("filename",$A$1))+1,255)</f>
        <v>Syötä maat KIRJASTOLINKIT!</v>
      </c>
    </row>
    <row r="2" spans="1:24" x14ac:dyDescent="0.15">
      <c r="A2" s="585" t="s">
        <v>1030</v>
      </c>
      <c r="B2" s="586" t="str">
        <f>INDEX('Kirjasto (maat)'!$D$4:$K$28,ROW('Kirjasto (maat)'!$D4)-3,'Kirjasto (maat)'!$B$4)</f>
        <v>Finland</v>
      </c>
    </row>
    <row r="3" spans="1:24" x14ac:dyDescent="0.15">
      <c r="A3" s="585" t="s">
        <v>1031</v>
      </c>
      <c r="B3" s="586"/>
    </row>
    <row r="4" spans="1:24" ht="14" thickBot="1" x14ac:dyDescent="0.2">
      <c r="A4" s="585" t="s">
        <v>1032</v>
      </c>
      <c r="B4" s="586"/>
    </row>
    <row r="5" spans="1:24" x14ac:dyDescent="0.15">
      <c r="A5" s="585" t="s">
        <v>1033</v>
      </c>
      <c r="B5" s="586"/>
      <c r="R5" s="228" t="s">
        <v>1101</v>
      </c>
      <c r="S5" s="230"/>
      <c r="T5" s="230"/>
      <c r="U5" s="230"/>
      <c r="V5" s="230"/>
      <c r="W5" s="230"/>
      <c r="X5" s="231"/>
    </row>
    <row r="6" spans="1:24" x14ac:dyDescent="0.15">
      <c r="A6" s="585" t="s">
        <v>1034</v>
      </c>
      <c r="B6" s="586"/>
      <c r="R6" s="232"/>
      <c r="X6" s="364"/>
    </row>
    <row r="7" spans="1:24" x14ac:dyDescent="0.15">
      <c r="A7" s="585" t="s">
        <v>1035</v>
      </c>
      <c r="B7" s="586"/>
      <c r="R7" s="232"/>
      <c r="X7" s="364"/>
    </row>
    <row r="8" spans="1:24" x14ac:dyDescent="0.15">
      <c r="A8" s="585" t="s">
        <v>1036</v>
      </c>
      <c r="B8" s="586"/>
      <c r="R8" s="232"/>
      <c r="X8" s="364"/>
    </row>
    <row r="9" spans="1:24" x14ac:dyDescent="0.15">
      <c r="A9" s="585" t="s">
        <v>1037</v>
      </c>
      <c r="B9" s="586"/>
      <c r="R9" s="232"/>
      <c r="X9" s="364"/>
    </row>
    <row r="10" spans="1:24" x14ac:dyDescent="0.15">
      <c r="A10" s="585" t="s">
        <v>1038</v>
      </c>
      <c r="B10" s="586"/>
      <c r="R10" s="232"/>
      <c r="X10" s="364"/>
    </row>
    <row r="11" spans="1:24" x14ac:dyDescent="0.15">
      <c r="A11" s="585" t="s">
        <v>1039</v>
      </c>
      <c r="B11" s="586"/>
      <c r="R11" s="232"/>
      <c r="X11" s="364"/>
    </row>
    <row r="12" spans="1:24" x14ac:dyDescent="0.15">
      <c r="A12" s="585" t="s">
        <v>1040</v>
      </c>
      <c r="B12" s="586"/>
      <c r="R12" s="232"/>
      <c r="X12" s="364"/>
    </row>
    <row r="13" spans="1:24" x14ac:dyDescent="0.15">
      <c r="A13" s="585" t="s">
        <v>1041</v>
      </c>
      <c r="B13" s="586"/>
      <c r="R13" s="232"/>
      <c r="X13" s="364"/>
    </row>
    <row r="14" spans="1:24" x14ac:dyDescent="0.15">
      <c r="A14" s="585" t="s">
        <v>1042</v>
      </c>
      <c r="B14" s="586"/>
      <c r="R14" s="232"/>
      <c r="X14" s="364"/>
    </row>
    <row r="15" spans="1:24" x14ac:dyDescent="0.15">
      <c r="A15" s="585" t="s">
        <v>1043</v>
      </c>
      <c r="B15" s="586"/>
      <c r="R15" s="232"/>
      <c r="X15" s="364"/>
    </row>
    <row r="16" spans="1:24" x14ac:dyDescent="0.15">
      <c r="A16" s="585" t="s">
        <v>1044</v>
      </c>
      <c r="B16" s="586"/>
      <c r="R16" s="232"/>
      <c r="X16" s="364"/>
    </row>
    <row r="17" spans="1:24" x14ac:dyDescent="0.15">
      <c r="A17" s="585" t="s">
        <v>1045</v>
      </c>
      <c r="B17" s="586"/>
      <c r="R17" s="232"/>
      <c r="X17" s="364"/>
    </row>
    <row r="18" spans="1:24" x14ac:dyDescent="0.15">
      <c r="A18" s="585" t="s">
        <v>1046</v>
      </c>
      <c r="B18" s="586"/>
      <c r="R18" s="232"/>
      <c r="X18" s="364"/>
    </row>
    <row r="19" spans="1:24" x14ac:dyDescent="0.15">
      <c r="A19" s="585" t="s">
        <v>1047</v>
      </c>
      <c r="B19" s="586"/>
      <c r="R19" s="232"/>
      <c r="X19" s="364"/>
    </row>
    <row r="20" spans="1:24" x14ac:dyDescent="0.15">
      <c r="A20" s="585" t="s">
        <v>1048</v>
      </c>
      <c r="B20" s="586"/>
      <c r="R20" s="232"/>
      <c r="X20" s="364"/>
    </row>
    <row r="21" spans="1:24" x14ac:dyDescent="0.15">
      <c r="A21" s="585" t="s">
        <v>1049</v>
      </c>
      <c r="B21" s="586"/>
      <c r="R21" s="232"/>
      <c r="X21" s="364"/>
    </row>
    <row r="22" spans="1:24" x14ac:dyDescent="0.15">
      <c r="A22" s="585" t="s">
        <v>1050</v>
      </c>
      <c r="B22" s="586"/>
      <c r="R22" s="232"/>
      <c r="X22" s="364"/>
    </row>
    <row r="23" spans="1:24" x14ac:dyDescent="0.15">
      <c r="A23" s="585" t="s">
        <v>1051</v>
      </c>
      <c r="B23" s="586"/>
      <c r="R23" s="232"/>
      <c r="X23" s="364"/>
    </row>
    <row r="24" spans="1:24" x14ac:dyDescent="0.15">
      <c r="A24" s="585" t="s">
        <v>1052</v>
      </c>
      <c r="B24" s="586"/>
      <c r="R24" s="232"/>
      <c r="X24" s="364"/>
    </row>
    <row r="25" spans="1:24" x14ac:dyDescent="0.15">
      <c r="A25" s="585" t="s">
        <v>1053</v>
      </c>
      <c r="B25" s="586"/>
      <c r="R25" s="232"/>
      <c r="X25" s="364"/>
    </row>
    <row r="26" spans="1:24" ht="14" thickBot="1" x14ac:dyDescent="0.2">
      <c r="A26" s="585" t="s">
        <v>1054</v>
      </c>
      <c r="B26" s="586"/>
      <c r="R26" s="236"/>
      <c r="S26" s="238"/>
      <c r="T26" s="238"/>
      <c r="U26" s="238"/>
      <c r="V26" s="238"/>
      <c r="W26" s="238"/>
      <c r="X26" s="239"/>
    </row>
    <row r="29" spans="1:24" x14ac:dyDescent="0.15">
      <c r="A29" s="2" t="s">
        <v>1055</v>
      </c>
    </row>
    <row r="31" spans="1:24" ht="18" x14ac:dyDescent="0.2">
      <c r="A31" s="587" t="str">
        <f ca="1">_xlfn.CONCAT("Käytettävä kaavaa, joka hakee arvot taulukosta: ",'Kirjasto (maat)'!B1)</f>
        <v>Käytettävä kaavaa, joka hakee arvot taulukosta: Kirjasto (maat)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5BD71-7986-463C-B1C8-3B11430AEF63}">
  <dimension ref="A1:Z44"/>
  <sheetViews>
    <sheetView workbookViewId="0">
      <selection activeCell="K13" sqref="K13"/>
    </sheetView>
  </sheetViews>
  <sheetFormatPr baseColWidth="10" defaultColWidth="8.83203125" defaultRowHeight="13" x14ac:dyDescent="0.15"/>
  <cols>
    <col min="1" max="1" width="10.83203125" style="2" customWidth="1"/>
    <col min="2" max="26" width="9.6640625" customWidth="1"/>
  </cols>
  <sheetData>
    <row r="1" spans="1:26" s="584" customFormat="1" ht="56" x14ac:dyDescent="0.15">
      <c r="A1" s="584" t="str" cm="1">
        <f t="array" aca="1" ref="A1" ca="1">MID(CELL("filename",$A$1),FIND("]",CELL("filename",$A$1))+1,255)</f>
        <v>Syötä kaupungit KIRJASTOLINKIT!</v>
      </c>
      <c r="B1" s="584" t="str">
        <f>IF(ISBLANK('Syötä maat KIRJASTOLINKIT!'!$B$2),'Syötä maat KIRJASTOLINKIT!'!$A$2,'Syötä maat KIRJASTOLINKIT!'!$B$2)</f>
        <v>Finland</v>
      </c>
      <c r="C1" s="584" t="str">
        <f>IF(ISBLANK('Syötä maat KIRJASTOLINKIT!'!$B$3),'Syötä maat KIRJASTOLINKIT!'!$A$3,'Syötä maat KIRJASTOLINKIT!'!$B$3)</f>
        <v>MAA 2</v>
      </c>
      <c r="D1" s="584" t="str">
        <f>IF(ISBLANK('Syötä maat KIRJASTOLINKIT!'!$B$4),'Syötä maat KIRJASTOLINKIT!'!$A$4,'Syötä maat KIRJASTOLINKIT!'!$B$4)</f>
        <v>MAA 3</v>
      </c>
      <c r="E1" s="584" t="str">
        <f>IF(ISBLANK('Syötä maat KIRJASTOLINKIT!'!$B$5),'Syötä maat KIRJASTOLINKIT!'!$A$5,'Syötä maat KIRJASTOLINKIT!'!$B$5)</f>
        <v>MAA 4</v>
      </c>
      <c r="F1" s="584" t="str">
        <f>IF(ISBLANK('Syötä maat KIRJASTOLINKIT!'!$B$6),'Syötä maat KIRJASTOLINKIT!'!$A$6,'Syötä maat KIRJASTOLINKIT!'!$B$6)</f>
        <v>MAA 5</v>
      </c>
      <c r="G1" s="584" t="str">
        <f>IF(ISBLANK('Syötä maat KIRJASTOLINKIT!'!$B$7),'Syötä maat KIRJASTOLINKIT!'!$A$7,'Syötä maat KIRJASTOLINKIT!'!$B$7)</f>
        <v>MAA 6</v>
      </c>
      <c r="H1" s="584" t="str">
        <f>IF(ISBLANK('Syötä maat KIRJASTOLINKIT!'!$B$8),'Syötä maat KIRJASTOLINKIT!'!$A$8,'Syötä maat KIRJASTOLINKIT!'!$B$8)</f>
        <v>MAA 7</v>
      </c>
      <c r="I1" s="584" t="str">
        <f>IF(ISBLANK('Syötä maat KIRJASTOLINKIT!'!$B$9),'Syötä maat KIRJASTOLINKIT!'!$A$9,'Syötä maat KIRJASTOLINKIT!'!$B$9)</f>
        <v>MAA 8</v>
      </c>
      <c r="J1" s="584" t="str">
        <f>IF(ISBLANK('Syötä maat KIRJASTOLINKIT!'!$B$10),'Syötä maat KIRJASTOLINKIT!'!$A$10,'Syötä maat KIRJASTOLINKIT!'!$B$10)</f>
        <v>MAA 9</v>
      </c>
      <c r="K1" s="584" t="str">
        <f>IF(ISBLANK('Syötä maat KIRJASTOLINKIT!'!$B$11),'Syötä maat KIRJASTOLINKIT!'!$A$11,'Syötä maat KIRJASTOLINKIT!'!$B$11)</f>
        <v>MAA 10</v>
      </c>
      <c r="L1" s="584" t="str">
        <f>IF(ISBLANK('Syötä maat KIRJASTOLINKIT!'!$B$12),'Syötä maat KIRJASTOLINKIT!'!$A$12,'Syötä maat KIRJASTOLINKIT!'!$B$12)</f>
        <v>MAA 11</v>
      </c>
      <c r="M1" s="584" t="str">
        <f>IF(ISBLANK('Syötä maat KIRJASTOLINKIT!'!$B$13),'Syötä maat KIRJASTOLINKIT!'!$A$13,'Syötä maat KIRJASTOLINKIT!'!$B$13)</f>
        <v>MAA 12</v>
      </c>
      <c r="N1" s="584" t="str">
        <f>IF(ISBLANK('Syötä maat KIRJASTOLINKIT!'!$B$14),'Syötä maat KIRJASTOLINKIT!'!$A$14,'Syötä maat KIRJASTOLINKIT!'!$B$14)</f>
        <v>MAA 13</v>
      </c>
      <c r="O1" s="584" t="str">
        <f>IF(ISBLANK('Syötä maat KIRJASTOLINKIT!'!$B$15),'Syötä maat KIRJASTOLINKIT!'!$A$15,'Syötä maat KIRJASTOLINKIT!'!$B$15)</f>
        <v>MAA 14</v>
      </c>
      <c r="P1" s="584" t="str">
        <f>IF(ISBLANK('Syötä maat KIRJASTOLINKIT!'!$B$16),'Syötä maat KIRJASTOLINKIT!'!$A$16,'Syötä maat KIRJASTOLINKIT!'!$B$16)</f>
        <v>MAA 15</v>
      </c>
      <c r="Q1" s="584" t="str">
        <f>IF(ISBLANK('Syötä maat KIRJASTOLINKIT!'!$B$17),'Syötä maat KIRJASTOLINKIT!'!$A$17,'Syötä maat KIRJASTOLINKIT!'!$B$17)</f>
        <v>MAA 16</v>
      </c>
      <c r="R1" s="584" t="str">
        <f>IF(ISBLANK('Syötä maat KIRJASTOLINKIT!'!$B$18),'Syötä maat KIRJASTOLINKIT!'!$A$18,'Syötä maat KIRJASTOLINKIT!'!$B$18)</f>
        <v>MAA 17</v>
      </c>
      <c r="S1" s="584" t="str">
        <f>IF(ISBLANK('Syötä maat KIRJASTOLINKIT!'!$B$19),'Syötä maat KIRJASTOLINKIT!'!$A$19,'Syötä maat KIRJASTOLINKIT!'!$B$19)</f>
        <v>MAA 18</v>
      </c>
      <c r="T1" s="584" t="str">
        <f>IF(ISBLANK('Syötä maat KIRJASTOLINKIT!'!$B$20),'Syötä maat KIRJASTOLINKIT!'!$A$20,'Syötä maat KIRJASTOLINKIT!'!$B$20)</f>
        <v>MAA 19</v>
      </c>
      <c r="U1" s="584" t="str">
        <f>IF(ISBLANK('Syötä maat KIRJASTOLINKIT!'!$B$21),'Syötä maat KIRJASTOLINKIT!'!$A$21,'Syötä maat KIRJASTOLINKIT!'!$B$21)</f>
        <v>MAA 20</v>
      </c>
      <c r="V1" s="584" t="str">
        <f>IF(ISBLANK('Syötä maat KIRJASTOLINKIT!'!$B$22),'Syötä maat KIRJASTOLINKIT!'!$A$22,'Syötä maat KIRJASTOLINKIT!'!$B$22)</f>
        <v>MAA 21</v>
      </c>
      <c r="W1" s="584" t="str">
        <f>IF(ISBLANK('Syötä maat KIRJASTOLINKIT!'!$B$23),'Syötä maat KIRJASTOLINKIT!'!$A$23,'Syötä maat KIRJASTOLINKIT!'!$B$23)</f>
        <v>MAA 22</v>
      </c>
      <c r="X1" s="584" t="str">
        <f>IF(ISBLANK('Syötä maat KIRJASTOLINKIT!'!$B$24),'Syötä maat KIRJASTOLINKIT!'!$A$24,'Syötä maat KIRJASTOLINKIT!'!$B$24)</f>
        <v>MAA 23</v>
      </c>
      <c r="Y1" s="584" t="str">
        <f>IF(ISBLANK('Syötä maat KIRJASTOLINKIT!'!$B$25),'Syötä maat KIRJASTOLINKIT!'!$A$25,'Syötä maat KIRJASTOLINKIT!'!$B$25)</f>
        <v>MAA 24</v>
      </c>
      <c r="Z1" s="584" t="str">
        <f>IF(ISBLANK('Syötä maat KIRJASTOLINKIT!'!$B23),'Syötä maat KIRJASTOLINKIT!'!$A23,'Syötä maat KIRJASTOLINKIT!'!$B23)</f>
        <v>MAA 22</v>
      </c>
    </row>
    <row r="2" spans="1:26" x14ac:dyDescent="0.15">
      <c r="A2" s="2" t="s">
        <v>1056</v>
      </c>
      <c r="B2" s="586" t="str">
        <f>INDEX('Kirjasto (kaupungit)'!$D$4:$K$861,ROW('Kirjasto (kaupungit)'!$D4)-3,'Kirjasto (kaupungit)'!$B$4)</f>
        <v>I (Vantaa)</v>
      </c>
      <c r="C2" s="586" t="str">
        <f>INDEX('Kirjasto (kaupungit)'!$D$4:$K$861,ROW('Kirjasto (kaupungit)'!$D8)-3,'Kirjasto (kaupungit)'!$B$4)</f>
        <v>SWE - Stockholm</v>
      </c>
      <c r="D2" s="586" t="str">
        <f>INDEX('Kirjasto (kaupungit)'!$D$4:$K$861,ROW('Kirjasto (kaupungit)'!$D9)-3,'Kirjasto (kaupungit)'!$B$4)</f>
        <v>SWE - Gothenburg</v>
      </c>
      <c r="E2" s="586" t="str">
        <f>INDEX('Kirjasto (kaupungit)'!$D$4:$K$861,ROW('Kirjasto (kaupungit)'!$D10)-3,'Kirjasto (kaupungit)'!$B$4)</f>
        <v>EST - Tallinn</v>
      </c>
      <c r="F2" s="586" t="str">
        <f>INDEX('Kirjasto (kaupungit)'!$D$4:$K$861,ROW('Kirjasto (kaupungit)'!$D11)-3,'Kirjasto (kaupungit)'!$B$4)</f>
        <v>LAT - Riga</v>
      </c>
      <c r="G2" s="586" t="str">
        <f>INDEX('Kirjasto (kaupungit)'!$D$4:$K$861,ROW('Kirjasto (kaupungit)'!$D12)-3,'Kirjasto (kaupungit)'!$B$4)</f>
        <v>LTU - Vilnius</v>
      </c>
      <c r="H2" s="586" t="str">
        <f>INDEX('Kirjasto (kaupungit)'!$D$4:$K$861,ROW('Kirjasto (kaupungit)'!$D13)-3,'Kirjasto (kaupungit)'!$B$4)</f>
        <v>POL - Warsaw</v>
      </c>
      <c r="I2" s="586" t="s">
        <v>1381</v>
      </c>
      <c r="J2" s="586"/>
      <c r="K2" s="586"/>
      <c r="L2" s="586"/>
      <c r="M2" s="586"/>
      <c r="N2" s="586"/>
      <c r="O2" s="586"/>
      <c r="P2" s="586"/>
      <c r="Q2" s="586"/>
      <c r="R2" s="586"/>
      <c r="S2" s="586"/>
      <c r="T2" s="586"/>
      <c r="U2" s="586"/>
      <c r="V2" s="586"/>
      <c r="W2" s="586"/>
      <c r="X2" s="586"/>
      <c r="Y2" s="586"/>
      <c r="Z2" s="586"/>
    </row>
    <row r="3" spans="1:26" x14ac:dyDescent="0.15">
      <c r="A3" s="2" t="s">
        <v>1057</v>
      </c>
      <c r="B3" s="586" t="str">
        <f>INDEX('Kirjasto (kaupungit)'!$D$4:$K$861,ROW('Kirjasto (kaupungit)'!$D5)-3,'Kirjasto (kaupungit)'!$B$4)</f>
        <v>II (Jokioinen)</v>
      </c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</row>
    <row r="4" spans="1:26" x14ac:dyDescent="0.15">
      <c r="A4" s="2" t="s">
        <v>1058</v>
      </c>
      <c r="B4" s="586" t="str">
        <f>INDEX('Kirjasto (kaupungit)'!$D$4:$K$861,ROW('Kirjasto (kaupungit)'!$D6)-3,'Kirjasto (kaupungit)'!$B$4)</f>
        <v>III (Jyväskylä)</v>
      </c>
      <c r="C4" s="586"/>
      <c r="D4" s="586"/>
      <c r="E4" s="586"/>
      <c r="F4" s="586"/>
      <c r="G4" s="586"/>
      <c r="H4" s="586"/>
      <c r="I4" s="586"/>
      <c r="J4" s="586"/>
      <c r="K4" s="586"/>
      <c r="L4" s="586"/>
      <c r="M4" s="586"/>
      <c r="N4" s="586"/>
      <c r="O4" s="586"/>
      <c r="P4" s="586"/>
      <c r="Q4" s="586"/>
      <c r="R4" s="586"/>
      <c r="S4" s="586"/>
      <c r="T4" s="586"/>
      <c r="U4" s="586"/>
      <c r="V4" s="586"/>
      <c r="W4" s="586"/>
      <c r="X4" s="586"/>
      <c r="Y4" s="586"/>
      <c r="Z4" s="586"/>
    </row>
    <row r="5" spans="1:26" x14ac:dyDescent="0.15">
      <c r="A5" s="2" t="s">
        <v>1059</v>
      </c>
      <c r="B5" s="586" t="str">
        <f>INDEX('Kirjasto (kaupungit)'!$D$4:$K$861,ROW('Kirjasto (kaupungit)'!$D7)-3,'Kirjasto (kaupungit)'!$B$4)</f>
        <v>IV (Sodankylä)</v>
      </c>
      <c r="C5" s="586"/>
      <c r="D5" s="586"/>
      <c r="E5" s="586"/>
      <c r="F5" s="586"/>
      <c r="G5" s="586"/>
      <c r="H5" s="586"/>
      <c r="I5" s="586"/>
      <c r="J5" s="586"/>
      <c r="K5" s="586"/>
      <c r="L5" s="586"/>
      <c r="M5" s="586"/>
      <c r="N5" s="586"/>
      <c r="O5" s="586"/>
      <c r="P5" s="586"/>
      <c r="Q5" s="586"/>
      <c r="R5" s="586"/>
      <c r="S5" s="586"/>
      <c r="T5" s="586"/>
      <c r="U5" s="586"/>
      <c r="V5" s="586"/>
      <c r="W5" s="586"/>
      <c r="X5" s="586"/>
      <c r="Y5" s="586"/>
      <c r="Z5" s="586"/>
    </row>
    <row r="6" spans="1:26" x14ac:dyDescent="0.15">
      <c r="A6" s="2" t="s">
        <v>1060</v>
      </c>
      <c r="B6" s="586"/>
      <c r="C6" s="586"/>
      <c r="D6" s="586"/>
      <c r="E6" s="586"/>
      <c r="F6" s="586"/>
      <c r="G6" s="586"/>
      <c r="H6" s="586"/>
      <c r="I6" s="586"/>
      <c r="J6" s="586"/>
      <c r="K6" s="586"/>
      <c r="L6" s="586"/>
      <c r="M6" s="586"/>
      <c r="N6" s="586"/>
      <c r="O6" s="586"/>
      <c r="P6" s="586"/>
      <c r="Q6" s="586"/>
      <c r="R6" s="586"/>
      <c r="S6" s="586"/>
      <c r="T6" s="586"/>
      <c r="U6" s="586"/>
      <c r="V6" s="586"/>
      <c r="W6" s="586"/>
      <c r="X6" s="586"/>
      <c r="Y6" s="586"/>
      <c r="Z6" s="586"/>
    </row>
    <row r="7" spans="1:26" x14ac:dyDescent="0.15">
      <c r="A7" s="2" t="s">
        <v>1061</v>
      </c>
      <c r="B7" s="586"/>
      <c r="C7" s="586"/>
      <c r="D7" s="586"/>
      <c r="E7" s="586"/>
      <c r="F7" s="586"/>
      <c r="G7" s="586"/>
      <c r="H7" s="586"/>
      <c r="I7" s="586"/>
      <c r="J7" s="586"/>
      <c r="K7" s="586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</row>
    <row r="8" spans="1:26" x14ac:dyDescent="0.15">
      <c r="A8" s="2" t="s">
        <v>1062</v>
      </c>
      <c r="B8" s="586"/>
      <c r="C8" s="586"/>
      <c r="D8" s="586"/>
      <c r="E8" s="586"/>
      <c r="F8" s="586"/>
      <c r="G8" s="586"/>
      <c r="H8" s="586"/>
      <c r="I8" s="586"/>
      <c r="J8" s="586"/>
      <c r="K8" s="586"/>
      <c r="L8" s="586"/>
      <c r="M8" s="586"/>
      <c r="N8" s="586"/>
      <c r="O8" s="586"/>
      <c r="P8" s="586"/>
      <c r="Q8" s="586"/>
      <c r="R8" s="586"/>
      <c r="S8" s="586"/>
      <c r="T8" s="586"/>
      <c r="U8" s="586"/>
      <c r="V8" s="586"/>
      <c r="W8" s="586"/>
      <c r="X8" s="586"/>
      <c r="Y8" s="586"/>
      <c r="Z8" s="586"/>
    </row>
    <row r="9" spans="1:26" x14ac:dyDescent="0.15">
      <c r="A9" s="2" t="s">
        <v>1063</v>
      </c>
      <c r="B9" s="586"/>
      <c r="C9" s="586"/>
      <c r="D9" s="586"/>
      <c r="E9" s="586"/>
      <c r="F9" s="586"/>
      <c r="G9" s="586"/>
      <c r="H9" s="586"/>
      <c r="I9" s="586"/>
      <c r="J9" s="586"/>
      <c r="K9" s="586"/>
      <c r="L9" s="586"/>
      <c r="M9" s="586"/>
      <c r="N9" s="586"/>
      <c r="O9" s="586"/>
      <c r="P9" s="586"/>
      <c r="Q9" s="586"/>
      <c r="R9" s="586"/>
      <c r="S9" s="586"/>
      <c r="T9" s="586"/>
      <c r="U9" s="586"/>
      <c r="V9" s="586"/>
      <c r="W9" s="586"/>
      <c r="X9" s="586"/>
      <c r="Y9" s="586"/>
      <c r="Z9" s="586"/>
    </row>
    <row r="10" spans="1:26" x14ac:dyDescent="0.15">
      <c r="A10" s="2" t="s">
        <v>1064</v>
      </c>
      <c r="B10" s="586"/>
      <c r="C10" s="586"/>
      <c r="D10" s="586"/>
      <c r="E10" s="586"/>
      <c r="F10" s="586"/>
      <c r="G10" s="586"/>
      <c r="H10" s="586"/>
      <c r="I10" s="586"/>
      <c r="J10" s="586"/>
      <c r="K10" s="586"/>
      <c r="L10" s="586"/>
      <c r="M10" s="586"/>
      <c r="N10" s="586"/>
      <c r="O10" s="586"/>
      <c r="P10" s="586"/>
      <c r="Q10" s="586"/>
      <c r="R10" s="586"/>
      <c r="S10" s="586"/>
      <c r="T10" s="586"/>
      <c r="U10" s="586"/>
      <c r="V10" s="586"/>
      <c r="W10" s="586"/>
      <c r="X10" s="586"/>
      <c r="Y10" s="586"/>
      <c r="Z10" s="586"/>
    </row>
    <row r="11" spans="1:26" x14ac:dyDescent="0.15">
      <c r="A11" s="2" t="s">
        <v>1065</v>
      </c>
      <c r="B11" s="586"/>
      <c r="C11" s="586"/>
      <c r="D11" s="586"/>
      <c r="E11" s="586"/>
      <c r="F11" s="586"/>
      <c r="G11" s="586"/>
      <c r="H11" s="586"/>
      <c r="I11" s="586"/>
      <c r="J11" s="586"/>
      <c r="K11" s="586"/>
      <c r="L11" s="586"/>
      <c r="M11" s="586"/>
      <c r="N11" s="586"/>
      <c r="O11" s="586"/>
      <c r="P11" s="586"/>
      <c r="Q11" s="586"/>
      <c r="R11" s="586"/>
      <c r="S11" s="586"/>
      <c r="T11" s="586"/>
      <c r="U11" s="586"/>
      <c r="V11" s="586"/>
      <c r="W11" s="586"/>
      <c r="X11" s="586"/>
      <c r="Y11" s="586"/>
      <c r="Z11" s="586"/>
    </row>
    <row r="12" spans="1:26" x14ac:dyDescent="0.15">
      <c r="A12" s="2" t="s">
        <v>1066</v>
      </c>
      <c r="B12" s="586"/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M12" s="586"/>
      <c r="N12" s="586"/>
      <c r="O12" s="586"/>
      <c r="P12" s="586"/>
      <c r="Q12" s="586"/>
      <c r="R12" s="586"/>
      <c r="S12" s="586"/>
      <c r="T12" s="586"/>
      <c r="U12" s="586"/>
      <c r="V12" s="586"/>
      <c r="W12" s="586"/>
      <c r="X12" s="586"/>
      <c r="Y12" s="586"/>
      <c r="Z12" s="586"/>
    </row>
    <row r="13" spans="1:26" x14ac:dyDescent="0.15">
      <c r="A13" s="2" t="s">
        <v>1067</v>
      </c>
      <c r="B13" s="586"/>
      <c r="C13" s="586"/>
      <c r="D13" s="586"/>
      <c r="E13" s="586"/>
      <c r="F13" s="586"/>
      <c r="G13" s="586"/>
      <c r="H13" s="586"/>
      <c r="I13" s="586"/>
      <c r="J13" s="586"/>
      <c r="K13" s="586"/>
      <c r="L13" s="586"/>
      <c r="M13" s="586"/>
      <c r="N13" s="586"/>
      <c r="O13" s="586"/>
      <c r="P13" s="586"/>
      <c r="Q13" s="586"/>
      <c r="R13" s="586"/>
      <c r="S13" s="586"/>
      <c r="T13" s="586"/>
      <c r="U13" s="586"/>
      <c r="V13" s="586"/>
      <c r="W13" s="586"/>
      <c r="X13" s="586"/>
      <c r="Y13" s="586"/>
      <c r="Z13" s="586"/>
    </row>
    <row r="14" spans="1:26" x14ac:dyDescent="0.15">
      <c r="A14" s="2" t="s">
        <v>1068</v>
      </c>
      <c r="B14" s="586"/>
      <c r="C14" s="586"/>
      <c r="D14" s="586"/>
      <c r="E14" s="586"/>
      <c r="F14" s="586"/>
      <c r="G14" s="586"/>
      <c r="H14" s="586"/>
      <c r="I14" s="586"/>
      <c r="J14" s="586"/>
      <c r="K14" s="586"/>
      <c r="L14" s="586"/>
      <c r="M14" s="586"/>
      <c r="N14" s="586"/>
      <c r="O14" s="586"/>
      <c r="P14" s="586"/>
      <c r="Q14" s="586"/>
      <c r="R14" s="586"/>
      <c r="S14" s="586"/>
      <c r="T14" s="586"/>
      <c r="U14" s="586"/>
      <c r="V14" s="586"/>
      <c r="W14" s="586"/>
      <c r="X14" s="586"/>
      <c r="Y14" s="586"/>
      <c r="Z14" s="586"/>
    </row>
    <row r="15" spans="1:26" x14ac:dyDescent="0.15">
      <c r="A15" s="2" t="s">
        <v>1069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</row>
    <row r="16" spans="1:26" x14ac:dyDescent="0.15">
      <c r="A16" s="2" t="s">
        <v>1070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</row>
    <row r="17" spans="1:26" x14ac:dyDescent="0.15">
      <c r="A17" s="2" t="s">
        <v>1071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</row>
    <row r="18" spans="1:26" x14ac:dyDescent="0.15">
      <c r="A18" s="2" t="s">
        <v>1072</v>
      </c>
      <c r="B18" s="586"/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</row>
    <row r="19" spans="1:26" x14ac:dyDescent="0.15">
      <c r="A19" s="2" t="s">
        <v>1073</v>
      </c>
      <c r="B19" s="586"/>
      <c r="C19" s="586"/>
      <c r="D19" s="586"/>
      <c r="E19" s="586"/>
      <c r="F19" s="586"/>
      <c r="G19" s="586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586"/>
      <c r="T19" s="586"/>
      <c r="U19" s="586"/>
      <c r="V19" s="586"/>
      <c r="W19" s="586"/>
      <c r="X19" s="586"/>
      <c r="Y19" s="586"/>
      <c r="Z19" s="586"/>
    </row>
    <row r="20" spans="1:26" x14ac:dyDescent="0.15">
      <c r="A20" s="2" t="s">
        <v>1074</v>
      </c>
      <c r="B20" s="586"/>
      <c r="C20" s="586"/>
      <c r="D20" s="586"/>
      <c r="E20" s="586"/>
      <c r="F20" s="586"/>
      <c r="G20" s="586"/>
      <c r="H20" s="586"/>
      <c r="I20" s="586"/>
      <c r="J20" s="586"/>
      <c r="K20" s="586"/>
      <c r="L20" s="586"/>
      <c r="M20" s="586"/>
      <c r="N20" s="586"/>
      <c r="O20" s="586"/>
      <c r="P20" s="586"/>
      <c r="Q20" s="586"/>
      <c r="R20" s="586"/>
      <c r="S20" s="586"/>
      <c r="T20" s="586"/>
      <c r="U20" s="586"/>
      <c r="V20" s="586"/>
      <c r="W20" s="586"/>
      <c r="X20" s="586"/>
      <c r="Y20" s="586"/>
      <c r="Z20" s="586"/>
    </row>
    <row r="21" spans="1:26" x14ac:dyDescent="0.15">
      <c r="A21" s="2" t="s">
        <v>1075</v>
      </c>
      <c r="B21" s="586"/>
      <c r="C21" s="586"/>
      <c r="D21" s="586"/>
      <c r="E21" s="586"/>
      <c r="F21" s="586"/>
      <c r="G21" s="586"/>
      <c r="H21" s="586"/>
      <c r="I21" s="586"/>
      <c r="J21" s="586"/>
      <c r="K21" s="586"/>
      <c r="L21" s="586"/>
      <c r="M21" s="586"/>
      <c r="N21" s="586"/>
      <c r="O21" s="586"/>
      <c r="P21" s="586"/>
      <c r="Q21" s="586"/>
      <c r="R21" s="586"/>
      <c r="S21" s="586"/>
      <c r="T21" s="586"/>
      <c r="U21" s="586"/>
      <c r="V21" s="586"/>
      <c r="W21" s="586"/>
      <c r="X21" s="586"/>
      <c r="Y21" s="586"/>
      <c r="Z21" s="586"/>
    </row>
    <row r="22" spans="1:26" x14ac:dyDescent="0.15">
      <c r="A22" s="2" t="s">
        <v>1076</v>
      </c>
      <c r="B22" s="586"/>
      <c r="C22" s="586"/>
      <c r="D22" s="586"/>
      <c r="E22" s="586"/>
      <c r="F22" s="586"/>
      <c r="G22" s="586"/>
      <c r="H22" s="586"/>
      <c r="I22" s="586"/>
      <c r="J22" s="586"/>
      <c r="K22" s="586"/>
      <c r="L22" s="586"/>
      <c r="M22" s="586"/>
      <c r="N22" s="586"/>
      <c r="O22" s="586"/>
      <c r="P22" s="586"/>
      <c r="Q22" s="586"/>
      <c r="R22" s="586"/>
      <c r="S22" s="586"/>
      <c r="T22" s="586"/>
      <c r="U22" s="586"/>
      <c r="V22" s="586"/>
      <c r="W22" s="586"/>
      <c r="X22" s="586"/>
      <c r="Y22" s="586"/>
      <c r="Z22" s="586"/>
    </row>
    <row r="23" spans="1:26" x14ac:dyDescent="0.15">
      <c r="A23" s="2" t="s">
        <v>1077</v>
      </c>
      <c r="B23" s="586"/>
      <c r="C23" s="586"/>
      <c r="D23" s="586"/>
      <c r="E23" s="586"/>
      <c r="F23" s="586"/>
      <c r="G23" s="586"/>
      <c r="H23" s="586"/>
      <c r="I23" s="586"/>
      <c r="J23" s="586"/>
      <c r="K23" s="586"/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6"/>
      <c r="Y23" s="586"/>
      <c r="Z23" s="586"/>
    </row>
    <row r="24" spans="1:26" x14ac:dyDescent="0.15">
      <c r="A24" s="2" t="s">
        <v>1078</v>
      </c>
      <c r="B24" s="586"/>
      <c r="C24" s="586"/>
      <c r="D24" s="586"/>
      <c r="E24" s="586"/>
      <c r="F24" s="586"/>
      <c r="G24" s="586"/>
      <c r="H24" s="586"/>
      <c r="I24" s="586"/>
      <c r="J24" s="586"/>
      <c r="K24" s="586"/>
      <c r="L24" s="586"/>
      <c r="M24" s="586"/>
      <c r="N24" s="586"/>
      <c r="O24" s="586"/>
      <c r="P24" s="586"/>
      <c r="Q24" s="586"/>
      <c r="R24" s="586"/>
      <c r="S24" s="586"/>
      <c r="T24" s="586"/>
      <c r="U24" s="586"/>
      <c r="V24" s="586"/>
      <c r="W24" s="586"/>
      <c r="X24" s="586"/>
      <c r="Y24" s="586"/>
      <c r="Z24" s="586"/>
    </row>
    <row r="25" spans="1:26" x14ac:dyDescent="0.15">
      <c r="A25" s="2" t="s">
        <v>1079</v>
      </c>
      <c r="B25" s="586"/>
      <c r="C25" s="586"/>
      <c r="D25" s="586"/>
      <c r="E25" s="586"/>
      <c r="F25" s="586"/>
      <c r="G25" s="586"/>
      <c r="H25" s="586"/>
      <c r="I25" s="586"/>
      <c r="J25" s="586"/>
      <c r="K25" s="586"/>
      <c r="L25" s="586"/>
      <c r="M25" s="586"/>
      <c r="N25" s="586"/>
      <c r="O25" s="586"/>
      <c r="P25" s="586"/>
      <c r="Q25" s="586"/>
      <c r="R25" s="586"/>
      <c r="S25" s="586"/>
      <c r="T25" s="586"/>
      <c r="U25" s="586"/>
      <c r="V25" s="586"/>
      <c r="W25" s="586"/>
      <c r="X25" s="586"/>
      <c r="Y25" s="586"/>
      <c r="Z25" s="586"/>
    </row>
    <row r="26" spans="1:26" x14ac:dyDescent="0.15">
      <c r="A26" s="2" t="s">
        <v>1080</v>
      </c>
      <c r="B26" s="586"/>
      <c r="C26" s="586"/>
      <c r="D26" s="586"/>
      <c r="E26" s="586"/>
      <c r="F26" s="586"/>
      <c r="G26" s="586"/>
      <c r="H26" s="586"/>
      <c r="I26" s="586"/>
      <c r="J26" s="586"/>
      <c r="K26" s="586"/>
      <c r="L26" s="586"/>
      <c r="M26" s="586"/>
      <c r="N26" s="586"/>
      <c r="O26" s="586"/>
      <c r="P26" s="586"/>
      <c r="Q26" s="586"/>
      <c r="R26" s="586"/>
      <c r="S26" s="586"/>
      <c r="T26" s="586"/>
      <c r="U26" s="586"/>
      <c r="V26" s="586"/>
      <c r="W26" s="586"/>
      <c r="X26" s="586"/>
      <c r="Y26" s="586"/>
      <c r="Z26" s="586"/>
    </row>
    <row r="27" spans="1:26" x14ac:dyDescent="0.15">
      <c r="A27" s="2" t="s">
        <v>1081</v>
      </c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586"/>
      <c r="T27" s="586"/>
      <c r="U27" s="586"/>
      <c r="V27" s="586"/>
      <c r="W27" s="586"/>
      <c r="X27" s="586"/>
      <c r="Y27" s="586"/>
      <c r="Z27" s="586"/>
    </row>
    <row r="28" spans="1:26" x14ac:dyDescent="0.15">
      <c r="A28" s="2" t="s">
        <v>1082</v>
      </c>
      <c r="B28" s="586"/>
      <c r="C28" s="586"/>
      <c r="D28" s="586"/>
      <c r="E28" s="586"/>
      <c r="F28" s="586"/>
      <c r="G28" s="586"/>
      <c r="H28" s="586"/>
      <c r="I28" s="586"/>
      <c r="J28" s="586"/>
      <c r="K28" s="586"/>
      <c r="L28" s="586"/>
      <c r="M28" s="586"/>
      <c r="N28" s="586"/>
      <c r="O28" s="586"/>
      <c r="P28" s="586"/>
      <c r="Q28" s="586"/>
      <c r="R28" s="586"/>
      <c r="S28" s="586"/>
      <c r="T28" s="586"/>
      <c r="U28" s="586"/>
      <c r="V28" s="586"/>
      <c r="W28" s="586"/>
      <c r="X28" s="586"/>
      <c r="Y28" s="586"/>
      <c r="Z28" s="586"/>
    </row>
    <row r="29" spans="1:26" x14ac:dyDescent="0.15">
      <c r="A29" s="2" t="s">
        <v>1083</v>
      </c>
      <c r="B29" s="586"/>
      <c r="C29" s="586"/>
      <c r="D29" s="586"/>
      <c r="E29" s="586"/>
      <c r="F29" s="586"/>
      <c r="G29" s="586"/>
      <c r="H29" s="586"/>
      <c r="I29" s="586"/>
      <c r="J29" s="586"/>
      <c r="K29" s="586"/>
      <c r="L29" s="586"/>
      <c r="M29" s="586"/>
      <c r="N29" s="586"/>
      <c r="O29" s="586"/>
      <c r="P29" s="586"/>
      <c r="Q29" s="586"/>
      <c r="R29" s="586"/>
      <c r="S29" s="586"/>
      <c r="T29" s="586"/>
      <c r="U29" s="586"/>
      <c r="V29" s="586"/>
      <c r="W29" s="586"/>
      <c r="X29" s="586"/>
      <c r="Y29" s="586"/>
      <c r="Z29" s="586"/>
    </row>
    <row r="30" spans="1:26" x14ac:dyDescent="0.15">
      <c r="A30" s="2" t="s">
        <v>1084</v>
      </c>
      <c r="B30" s="586"/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  <c r="S30" s="586"/>
      <c r="T30" s="586"/>
      <c r="U30" s="586"/>
      <c r="V30" s="586"/>
      <c r="W30" s="586"/>
      <c r="X30" s="586"/>
      <c r="Y30" s="586"/>
      <c r="Z30" s="586"/>
    </row>
    <row r="31" spans="1:26" x14ac:dyDescent="0.15">
      <c r="A31" s="2" t="s">
        <v>1085</v>
      </c>
      <c r="B31" s="586"/>
      <c r="C31" s="586"/>
      <c r="D31" s="586"/>
      <c r="E31" s="586"/>
      <c r="F31" s="586"/>
      <c r="G31" s="586"/>
      <c r="H31" s="586"/>
      <c r="I31" s="586"/>
      <c r="J31" s="586"/>
      <c r="K31" s="586"/>
      <c r="L31" s="586"/>
      <c r="M31" s="586"/>
      <c r="N31" s="586"/>
      <c r="O31" s="586"/>
      <c r="P31" s="586"/>
      <c r="Q31" s="586"/>
      <c r="R31" s="586"/>
      <c r="S31" s="586"/>
      <c r="T31" s="586"/>
      <c r="U31" s="586"/>
      <c r="V31" s="586"/>
      <c r="W31" s="586"/>
      <c r="X31" s="586"/>
      <c r="Y31" s="586"/>
      <c r="Z31" s="586"/>
    </row>
    <row r="32" spans="1:26" x14ac:dyDescent="0.15">
      <c r="A32" s="2" t="s">
        <v>1086</v>
      </c>
      <c r="B32" s="586"/>
      <c r="C32" s="586"/>
      <c r="D32" s="586"/>
      <c r="E32" s="586"/>
      <c r="F32" s="586"/>
      <c r="G32" s="586"/>
      <c r="H32" s="586"/>
      <c r="I32" s="586"/>
      <c r="J32" s="586"/>
      <c r="K32" s="586"/>
      <c r="L32" s="586"/>
      <c r="M32" s="586"/>
      <c r="N32" s="586"/>
      <c r="O32" s="586"/>
      <c r="P32" s="586"/>
      <c r="Q32" s="586"/>
      <c r="R32" s="586"/>
      <c r="S32" s="586"/>
      <c r="T32" s="586"/>
      <c r="U32" s="586"/>
      <c r="V32" s="586"/>
      <c r="W32" s="586"/>
      <c r="X32" s="586"/>
      <c r="Y32" s="586"/>
      <c r="Z32" s="586"/>
    </row>
    <row r="33" spans="1:26" x14ac:dyDescent="0.15">
      <c r="A33" s="2" t="s">
        <v>1087</v>
      </c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6"/>
      <c r="R33" s="586"/>
      <c r="S33" s="586"/>
      <c r="T33" s="586"/>
      <c r="U33" s="586"/>
      <c r="V33" s="586"/>
      <c r="W33" s="586"/>
      <c r="X33" s="586"/>
      <c r="Y33" s="586"/>
      <c r="Z33" s="586"/>
    </row>
    <row r="34" spans="1:26" x14ac:dyDescent="0.15">
      <c r="A34" s="2" t="s">
        <v>1088</v>
      </c>
      <c r="B34" s="586"/>
      <c r="C34" s="586"/>
      <c r="D34" s="586"/>
      <c r="E34" s="586"/>
      <c r="F34" s="586"/>
      <c r="G34" s="586"/>
      <c r="H34" s="586"/>
      <c r="I34" s="586"/>
      <c r="J34" s="586"/>
      <c r="K34" s="586"/>
      <c r="L34" s="586"/>
      <c r="M34" s="586"/>
      <c r="N34" s="586"/>
      <c r="O34" s="586"/>
      <c r="P34" s="586"/>
      <c r="Q34" s="586"/>
      <c r="R34" s="586"/>
      <c r="S34" s="586"/>
      <c r="T34" s="586"/>
      <c r="U34" s="586"/>
      <c r="V34" s="586"/>
      <c r="W34" s="586"/>
      <c r="X34" s="586"/>
      <c r="Y34" s="586"/>
      <c r="Z34" s="586"/>
    </row>
    <row r="35" spans="1:26" x14ac:dyDescent="0.15">
      <c r="A35" s="2" t="s">
        <v>1089</v>
      </c>
      <c r="B35" s="586"/>
      <c r="C35" s="586"/>
      <c r="D35" s="586"/>
      <c r="E35" s="586"/>
      <c r="F35" s="586"/>
      <c r="G35" s="586"/>
      <c r="H35" s="586"/>
      <c r="I35" s="586"/>
      <c r="J35" s="586"/>
      <c r="K35" s="586"/>
      <c r="L35" s="586"/>
      <c r="M35" s="586"/>
      <c r="N35" s="586"/>
      <c r="O35" s="586"/>
      <c r="P35" s="586"/>
      <c r="Q35" s="586"/>
      <c r="R35" s="586"/>
      <c r="S35" s="586"/>
      <c r="T35" s="586"/>
      <c r="U35" s="586"/>
      <c r="V35" s="586"/>
      <c r="W35" s="586"/>
      <c r="X35" s="586"/>
      <c r="Y35" s="586"/>
      <c r="Z35" s="586"/>
    </row>
    <row r="36" spans="1:26" x14ac:dyDescent="0.15">
      <c r="A36" s="2" t="s">
        <v>1090</v>
      </c>
      <c r="B36" s="586"/>
      <c r="C36" s="586"/>
      <c r="D36" s="586"/>
      <c r="E36" s="586"/>
      <c r="F36" s="586"/>
      <c r="G36" s="586"/>
      <c r="H36" s="586"/>
      <c r="I36" s="586"/>
      <c r="J36" s="586"/>
      <c r="K36" s="586"/>
      <c r="L36" s="586"/>
      <c r="M36" s="586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  <c r="Z36" s="586"/>
    </row>
    <row r="37" spans="1:26" x14ac:dyDescent="0.15">
      <c r="A37" s="2" t="s">
        <v>1091</v>
      </c>
      <c r="B37" s="586"/>
      <c r="C37" s="586"/>
      <c r="D37" s="586"/>
      <c r="E37" s="586"/>
      <c r="F37" s="586"/>
      <c r="G37" s="586"/>
      <c r="H37" s="586"/>
      <c r="I37" s="586"/>
      <c r="J37" s="586"/>
      <c r="K37" s="586"/>
      <c r="L37" s="586"/>
      <c r="M37" s="586"/>
      <c r="N37" s="586"/>
      <c r="O37" s="586"/>
      <c r="P37" s="586"/>
      <c r="Q37" s="586"/>
      <c r="R37" s="586"/>
      <c r="S37" s="586"/>
      <c r="T37" s="586"/>
      <c r="U37" s="586"/>
      <c r="V37" s="586"/>
      <c r="W37" s="586"/>
      <c r="X37" s="586"/>
      <c r="Y37" s="586"/>
      <c r="Z37" s="586"/>
    </row>
    <row r="38" spans="1:26" x14ac:dyDescent="0.15">
      <c r="A38" s="2" t="s">
        <v>1092</v>
      </c>
      <c r="B38" s="586"/>
      <c r="C38" s="586"/>
      <c r="D38" s="586"/>
      <c r="E38" s="586"/>
      <c r="F38" s="586"/>
      <c r="G38" s="586"/>
      <c r="H38" s="586"/>
      <c r="I38" s="586"/>
      <c r="J38" s="586"/>
      <c r="K38" s="586"/>
      <c r="L38" s="586"/>
      <c r="M38" s="586"/>
      <c r="N38" s="586"/>
      <c r="O38" s="586"/>
      <c r="P38" s="586"/>
      <c r="Q38" s="586"/>
      <c r="R38" s="586"/>
      <c r="S38" s="586"/>
      <c r="T38" s="586"/>
      <c r="U38" s="586"/>
      <c r="V38" s="586"/>
      <c r="W38" s="586"/>
      <c r="X38" s="586"/>
      <c r="Y38" s="586"/>
      <c r="Z38" s="586"/>
    </row>
    <row r="39" spans="1:26" x14ac:dyDescent="0.15">
      <c r="A39" s="2" t="s">
        <v>1093</v>
      </c>
      <c r="B39" s="586"/>
      <c r="C39" s="586"/>
      <c r="D39" s="586"/>
      <c r="E39" s="586"/>
      <c r="F39" s="586"/>
      <c r="G39" s="586"/>
      <c r="H39" s="586"/>
      <c r="I39" s="586"/>
      <c r="J39" s="586"/>
      <c r="K39" s="586"/>
      <c r="L39" s="586"/>
      <c r="M39" s="586"/>
      <c r="N39" s="586"/>
      <c r="O39" s="586"/>
      <c r="P39" s="586"/>
      <c r="Q39" s="586"/>
      <c r="R39" s="586"/>
      <c r="S39" s="586"/>
      <c r="T39" s="586"/>
      <c r="U39" s="586"/>
      <c r="V39" s="586"/>
      <c r="W39" s="586"/>
      <c r="X39" s="586"/>
      <c r="Y39" s="586"/>
      <c r="Z39" s="586"/>
    </row>
    <row r="40" spans="1:26" x14ac:dyDescent="0.15">
      <c r="A40" s="2" t="s">
        <v>1094</v>
      </c>
      <c r="B40" s="586"/>
      <c r="C40" s="586"/>
      <c r="D40" s="586"/>
      <c r="E40" s="586"/>
      <c r="F40" s="586"/>
      <c r="G40" s="586"/>
      <c r="H40" s="586"/>
      <c r="I40" s="586"/>
      <c r="J40" s="586"/>
      <c r="K40" s="586"/>
      <c r="L40" s="586"/>
      <c r="M40" s="586"/>
      <c r="N40" s="586"/>
      <c r="O40" s="586"/>
      <c r="P40" s="586"/>
      <c r="Q40" s="586"/>
      <c r="R40" s="586"/>
      <c r="S40" s="586"/>
      <c r="T40" s="586"/>
      <c r="U40" s="586"/>
      <c r="V40" s="586"/>
      <c r="W40" s="586"/>
      <c r="X40" s="586"/>
      <c r="Y40" s="586"/>
      <c r="Z40" s="586"/>
    </row>
    <row r="42" spans="1:26" x14ac:dyDescent="0.15">
      <c r="A42" s="2" t="s">
        <v>1095</v>
      </c>
    </row>
    <row r="43" spans="1:26" x14ac:dyDescent="0.15">
      <c r="A43"/>
    </row>
    <row r="44" spans="1:26" ht="18" x14ac:dyDescent="0.2">
      <c r="A44" s="587" t="str">
        <f ca="1">_xlfn.CONCAT("Käytettävä kaavaa, joka hakee arvot taulukosta: ",'Kirjasto (kaupungit)'!B1)</f>
        <v>Käytettävä kaavaa, joka hakee arvot taulukosta: Kirjasto (kaupungit)</v>
      </c>
    </row>
  </sheetData>
  <sheetProtection algorithmName="SHA-512" hashValue="B1fOQHP2Y+fknw4R2t3q/fSv1SInHpR58p861CJcqtTj71hNhmaEpVkqMxb3CQKe7aLpFrrcImGafuq8zvc8EA==" saltValue="61dckCyYjXfBuHcHQc06xQ==" spinCount="100000" sheet="1" objects="1" scenarios="1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C3D2-8DC7-4AFF-8DE3-FEAD72CE6B18}">
  <dimension ref="A1:AO984"/>
  <sheetViews>
    <sheetView workbookViewId="0">
      <selection activeCell="K13" sqref="K13"/>
    </sheetView>
  </sheetViews>
  <sheetFormatPr baseColWidth="10" defaultColWidth="8.83203125" defaultRowHeight="13" x14ac:dyDescent="0.15"/>
  <cols>
    <col min="2" max="2" width="15.33203125" bestFit="1" customWidth="1"/>
    <col min="3" max="41" width="12" customWidth="1"/>
  </cols>
  <sheetData>
    <row r="1" spans="1:41" x14ac:dyDescent="0.15">
      <c r="A1" s="2" t="str" cm="1">
        <f t="array" aca="1" ref="A1" ca="1">MID(CELL("filename",$A$1),FIND("]",CELL("filename",$A$1))+1,255)</f>
        <v>Syötä pysyvyyskäyrät</v>
      </c>
    </row>
    <row r="3" spans="1:41" s="563" customFormat="1" ht="28" x14ac:dyDescent="0.15">
      <c r="B3" s="560" t="str" cm="1">
        <f t="array" ref="B3:AO3">TRANSPOSE('Syötä kaupungit KIRJASTOLINKIT!'!$B$1:$B$40)</f>
        <v>Finland</v>
      </c>
      <c r="C3" s="564" t="str">
        <v>I (Vantaa)</v>
      </c>
      <c r="D3" s="564" t="str">
        <v>II (Jokioinen)</v>
      </c>
      <c r="E3" s="564" t="str">
        <v>III (Jyväskylä)</v>
      </c>
      <c r="F3" s="564" t="str">
        <v>IV (Sodankylä)</v>
      </c>
      <c r="G3" s="564">
        <v>0</v>
      </c>
      <c r="H3" s="564">
        <v>0</v>
      </c>
      <c r="I3" s="564">
        <v>0</v>
      </c>
      <c r="J3" s="564">
        <v>0</v>
      </c>
      <c r="K3" s="564">
        <v>0</v>
      </c>
      <c r="L3" s="564">
        <v>0</v>
      </c>
      <c r="M3" s="564">
        <v>0</v>
      </c>
      <c r="N3" s="564">
        <v>0</v>
      </c>
      <c r="O3" s="564">
        <v>0</v>
      </c>
      <c r="P3" s="564">
        <v>0</v>
      </c>
      <c r="Q3" s="564">
        <v>0</v>
      </c>
      <c r="R3" s="564">
        <v>0</v>
      </c>
      <c r="S3" s="564">
        <v>0</v>
      </c>
      <c r="T3" s="564">
        <v>0</v>
      </c>
      <c r="U3" s="564">
        <v>0</v>
      </c>
      <c r="V3" s="564">
        <v>0</v>
      </c>
      <c r="W3" s="564">
        <v>0</v>
      </c>
      <c r="X3" s="564">
        <v>0</v>
      </c>
      <c r="Y3" s="564">
        <v>0</v>
      </c>
      <c r="Z3" s="564">
        <v>0</v>
      </c>
      <c r="AA3" s="564">
        <v>0</v>
      </c>
      <c r="AB3" s="564">
        <v>0</v>
      </c>
      <c r="AC3" s="564">
        <v>0</v>
      </c>
      <c r="AD3" s="564">
        <v>0</v>
      </c>
      <c r="AE3" s="564">
        <v>0</v>
      </c>
      <c r="AF3" s="564">
        <v>0</v>
      </c>
      <c r="AG3" s="564">
        <v>0</v>
      </c>
      <c r="AH3" s="564">
        <v>0</v>
      </c>
      <c r="AI3" s="564">
        <v>0</v>
      </c>
      <c r="AJ3" s="564">
        <v>0</v>
      </c>
      <c r="AK3" s="564">
        <v>0</v>
      </c>
      <c r="AL3" s="564">
        <v>0</v>
      </c>
      <c r="AM3" s="564">
        <v>0</v>
      </c>
      <c r="AN3" s="564">
        <v>0</v>
      </c>
      <c r="AO3" s="564">
        <v>0</v>
      </c>
    </row>
    <row r="4" spans="1:41" x14ac:dyDescent="0.15">
      <c r="B4" s="565">
        <v>-40</v>
      </c>
      <c r="C4" s="566">
        <v>0</v>
      </c>
      <c r="D4" s="566">
        <v>0</v>
      </c>
      <c r="E4" s="566">
        <v>0</v>
      </c>
      <c r="F4" s="566">
        <v>0</v>
      </c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</row>
    <row r="5" spans="1:41" x14ac:dyDescent="0.15">
      <c r="B5" s="567">
        <v>-39</v>
      </c>
      <c r="C5" s="566">
        <v>0</v>
      </c>
      <c r="D5" s="566">
        <v>0</v>
      </c>
      <c r="E5" s="566">
        <v>0</v>
      </c>
      <c r="F5" s="566">
        <v>0</v>
      </c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  <c r="X5" s="566"/>
      <c r="Y5" s="566"/>
      <c r="Z5" s="566"/>
      <c r="AA5" s="566"/>
      <c r="AB5" s="566"/>
      <c r="AC5" s="566"/>
      <c r="AD5" s="566"/>
      <c r="AE5" s="566"/>
      <c r="AF5" s="566"/>
      <c r="AG5" s="566"/>
      <c r="AH5" s="566"/>
      <c r="AI5" s="566"/>
      <c r="AJ5" s="566"/>
      <c r="AK5" s="566"/>
      <c r="AL5" s="566"/>
      <c r="AM5" s="566"/>
      <c r="AN5" s="566"/>
      <c r="AO5" s="566"/>
    </row>
    <row r="6" spans="1:41" x14ac:dyDescent="0.15">
      <c r="B6" s="567">
        <v>-38</v>
      </c>
      <c r="C6" s="566">
        <v>0</v>
      </c>
      <c r="D6" s="566">
        <v>0</v>
      </c>
      <c r="E6" s="566">
        <v>0</v>
      </c>
      <c r="F6" s="566">
        <v>3.4246575342465754E-4</v>
      </c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566"/>
      <c r="X6" s="566"/>
      <c r="Y6" s="566"/>
      <c r="Z6" s="566"/>
      <c r="AA6" s="566"/>
      <c r="AB6" s="566"/>
      <c r="AC6" s="566"/>
      <c r="AD6" s="566"/>
      <c r="AE6" s="566"/>
      <c r="AF6" s="566"/>
      <c r="AG6" s="566"/>
      <c r="AH6" s="566"/>
      <c r="AI6" s="566"/>
      <c r="AJ6" s="566"/>
      <c r="AK6" s="566"/>
      <c r="AL6" s="566"/>
      <c r="AM6" s="566"/>
      <c r="AN6" s="566"/>
      <c r="AO6" s="566"/>
    </row>
    <row r="7" spans="1:41" x14ac:dyDescent="0.15">
      <c r="B7" s="567">
        <v>-37</v>
      </c>
      <c r="C7" s="566">
        <v>0</v>
      </c>
      <c r="D7" s="566">
        <v>0</v>
      </c>
      <c r="E7" s="566">
        <v>0</v>
      </c>
      <c r="F7" s="566">
        <v>5.7077625570776253E-4</v>
      </c>
      <c r="G7" s="566"/>
      <c r="H7" s="566"/>
      <c r="I7" s="566"/>
      <c r="J7" s="566"/>
      <c r="K7" s="566"/>
      <c r="L7" s="566"/>
      <c r="M7" s="566"/>
      <c r="N7" s="566"/>
      <c r="O7" s="566"/>
      <c r="P7" s="566"/>
      <c r="Q7" s="566"/>
      <c r="R7" s="566"/>
      <c r="S7" s="566"/>
      <c r="T7" s="566"/>
      <c r="U7" s="566"/>
      <c r="V7" s="566"/>
      <c r="W7" s="566"/>
      <c r="X7" s="566"/>
      <c r="Y7" s="566"/>
      <c r="Z7" s="566"/>
      <c r="AA7" s="566"/>
      <c r="AB7" s="566"/>
      <c r="AC7" s="566"/>
      <c r="AD7" s="566"/>
      <c r="AE7" s="566"/>
      <c r="AF7" s="566"/>
      <c r="AG7" s="566"/>
      <c r="AH7" s="566"/>
      <c r="AI7" s="566"/>
      <c r="AJ7" s="566"/>
      <c r="AK7" s="566"/>
      <c r="AL7" s="566"/>
      <c r="AM7" s="566"/>
      <c r="AN7" s="566"/>
      <c r="AO7" s="566"/>
    </row>
    <row r="8" spans="1:41" x14ac:dyDescent="0.15">
      <c r="B8" s="567">
        <v>-36</v>
      </c>
      <c r="C8" s="566">
        <v>0</v>
      </c>
      <c r="D8" s="566">
        <v>0</v>
      </c>
      <c r="E8" s="566">
        <v>0</v>
      </c>
      <c r="F8" s="566">
        <v>1.1415525114155251E-3</v>
      </c>
      <c r="G8" s="566"/>
      <c r="H8" s="566"/>
      <c r="I8" s="566"/>
      <c r="J8" s="566"/>
      <c r="K8" s="566"/>
      <c r="L8" s="566"/>
      <c r="M8" s="566"/>
      <c r="N8" s="566"/>
      <c r="O8" s="566"/>
      <c r="P8" s="566"/>
      <c r="Q8" s="566"/>
      <c r="R8" s="566"/>
      <c r="S8" s="566"/>
      <c r="T8" s="566"/>
      <c r="U8" s="566"/>
      <c r="V8" s="566"/>
      <c r="W8" s="566"/>
      <c r="X8" s="566"/>
      <c r="Y8" s="566"/>
      <c r="Z8" s="566"/>
      <c r="AA8" s="566"/>
      <c r="AB8" s="566"/>
      <c r="AC8" s="566"/>
      <c r="AD8" s="566"/>
      <c r="AE8" s="566"/>
      <c r="AF8" s="566"/>
      <c r="AG8" s="566"/>
      <c r="AH8" s="566"/>
      <c r="AI8" s="566"/>
      <c r="AJ8" s="566"/>
      <c r="AK8" s="566"/>
      <c r="AL8" s="566"/>
      <c r="AM8" s="566"/>
      <c r="AN8" s="566"/>
      <c r="AO8" s="566"/>
    </row>
    <row r="9" spans="1:41" x14ac:dyDescent="0.15">
      <c r="B9" s="567">
        <v>-35</v>
      </c>
      <c r="C9" s="566">
        <v>0</v>
      </c>
      <c r="D9" s="566">
        <v>0</v>
      </c>
      <c r="E9" s="566">
        <v>0</v>
      </c>
      <c r="F9" s="566">
        <v>1.8264840182648401E-3</v>
      </c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566"/>
      <c r="U9" s="566"/>
      <c r="V9" s="566"/>
      <c r="W9" s="566"/>
      <c r="X9" s="566"/>
      <c r="Y9" s="566"/>
      <c r="Z9" s="566"/>
      <c r="AA9" s="566"/>
      <c r="AB9" s="566"/>
      <c r="AC9" s="566"/>
      <c r="AD9" s="566"/>
      <c r="AE9" s="566"/>
      <c r="AF9" s="566"/>
      <c r="AG9" s="566"/>
      <c r="AH9" s="566"/>
      <c r="AI9" s="566"/>
      <c r="AJ9" s="566"/>
      <c r="AK9" s="566"/>
      <c r="AL9" s="566"/>
      <c r="AM9" s="566"/>
      <c r="AN9" s="566"/>
      <c r="AO9" s="566"/>
    </row>
    <row r="10" spans="1:41" x14ac:dyDescent="0.15">
      <c r="B10" s="567">
        <v>-34</v>
      </c>
      <c r="C10" s="566">
        <v>0</v>
      </c>
      <c r="D10" s="566">
        <v>0</v>
      </c>
      <c r="E10" s="566">
        <v>0</v>
      </c>
      <c r="F10" s="566">
        <v>2.9680365296803654E-3</v>
      </c>
      <c r="G10" s="566"/>
      <c r="H10" s="566"/>
      <c r="I10" s="566"/>
      <c r="J10" s="566"/>
      <c r="K10" s="566"/>
      <c r="L10" s="566"/>
      <c r="M10" s="566"/>
      <c r="N10" s="566"/>
      <c r="O10" s="566"/>
      <c r="P10" s="566"/>
      <c r="Q10" s="566"/>
      <c r="R10" s="566"/>
      <c r="S10" s="566"/>
      <c r="T10" s="566"/>
      <c r="U10" s="566"/>
      <c r="V10" s="566"/>
      <c r="W10" s="566"/>
      <c r="X10" s="566"/>
      <c r="Y10" s="566"/>
      <c r="Z10" s="566"/>
      <c r="AA10" s="566"/>
      <c r="AB10" s="566"/>
      <c r="AC10" s="566"/>
      <c r="AD10" s="566"/>
      <c r="AE10" s="566"/>
      <c r="AF10" s="566"/>
      <c r="AG10" s="566"/>
      <c r="AH10" s="566"/>
      <c r="AI10" s="566"/>
      <c r="AJ10" s="566"/>
      <c r="AK10" s="566"/>
      <c r="AL10" s="566"/>
      <c r="AM10" s="566"/>
      <c r="AN10" s="566"/>
      <c r="AO10" s="566"/>
    </row>
    <row r="11" spans="1:41" x14ac:dyDescent="0.15">
      <c r="B11" s="567">
        <v>-33</v>
      </c>
      <c r="C11" s="566">
        <v>0</v>
      </c>
      <c r="D11" s="566">
        <v>0</v>
      </c>
      <c r="E11" s="566">
        <v>0</v>
      </c>
      <c r="F11" s="566">
        <v>4.10958904109589E-3</v>
      </c>
      <c r="G11" s="566"/>
      <c r="H11" s="566"/>
      <c r="I11" s="566"/>
      <c r="J11" s="566"/>
      <c r="K11" s="566"/>
      <c r="L11" s="566"/>
      <c r="M11" s="566"/>
      <c r="N11" s="566"/>
      <c r="O11" s="566"/>
      <c r="P11" s="566"/>
      <c r="Q11" s="566"/>
      <c r="R11" s="566"/>
      <c r="S11" s="566"/>
      <c r="T11" s="566"/>
      <c r="U11" s="566"/>
      <c r="V11" s="566"/>
      <c r="W11" s="566"/>
      <c r="X11" s="566"/>
      <c r="Y11" s="566"/>
      <c r="Z11" s="566"/>
      <c r="AA11" s="566"/>
      <c r="AB11" s="566"/>
      <c r="AC11" s="566"/>
      <c r="AD11" s="566"/>
      <c r="AE11" s="566"/>
      <c r="AF11" s="566"/>
      <c r="AG11" s="566"/>
      <c r="AH11" s="566"/>
      <c r="AI11" s="566"/>
      <c r="AJ11" s="566"/>
      <c r="AK11" s="566"/>
      <c r="AL11" s="566"/>
      <c r="AM11" s="566"/>
      <c r="AN11" s="566"/>
      <c r="AO11" s="566"/>
    </row>
    <row r="12" spans="1:41" x14ac:dyDescent="0.15">
      <c r="B12" s="567">
        <v>-32</v>
      </c>
      <c r="C12" s="566">
        <v>0</v>
      </c>
      <c r="D12" s="566">
        <v>0</v>
      </c>
      <c r="E12" s="566">
        <v>0</v>
      </c>
      <c r="F12" s="566">
        <v>4.7945205479452057E-3</v>
      </c>
      <c r="G12" s="566"/>
      <c r="H12" s="566"/>
      <c r="I12" s="566"/>
      <c r="J12" s="566"/>
      <c r="K12" s="566"/>
      <c r="L12" s="566"/>
      <c r="M12" s="566"/>
      <c r="N12" s="566"/>
      <c r="O12" s="566"/>
      <c r="P12" s="566"/>
      <c r="Q12" s="566"/>
      <c r="R12" s="566"/>
      <c r="S12" s="566"/>
      <c r="T12" s="566"/>
      <c r="U12" s="566"/>
      <c r="V12" s="566"/>
      <c r="W12" s="566"/>
      <c r="X12" s="566"/>
      <c r="Y12" s="566"/>
      <c r="Z12" s="566"/>
      <c r="AA12" s="566"/>
      <c r="AB12" s="566"/>
      <c r="AC12" s="566"/>
      <c r="AD12" s="566"/>
      <c r="AE12" s="566"/>
      <c r="AF12" s="566"/>
      <c r="AG12" s="566"/>
      <c r="AH12" s="566"/>
      <c r="AI12" s="566"/>
      <c r="AJ12" s="566"/>
      <c r="AK12" s="566"/>
      <c r="AL12" s="566"/>
      <c r="AM12" s="566"/>
      <c r="AN12" s="566"/>
      <c r="AO12" s="566"/>
    </row>
    <row r="13" spans="1:41" x14ac:dyDescent="0.15">
      <c r="B13" s="567">
        <v>-31</v>
      </c>
      <c r="C13" s="566">
        <v>0</v>
      </c>
      <c r="D13" s="566">
        <v>0</v>
      </c>
      <c r="E13" s="566">
        <v>2.2831050228310502E-4</v>
      </c>
      <c r="F13" s="566">
        <v>6.0502283105022831E-3</v>
      </c>
      <c r="G13" s="566"/>
      <c r="H13" s="566"/>
      <c r="I13" s="566"/>
      <c r="J13" s="566"/>
      <c r="K13" s="566"/>
      <c r="L13" s="566"/>
      <c r="M13" s="566"/>
      <c r="N13" s="566"/>
      <c r="O13" s="566"/>
      <c r="P13" s="566"/>
      <c r="Q13" s="566"/>
      <c r="R13" s="566"/>
      <c r="S13" s="566"/>
      <c r="T13" s="566"/>
      <c r="U13" s="566"/>
      <c r="V13" s="566"/>
      <c r="W13" s="566"/>
      <c r="X13" s="566"/>
      <c r="Y13" s="566"/>
      <c r="Z13" s="566"/>
      <c r="AA13" s="566"/>
      <c r="AB13" s="566"/>
      <c r="AC13" s="566"/>
      <c r="AD13" s="566"/>
      <c r="AE13" s="566"/>
      <c r="AF13" s="566"/>
      <c r="AG13" s="566"/>
      <c r="AH13" s="566"/>
      <c r="AI13" s="566"/>
      <c r="AJ13" s="566"/>
      <c r="AK13" s="566"/>
      <c r="AL13" s="566"/>
      <c r="AM13" s="566"/>
      <c r="AN13" s="566"/>
      <c r="AO13" s="566"/>
    </row>
    <row r="14" spans="1:41" x14ac:dyDescent="0.15">
      <c r="B14" s="567">
        <v>-30</v>
      </c>
      <c r="C14" s="566">
        <v>0</v>
      </c>
      <c r="D14" s="566">
        <v>0</v>
      </c>
      <c r="E14" s="566">
        <v>3.4246575342465754E-4</v>
      </c>
      <c r="F14" s="566">
        <v>7.9908675799086754E-3</v>
      </c>
      <c r="G14" s="566"/>
      <c r="H14" s="566"/>
      <c r="I14" s="566"/>
      <c r="J14" s="566"/>
      <c r="K14" s="566"/>
      <c r="L14" s="566"/>
      <c r="M14" s="566"/>
      <c r="N14" s="566"/>
      <c r="O14" s="566"/>
      <c r="P14" s="566"/>
      <c r="Q14" s="566"/>
      <c r="R14" s="566"/>
      <c r="S14" s="566"/>
      <c r="T14" s="566"/>
      <c r="U14" s="566"/>
      <c r="V14" s="566"/>
      <c r="W14" s="566"/>
      <c r="X14" s="566"/>
      <c r="Y14" s="566"/>
      <c r="Z14" s="566"/>
      <c r="AA14" s="566"/>
      <c r="AB14" s="566"/>
      <c r="AC14" s="566"/>
      <c r="AD14" s="566"/>
      <c r="AE14" s="566"/>
      <c r="AF14" s="566"/>
      <c r="AG14" s="566"/>
      <c r="AH14" s="566"/>
      <c r="AI14" s="566"/>
      <c r="AJ14" s="566"/>
      <c r="AK14" s="566"/>
      <c r="AL14" s="566"/>
      <c r="AM14" s="566"/>
      <c r="AN14" s="566"/>
      <c r="AO14" s="566"/>
    </row>
    <row r="15" spans="1:41" x14ac:dyDescent="0.15">
      <c r="B15" s="567">
        <v>-29</v>
      </c>
      <c r="C15" s="566">
        <v>0</v>
      </c>
      <c r="D15" s="566">
        <v>0</v>
      </c>
      <c r="E15" s="566">
        <v>4.5662100456621003E-4</v>
      </c>
      <c r="F15" s="566">
        <v>1.1187214611872146E-2</v>
      </c>
      <c r="G15" s="566"/>
      <c r="H15" s="566"/>
      <c r="I15" s="566"/>
      <c r="J15" s="566"/>
      <c r="K15" s="566"/>
      <c r="L15" s="566"/>
      <c r="M15" s="566"/>
      <c r="N15" s="566"/>
      <c r="O15" s="566"/>
      <c r="P15" s="566"/>
      <c r="Q15" s="566"/>
      <c r="R15" s="566"/>
      <c r="S15" s="566"/>
      <c r="T15" s="566"/>
      <c r="U15" s="566"/>
      <c r="V15" s="566"/>
      <c r="W15" s="566"/>
      <c r="X15" s="566"/>
      <c r="Y15" s="566"/>
      <c r="Z15" s="566"/>
      <c r="AA15" s="566"/>
      <c r="AB15" s="566"/>
      <c r="AC15" s="566"/>
      <c r="AD15" s="566"/>
      <c r="AE15" s="566"/>
      <c r="AF15" s="566"/>
      <c r="AG15" s="566"/>
      <c r="AH15" s="566"/>
      <c r="AI15" s="566"/>
      <c r="AJ15" s="566"/>
      <c r="AK15" s="566"/>
      <c r="AL15" s="566"/>
      <c r="AM15" s="566"/>
      <c r="AN15" s="566"/>
      <c r="AO15" s="566"/>
    </row>
    <row r="16" spans="1:41" x14ac:dyDescent="0.15">
      <c r="B16" s="567">
        <v>-28</v>
      </c>
      <c r="C16" s="566">
        <v>0</v>
      </c>
      <c r="D16" s="566">
        <v>0</v>
      </c>
      <c r="E16" s="566">
        <v>9.1324200913242006E-4</v>
      </c>
      <c r="F16" s="566">
        <v>1.4726027397260274E-2</v>
      </c>
      <c r="G16" s="566"/>
      <c r="H16" s="566"/>
      <c r="I16" s="566"/>
      <c r="J16" s="566"/>
      <c r="K16" s="566"/>
      <c r="L16" s="566"/>
      <c r="M16" s="566"/>
      <c r="N16" s="566"/>
      <c r="O16" s="566"/>
      <c r="P16" s="566"/>
      <c r="Q16" s="566"/>
      <c r="R16" s="566"/>
      <c r="S16" s="566"/>
      <c r="T16" s="566"/>
      <c r="U16" s="566"/>
      <c r="V16" s="566"/>
      <c r="W16" s="566"/>
      <c r="X16" s="566"/>
      <c r="Y16" s="566"/>
      <c r="Z16" s="566"/>
      <c r="AA16" s="566"/>
      <c r="AB16" s="566"/>
      <c r="AC16" s="566"/>
      <c r="AD16" s="566"/>
      <c r="AE16" s="566"/>
      <c r="AF16" s="566"/>
      <c r="AG16" s="566"/>
      <c r="AH16" s="566"/>
      <c r="AI16" s="566"/>
      <c r="AJ16" s="566"/>
      <c r="AK16" s="566"/>
      <c r="AL16" s="566"/>
      <c r="AM16" s="566"/>
      <c r="AN16" s="566"/>
      <c r="AO16" s="566"/>
    </row>
    <row r="17" spans="2:41" x14ac:dyDescent="0.15">
      <c r="B17" s="567">
        <v>-27</v>
      </c>
      <c r="C17" s="566">
        <v>0</v>
      </c>
      <c r="D17" s="566">
        <v>0</v>
      </c>
      <c r="E17" s="566">
        <v>1.8264840182648401E-3</v>
      </c>
      <c r="F17" s="566">
        <v>1.906392694063927E-2</v>
      </c>
      <c r="G17" s="566"/>
      <c r="H17" s="566"/>
      <c r="I17" s="566"/>
      <c r="J17" s="566"/>
      <c r="K17" s="566"/>
      <c r="L17" s="566"/>
      <c r="M17" s="566"/>
      <c r="N17" s="566"/>
      <c r="O17" s="566"/>
      <c r="P17" s="566"/>
      <c r="Q17" s="566"/>
      <c r="R17" s="566"/>
      <c r="S17" s="566"/>
      <c r="T17" s="566"/>
      <c r="U17" s="566"/>
      <c r="V17" s="566"/>
      <c r="W17" s="566"/>
      <c r="X17" s="566"/>
      <c r="Y17" s="566"/>
      <c r="Z17" s="566"/>
      <c r="AA17" s="566"/>
      <c r="AB17" s="566"/>
      <c r="AC17" s="566"/>
      <c r="AD17" s="566"/>
      <c r="AE17" s="566"/>
      <c r="AF17" s="566"/>
      <c r="AG17" s="566"/>
      <c r="AH17" s="566"/>
      <c r="AI17" s="566"/>
      <c r="AJ17" s="566"/>
      <c r="AK17" s="566"/>
      <c r="AL17" s="566"/>
      <c r="AM17" s="566"/>
      <c r="AN17" s="566"/>
      <c r="AO17" s="566"/>
    </row>
    <row r="18" spans="2:41" x14ac:dyDescent="0.15">
      <c r="B18" s="567">
        <v>-26</v>
      </c>
      <c r="C18" s="566">
        <v>0</v>
      </c>
      <c r="D18" s="566">
        <v>3.4246575342465754E-4</v>
      </c>
      <c r="E18" s="566">
        <v>2.625570776255708E-3</v>
      </c>
      <c r="F18" s="566">
        <v>2.2488584474885845E-2</v>
      </c>
      <c r="G18" s="566"/>
      <c r="H18" s="566"/>
      <c r="I18" s="566"/>
      <c r="J18" s="566"/>
      <c r="K18" s="566"/>
      <c r="L18" s="566"/>
      <c r="M18" s="566"/>
      <c r="N18" s="566"/>
      <c r="O18" s="566"/>
      <c r="P18" s="566"/>
      <c r="Q18" s="566"/>
      <c r="R18" s="566"/>
      <c r="S18" s="566"/>
      <c r="T18" s="566"/>
      <c r="U18" s="566"/>
      <c r="V18" s="566"/>
      <c r="W18" s="566"/>
      <c r="X18" s="566"/>
      <c r="Y18" s="566"/>
      <c r="Z18" s="566"/>
      <c r="AA18" s="566"/>
      <c r="AB18" s="566"/>
      <c r="AC18" s="566"/>
      <c r="AD18" s="566"/>
      <c r="AE18" s="566"/>
      <c r="AF18" s="566"/>
      <c r="AG18" s="566"/>
      <c r="AH18" s="566"/>
      <c r="AI18" s="566"/>
      <c r="AJ18" s="566"/>
      <c r="AK18" s="566"/>
      <c r="AL18" s="566"/>
      <c r="AM18" s="566"/>
      <c r="AN18" s="566"/>
      <c r="AO18" s="566"/>
    </row>
    <row r="19" spans="2:41" x14ac:dyDescent="0.15">
      <c r="B19" s="567">
        <v>-25</v>
      </c>
      <c r="C19" s="566">
        <v>0</v>
      </c>
      <c r="D19" s="566">
        <v>9.1324200913242006E-4</v>
      </c>
      <c r="E19" s="566">
        <v>3.8812785388127853E-3</v>
      </c>
      <c r="F19" s="566">
        <v>2.7397260273972601E-2</v>
      </c>
      <c r="G19" s="566"/>
      <c r="H19" s="566"/>
      <c r="I19" s="566"/>
      <c r="J19" s="566"/>
      <c r="K19" s="566"/>
      <c r="L19" s="566"/>
      <c r="M19" s="566"/>
      <c r="N19" s="566"/>
      <c r="O19" s="566"/>
      <c r="P19" s="566"/>
      <c r="Q19" s="566"/>
      <c r="R19" s="566"/>
      <c r="S19" s="566"/>
      <c r="T19" s="566"/>
      <c r="U19" s="566"/>
      <c r="V19" s="566"/>
      <c r="W19" s="566"/>
      <c r="X19" s="566"/>
      <c r="Y19" s="566"/>
      <c r="Z19" s="566"/>
      <c r="AA19" s="566"/>
      <c r="AB19" s="566"/>
      <c r="AC19" s="566"/>
      <c r="AD19" s="566"/>
      <c r="AE19" s="566"/>
      <c r="AF19" s="566"/>
      <c r="AG19" s="566"/>
      <c r="AH19" s="566"/>
      <c r="AI19" s="566"/>
      <c r="AJ19" s="566"/>
      <c r="AK19" s="566"/>
      <c r="AL19" s="566"/>
      <c r="AM19" s="566"/>
      <c r="AN19" s="566"/>
      <c r="AO19" s="566"/>
    </row>
    <row r="20" spans="2:41" x14ac:dyDescent="0.15">
      <c r="B20" s="567">
        <v>-24</v>
      </c>
      <c r="C20" s="566">
        <v>1.1415525114155251E-4</v>
      </c>
      <c r="D20" s="566">
        <v>1.3698630136986301E-3</v>
      </c>
      <c r="E20" s="566">
        <v>5.8219178082191785E-3</v>
      </c>
      <c r="F20" s="566">
        <v>3.093607305936073E-2</v>
      </c>
      <c r="G20" s="566"/>
      <c r="H20" s="566"/>
      <c r="I20" s="566"/>
      <c r="J20" s="566"/>
      <c r="K20" s="566"/>
      <c r="L20" s="566"/>
      <c r="M20" s="566"/>
      <c r="N20" s="566"/>
      <c r="O20" s="566"/>
      <c r="P20" s="566"/>
      <c r="Q20" s="566"/>
      <c r="R20" s="566"/>
      <c r="S20" s="566"/>
      <c r="T20" s="566"/>
      <c r="U20" s="566"/>
      <c r="V20" s="566"/>
      <c r="W20" s="566"/>
      <c r="X20" s="566"/>
      <c r="Y20" s="566"/>
      <c r="Z20" s="566"/>
      <c r="AA20" s="566"/>
      <c r="AB20" s="566"/>
      <c r="AC20" s="566"/>
      <c r="AD20" s="566"/>
      <c r="AE20" s="566"/>
      <c r="AF20" s="566"/>
      <c r="AG20" s="566"/>
      <c r="AH20" s="566"/>
      <c r="AI20" s="566"/>
      <c r="AJ20" s="566"/>
      <c r="AK20" s="566"/>
      <c r="AL20" s="566"/>
      <c r="AM20" s="566"/>
      <c r="AN20" s="566"/>
      <c r="AO20" s="566"/>
    </row>
    <row r="21" spans="2:41" x14ac:dyDescent="0.15">
      <c r="B21" s="567">
        <v>-23</v>
      </c>
      <c r="C21" s="566">
        <v>3.4246575342465754E-4</v>
      </c>
      <c r="D21" s="566">
        <v>2.3972602739726029E-3</v>
      </c>
      <c r="E21" s="566">
        <v>7.3059360730593605E-3</v>
      </c>
      <c r="F21" s="566">
        <v>3.4018264840182645E-2</v>
      </c>
      <c r="G21" s="566"/>
      <c r="H21" s="566"/>
      <c r="I21" s="566"/>
      <c r="J21" s="566"/>
      <c r="K21" s="566"/>
      <c r="L21" s="566"/>
      <c r="M21" s="566"/>
      <c r="N21" s="566"/>
      <c r="O21" s="566"/>
      <c r="P21" s="566"/>
      <c r="Q21" s="566"/>
      <c r="R21" s="566"/>
      <c r="S21" s="566"/>
      <c r="T21" s="566"/>
      <c r="U21" s="566"/>
      <c r="V21" s="566"/>
      <c r="W21" s="566"/>
      <c r="X21" s="566"/>
      <c r="Y21" s="566"/>
      <c r="Z21" s="566"/>
      <c r="AA21" s="566"/>
      <c r="AB21" s="566"/>
      <c r="AC21" s="566"/>
      <c r="AD21" s="566"/>
      <c r="AE21" s="566"/>
      <c r="AF21" s="566"/>
      <c r="AG21" s="566"/>
      <c r="AH21" s="566"/>
      <c r="AI21" s="566"/>
      <c r="AJ21" s="566"/>
      <c r="AK21" s="566"/>
      <c r="AL21" s="566"/>
      <c r="AM21" s="566"/>
      <c r="AN21" s="566"/>
      <c r="AO21" s="566"/>
    </row>
    <row r="22" spans="2:41" x14ac:dyDescent="0.15">
      <c r="B22" s="567">
        <v>-22</v>
      </c>
      <c r="C22" s="566">
        <v>5.7077625570776253E-4</v>
      </c>
      <c r="D22" s="566">
        <v>2.9680365296803654E-3</v>
      </c>
      <c r="E22" s="566">
        <v>8.3333333333333332E-3</v>
      </c>
      <c r="F22" s="566">
        <v>4.1095890410958902E-2</v>
      </c>
      <c r="G22" s="566"/>
      <c r="H22" s="566"/>
      <c r="I22" s="566"/>
      <c r="J22" s="566"/>
      <c r="K22" s="566"/>
      <c r="L22" s="566"/>
      <c r="M22" s="566"/>
      <c r="N22" s="566"/>
      <c r="O22" s="566"/>
      <c r="P22" s="566"/>
      <c r="Q22" s="566"/>
      <c r="R22" s="566"/>
      <c r="S22" s="566"/>
      <c r="T22" s="566"/>
      <c r="U22" s="566"/>
      <c r="V22" s="566"/>
      <c r="W22" s="566"/>
      <c r="X22" s="566"/>
      <c r="Y22" s="566"/>
      <c r="Z22" s="566"/>
      <c r="AA22" s="566"/>
      <c r="AB22" s="566"/>
      <c r="AC22" s="566"/>
      <c r="AD22" s="566"/>
      <c r="AE22" s="566"/>
      <c r="AF22" s="566"/>
      <c r="AG22" s="566"/>
      <c r="AH22" s="566"/>
      <c r="AI22" s="566"/>
      <c r="AJ22" s="566"/>
      <c r="AK22" s="566"/>
      <c r="AL22" s="566"/>
      <c r="AM22" s="566"/>
      <c r="AN22" s="566"/>
      <c r="AO22" s="566"/>
    </row>
    <row r="23" spans="2:41" x14ac:dyDescent="0.15">
      <c r="B23" s="567">
        <v>-21</v>
      </c>
      <c r="C23" s="566">
        <v>1.1415525114155251E-3</v>
      </c>
      <c r="D23" s="566">
        <v>4.5662100456621002E-3</v>
      </c>
      <c r="E23" s="566">
        <v>1.0616438356164383E-2</v>
      </c>
      <c r="F23" s="566">
        <v>4.8059360730593609E-2</v>
      </c>
      <c r="G23" s="566"/>
      <c r="H23" s="566"/>
      <c r="I23" s="566"/>
      <c r="J23" s="566"/>
      <c r="K23" s="566"/>
      <c r="L23" s="566"/>
      <c r="M23" s="566"/>
      <c r="N23" s="566"/>
      <c r="O23" s="566"/>
      <c r="P23" s="566"/>
      <c r="Q23" s="566"/>
      <c r="R23" s="566"/>
      <c r="S23" s="566"/>
      <c r="T23" s="566"/>
      <c r="U23" s="566"/>
      <c r="V23" s="566"/>
      <c r="W23" s="566"/>
      <c r="X23" s="566"/>
      <c r="Y23" s="566"/>
      <c r="Z23" s="566"/>
      <c r="AA23" s="566"/>
      <c r="AB23" s="566"/>
      <c r="AC23" s="566"/>
      <c r="AD23" s="566"/>
      <c r="AE23" s="566"/>
      <c r="AF23" s="566"/>
      <c r="AG23" s="566"/>
      <c r="AH23" s="566"/>
      <c r="AI23" s="566"/>
      <c r="AJ23" s="566"/>
      <c r="AK23" s="566"/>
      <c r="AL23" s="566"/>
      <c r="AM23" s="566"/>
      <c r="AN23" s="566"/>
      <c r="AO23" s="566"/>
    </row>
    <row r="24" spans="2:41" x14ac:dyDescent="0.15">
      <c r="B24" s="567">
        <v>-20</v>
      </c>
      <c r="C24" s="566">
        <v>2.8538812785388126E-3</v>
      </c>
      <c r="D24" s="566">
        <v>5.8219178082191785E-3</v>
      </c>
      <c r="E24" s="566">
        <v>1.2671232876712329E-2</v>
      </c>
      <c r="F24" s="566">
        <v>5.5251141552511415E-2</v>
      </c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</row>
    <row r="25" spans="2:41" x14ac:dyDescent="0.15">
      <c r="B25" s="567">
        <v>-19</v>
      </c>
      <c r="C25" s="566">
        <v>5.3652968036529683E-3</v>
      </c>
      <c r="D25" s="566">
        <v>7.7625570776255707E-3</v>
      </c>
      <c r="E25" s="566">
        <v>1.6552511415525113E-2</v>
      </c>
      <c r="F25" s="566">
        <v>6.2557077625570778E-2</v>
      </c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</row>
    <row r="26" spans="2:41" x14ac:dyDescent="0.15">
      <c r="B26" s="567">
        <v>-18</v>
      </c>
      <c r="C26" s="566">
        <v>7.0776255707762558E-3</v>
      </c>
      <c r="D26" s="566">
        <v>1.0045662100456621E-2</v>
      </c>
      <c r="E26" s="566">
        <v>1.8949771689497717E-2</v>
      </c>
      <c r="F26" s="566">
        <v>6.803652968036529E-2</v>
      </c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566"/>
      <c r="X26" s="566"/>
      <c r="Y26" s="566"/>
      <c r="Z26" s="566"/>
      <c r="AA26" s="566"/>
      <c r="AB26" s="566"/>
      <c r="AC26" s="566"/>
      <c r="AD26" s="566"/>
      <c r="AE26" s="566"/>
      <c r="AF26" s="566"/>
      <c r="AG26" s="566"/>
      <c r="AH26" s="566"/>
      <c r="AI26" s="566"/>
      <c r="AJ26" s="566"/>
      <c r="AK26" s="566"/>
      <c r="AL26" s="566"/>
      <c r="AM26" s="566"/>
      <c r="AN26" s="566"/>
      <c r="AO26" s="566"/>
    </row>
    <row r="27" spans="2:41" x14ac:dyDescent="0.15">
      <c r="B27" s="567">
        <v>-17</v>
      </c>
      <c r="C27" s="566">
        <v>9.2465753424657536E-3</v>
      </c>
      <c r="D27" s="566">
        <v>1.3127853881278538E-2</v>
      </c>
      <c r="E27" s="566">
        <v>2.3287671232876714E-2</v>
      </c>
      <c r="F27" s="566">
        <v>7.4543378995433784E-2</v>
      </c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566"/>
      <c r="T27" s="566"/>
      <c r="U27" s="566"/>
      <c r="V27" s="566"/>
      <c r="W27" s="566"/>
      <c r="X27" s="566"/>
      <c r="Y27" s="566"/>
      <c r="Z27" s="566"/>
      <c r="AA27" s="566"/>
      <c r="AB27" s="566"/>
      <c r="AC27" s="566"/>
      <c r="AD27" s="566"/>
      <c r="AE27" s="566"/>
      <c r="AF27" s="566"/>
      <c r="AG27" s="566"/>
      <c r="AH27" s="566"/>
      <c r="AI27" s="566"/>
      <c r="AJ27" s="566"/>
      <c r="AK27" s="566"/>
      <c r="AL27" s="566"/>
      <c r="AM27" s="566"/>
      <c r="AN27" s="566"/>
      <c r="AO27" s="566"/>
    </row>
    <row r="28" spans="2:41" x14ac:dyDescent="0.15">
      <c r="B28" s="567">
        <v>-16</v>
      </c>
      <c r="C28" s="566">
        <v>1.1872146118721462E-2</v>
      </c>
      <c r="D28" s="566">
        <v>1.8264840182648401E-2</v>
      </c>
      <c r="E28" s="566">
        <v>2.8538812785388126E-2</v>
      </c>
      <c r="F28" s="566">
        <v>8.1621004566210048E-2</v>
      </c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566"/>
      <c r="X28" s="566"/>
      <c r="Y28" s="566"/>
      <c r="Z28" s="566"/>
      <c r="AA28" s="566"/>
      <c r="AB28" s="566"/>
      <c r="AC28" s="566"/>
      <c r="AD28" s="566"/>
      <c r="AE28" s="566"/>
      <c r="AF28" s="566"/>
      <c r="AG28" s="566"/>
      <c r="AH28" s="566"/>
      <c r="AI28" s="566"/>
      <c r="AJ28" s="566"/>
      <c r="AK28" s="566"/>
      <c r="AL28" s="566"/>
      <c r="AM28" s="566"/>
      <c r="AN28" s="566"/>
      <c r="AO28" s="566"/>
    </row>
    <row r="29" spans="2:41" x14ac:dyDescent="0.15">
      <c r="B29" s="567">
        <v>-15</v>
      </c>
      <c r="C29" s="566">
        <v>1.632420091324201E-2</v>
      </c>
      <c r="D29" s="566">
        <v>2.3287671232876714E-2</v>
      </c>
      <c r="E29" s="566">
        <v>3.5844748858447489E-2</v>
      </c>
      <c r="F29" s="566">
        <v>9.0981735159817348E-2</v>
      </c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V29" s="566"/>
      <c r="W29" s="566"/>
      <c r="X29" s="566"/>
      <c r="Y29" s="566"/>
      <c r="Z29" s="566"/>
      <c r="AA29" s="566"/>
      <c r="AB29" s="566"/>
      <c r="AC29" s="566"/>
      <c r="AD29" s="566"/>
      <c r="AE29" s="566"/>
      <c r="AF29" s="566"/>
      <c r="AG29" s="566"/>
      <c r="AH29" s="566"/>
      <c r="AI29" s="566"/>
      <c r="AJ29" s="566"/>
      <c r="AK29" s="566"/>
      <c r="AL29" s="566"/>
      <c r="AM29" s="566"/>
      <c r="AN29" s="566"/>
      <c r="AO29" s="566"/>
    </row>
    <row r="30" spans="2:41" x14ac:dyDescent="0.15">
      <c r="B30" s="567">
        <v>-14</v>
      </c>
      <c r="C30" s="566">
        <v>2.1917808219178082E-2</v>
      </c>
      <c r="D30" s="566">
        <v>2.9794520547945205E-2</v>
      </c>
      <c r="E30" s="566">
        <v>4.3493150684931509E-2</v>
      </c>
      <c r="F30" s="566">
        <v>0.10422374429223745</v>
      </c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566"/>
      <c r="X30" s="566"/>
      <c r="Y30" s="566"/>
      <c r="Z30" s="566"/>
      <c r="AA30" s="566"/>
      <c r="AB30" s="566"/>
      <c r="AC30" s="566"/>
      <c r="AD30" s="566"/>
      <c r="AE30" s="566"/>
      <c r="AF30" s="566"/>
      <c r="AG30" s="566"/>
      <c r="AH30" s="566"/>
      <c r="AI30" s="566"/>
      <c r="AJ30" s="566"/>
      <c r="AK30" s="566"/>
      <c r="AL30" s="566"/>
      <c r="AM30" s="566"/>
      <c r="AN30" s="566"/>
      <c r="AO30" s="566"/>
    </row>
    <row r="31" spans="2:41" x14ac:dyDescent="0.15">
      <c r="B31" s="567">
        <v>-13</v>
      </c>
      <c r="C31" s="566">
        <v>2.8652968036529679E-2</v>
      </c>
      <c r="D31" s="566">
        <v>3.6529680365296802E-2</v>
      </c>
      <c r="E31" s="566">
        <v>5.1598173515981734E-2</v>
      </c>
      <c r="F31" s="566">
        <v>0.11746575342465754</v>
      </c>
      <c r="G31" s="566"/>
      <c r="H31" s="566"/>
      <c r="I31" s="566"/>
      <c r="J31" s="566"/>
      <c r="K31" s="566"/>
      <c r="L31" s="566"/>
      <c r="M31" s="566"/>
      <c r="N31" s="566"/>
      <c r="O31" s="566"/>
      <c r="P31" s="566"/>
      <c r="Q31" s="566"/>
      <c r="R31" s="566"/>
      <c r="S31" s="566"/>
      <c r="T31" s="566"/>
      <c r="U31" s="566"/>
      <c r="V31" s="566"/>
      <c r="W31" s="566"/>
      <c r="X31" s="566"/>
      <c r="Y31" s="566"/>
      <c r="Z31" s="566"/>
      <c r="AA31" s="566"/>
      <c r="AB31" s="566"/>
      <c r="AC31" s="566"/>
      <c r="AD31" s="566"/>
      <c r="AE31" s="566"/>
      <c r="AF31" s="566"/>
      <c r="AG31" s="566"/>
      <c r="AH31" s="566"/>
      <c r="AI31" s="566"/>
      <c r="AJ31" s="566"/>
      <c r="AK31" s="566"/>
      <c r="AL31" s="566"/>
      <c r="AM31" s="566"/>
      <c r="AN31" s="566"/>
      <c r="AO31" s="566"/>
    </row>
    <row r="32" spans="2:41" x14ac:dyDescent="0.15">
      <c r="B32" s="567">
        <v>-12</v>
      </c>
      <c r="C32" s="566">
        <v>3.4589041095890408E-2</v>
      </c>
      <c r="D32" s="566">
        <v>4.1324200913242008E-2</v>
      </c>
      <c r="E32" s="566">
        <v>6.095890410958904E-2</v>
      </c>
      <c r="F32" s="566">
        <v>0.13344748858447489</v>
      </c>
      <c r="G32" s="566"/>
      <c r="H32" s="566"/>
      <c r="I32" s="566"/>
      <c r="J32" s="566"/>
      <c r="K32" s="566"/>
      <c r="L32" s="566"/>
      <c r="M32" s="566"/>
      <c r="N32" s="566"/>
      <c r="O32" s="566"/>
      <c r="P32" s="566"/>
      <c r="Q32" s="566"/>
      <c r="R32" s="566"/>
      <c r="S32" s="566"/>
      <c r="T32" s="566"/>
      <c r="U32" s="566"/>
      <c r="V32" s="566"/>
      <c r="W32" s="566"/>
      <c r="X32" s="566"/>
      <c r="Y32" s="566"/>
      <c r="Z32" s="566"/>
      <c r="AA32" s="566"/>
      <c r="AB32" s="566"/>
      <c r="AC32" s="566"/>
      <c r="AD32" s="566"/>
      <c r="AE32" s="566"/>
      <c r="AF32" s="566"/>
      <c r="AG32" s="566"/>
      <c r="AH32" s="566"/>
      <c r="AI32" s="566"/>
      <c r="AJ32" s="566"/>
      <c r="AK32" s="566"/>
      <c r="AL32" s="566"/>
      <c r="AM32" s="566"/>
      <c r="AN32" s="566"/>
      <c r="AO32" s="566"/>
    </row>
    <row r="33" spans="2:41" x14ac:dyDescent="0.15">
      <c r="B33" s="567">
        <v>-11</v>
      </c>
      <c r="C33" s="566">
        <v>4.0639269406392696E-2</v>
      </c>
      <c r="D33" s="566">
        <v>4.8401826484018265E-2</v>
      </c>
      <c r="E33" s="566">
        <v>7.1575342465753422E-2</v>
      </c>
      <c r="F33" s="566">
        <v>0.15136986301369862</v>
      </c>
      <c r="G33" s="566"/>
      <c r="H33" s="566"/>
      <c r="I33" s="566"/>
      <c r="J33" s="566"/>
      <c r="K33" s="566"/>
      <c r="L33" s="566"/>
      <c r="M33" s="566"/>
      <c r="N33" s="566"/>
      <c r="O33" s="566"/>
      <c r="P33" s="566"/>
      <c r="Q33" s="566"/>
      <c r="R33" s="566"/>
      <c r="S33" s="566"/>
      <c r="T33" s="566"/>
      <c r="U33" s="566"/>
      <c r="V33" s="566"/>
      <c r="W33" s="566"/>
      <c r="X33" s="566"/>
      <c r="Y33" s="566"/>
      <c r="Z33" s="566"/>
      <c r="AA33" s="566"/>
      <c r="AB33" s="566"/>
      <c r="AC33" s="566"/>
      <c r="AD33" s="566"/>
      <c r="AE33" s="566"/>
      <c r="AF33" s="566"/>
      <c r="AG33" s="566"/>
      <c r="AH33" s="566"/>
      <c r="AI33" s="566"/>
      <c r="AJ33" s="566"/>
      <c r="AK33" s="566"/>
      <c r="AL33" s="566"/>
      <c r="AM33" s="566"/>
      <c r="AN33" s="566"/>
      <c r="AO33" s="566"/>
    </row>
    <row r="34" spans="2:41" x14ac:dyDescent="0.15">
      <c r="B34" s="567">
        <v>-10</v>
      </c>
      <c r="C34" s="566">
        <v>4.6575342465753428E-2</v>
      </c>
      <c r="D34" s="566">
        <v>5.6963470319634703E-2</v>
      </c>
      <c r="E34" s="566">
        <v>8.3105022831050229E-2</v>
      </c>
      <c r="F34" s="566">
        <v>0.16860730593607307</v>
      </c>
      <c r="G34" s="566"/>
      <c r="H34" s="566"/>
      <c r="I34" s="566"/>
      <c r="J34" s="566"/>
      <c r="K34" s="566"/>
      <c r="L34" s="566"/>
      <c r="M34" s="566"/>
      <c r="N34" s="566"/>
      <c r="O34" s="566"/>
      <c r="P34" s="566"/>
      <c r="Q34" s="566"/>
      <c r="R34" s="566"/>
      <c r="S34" s="566"/>
      <c r="T34" s="566"/>
      <c r="U34" s="566"/>
      <c r="V34" s="566"/>
      <c r="W34" s="566"/>
      <c r="X34" s="566"/>
      <c r="Y34" s="566"/>
      <c r="Z34" s="566"/>
      <c r="AA34" s="566"/>
      <c r="AB34" s="566"/>
      <c r="AC34" s="566"/>
      <c r="AD34" s="566"/>
      <c r="AE34" s="566"/>
      <c r="AF34" s="566"/>
      <c r="AG34" s="566"/>
      <c r="AH34" s="566"/>
      <c r="AI34" s="566"/>
      <c r="AJ34" s="566"/>
      <c r="AK34" s="566"/>
      <c r="AL34" s="566"/>
      <c r="AM34" s="566"/>
      <c r="AN34" s="566"/>
      <c r="AO34" s="566"/>
    </row>
    <row r="35" spans="2:41" x14ac:dyDescent="0.15">
      <c r="B35" s="567">
        <v>-9</v>
      </c>
      <c r="C35" s="566">
        <v>5.4680365296803653E-2</v>
      </c>
      <c r="D35" s="566">
        <v>6.7351598173515978E-2</v>
      </c>
      <c r="E35" s="566">
        <v>9.7945205479452055E-2</v>
      </c>
      <c r="F35" s="566">
        <v>0.18630136986301371</v>
      </c>
      <c r="G35" s="566"/>
      <c r="H35" s="566"/>
      <c r="I35" s="566"/>
      <c r="J35" s="566"/>
      <c r="K35" s="566"/>
      <c r="L35" s="566"/>
      <c r="M35" s="566"/>
      <c r="N35" s="566"/>
      <c r="O35" s="566"/>
      <c r="P35" s="566"/>
      <c r="Q35" s="566"/>
      <c r="R35" s="566"/>
      <c r="S35" s="566"/>
      <c r="T35" s="566"/>
      <c r="U35" s="566"/>
      <c r="V35" s="566"/>
      <c r="W35" s="566"/>
      <c r="X35" s="566"/>
      <c r="Y35" s="566"/>
      <c r="Z35" s="566"/>
      <c r="AA35" s="566"/>
      <c r="AB35" s="566"/>
      <c r="AC35" s="566"/>
      <c r="AD35" s="566"/>
      <c r="AE35" s="566"/>
      <c r="AF35" s="566"/>
      <c r="AG35" s="566"/>
      <c r="AH35" s="566"/>
      <c r="AI35" s="566"/>
      <c r="AJ35" s="566"/>
      <c r="AK35" s="566"/>
      <c r="AL35" s="566"/>
      <c r="AM35" s="566"/>
      <c r="AN35" s="566"/>
      <c r="AO35" s="566"/>
    </row>
    <row r="36" spans="2:41" x14ac:dyDescent="0.15">
      <c r="B36" s="567">
        <v>-8</v>
      </c>
      <c r="C36" s="566">
        <v>6.3356164383561647E-2</v>
      </c>
      <c r="D36" s="566">
        <v>7.6255707762557079E-2</v>
      </c>
      <c r="E36" s="566">
        <v>0.11666666666666667</v>
      </c>
      <c r="F36" s="566">
        <v>0.20091324200913241</v>
      </c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66"/>
      <c r="R36" s="566"/>
      <c r="S36" s="566"/>
      <c r="T36" s="566"/>
      <c r="U36" s="566"/>
      <c r="V36" s="566"/>
      <c r="W36" s="566"/>
      <c r="X36" s="566"/>
      <c r="Y36" s="566"/>
      <c r="Z36" s="566"/>
      <c r="AA36" s="566"/>
      <c r="AB36" s="566"/>
      <c r="AC36" s="566"/>
      <c r="AD36" s="566"/>
      <c r="AE36" s="566"/>
      <c r="AF36" s="566"/>
      <c r="AG36" s="566"/>
      <c r="AH36" s="566"/>
      <c r="AI36" s="566"/>
      <c r="AJ36" s="566"/>
      <c r="AK36" s="566"/>
      <c r="AL36" s="566"/>
      <c r="AM36" s="566"/>
      <c r="AN36" s="566"/>
      <c r="AO36" s="566"/>
    </row>
    <row r="37" spans="2:41" x14ac:dyDescent="0.15">
      <c r="B37" s="567">
        <v>-7</v>
      </c>
      <c r="C37" s="566">
        <v>7.4999999999999997E-2</v>
      </c>
      <c r="D37" s="566">
        <v>8.7785388127853886E-2</v>
      </c>
      <c r="E37" s="566">
        <v>0.13698630136986301</v>
      </c>
      <c r="F37" s="566">
        <v>0.22237442922374429</v>
      </c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566"/>
      <c r="Y37" s="566"/>
      <c r="Z37" s="566"/>
      <c r="AA37" s="566"/>
      <c r="AB37" s="566"/>
      <c r="AC37" s="566"/>
      <c r="AD37" s="566"/>
      <c r="AE37" s="566"/>
      <c r="AF37" s="566"/>
      <c r="AG37" s="566"/>
      <c r="AH37" s="566"/>
      <c r="AI37" s="566"/>
      <c r="AJ37" s="566"/>
      <c r="AK37" s="566"/>
      <c r="AL37" s="566"/>
      <c r="AM37" s="566"/>
      <c r="AN37" s="566"/>
      <c r="AO37" s="566"/>
    </row>
    <row r="38" spans="2:41" x14ac:dyDescent="0.15">
      <c r="B38" s="567">
        <v>-6</v>
      </c>
      <c r="C38" s="566">
        <v>8.8470319634703198E-2</v>
      </c>
      <c r="D38" s="566">
        <v>0.1021689497716895</v>
      </c>
      <c r="E38" s="566">
        <v>0.16095890410958905</v>
      </c>
      <c r="F38" s="566">
        <v>0.24121004566210047</v>
      </c>
      <c r="G38" s="566"/>
      <c r="H38" s="566"/>
      <c r="I38" s="566"/>
      <c r="J38" s="566"/>
      <c r="K38" s="566"/>
      <c r="L38" s="566"/>
      <c r="M38" s="566"/>
      <c r="N38" s="566"/>
      <c r="O38" s="566"/>
      <c r="P38" s="566"/>
      <c r="Q38" s="566"/>
      <c r="R38" s="566"/>
      <c r="S38" s="566"/>
      <c r="T38" s="566"/>
      <c r="U38" s="566"/>
      <c r="V38" s="566"/>
      <c r="W38" s="566"/>
      <c r="X38" s="566"/>
      <c r="Y38" s="566"/>
      <c r="Z38" s="566"/>
      <c r="AA38" s="566"/>
      <c r="AB38" s="566"/>
      <c r="AC38" s="566"/>
      <c r="AD38" s="566"/>
      <c r="AE38" s="566"/>
      <c r="AF38" s="566"/>
      <c r="AG38" s="566"/>
      <c r="AH38" s="566"/>
      <c r="AI38" s="566"/>
      <c r="AJ38" s="566"/>
      <c r="AK38" s="566"/>
      <c r="AL38" s="566"/>
      <c r="AM38" s="566"/>
      <c r="AN38" s="566"/>
      <c r="AO38" s="566"/>
    </row>
    <row r="39" spans="2:41" x14ac:dyDescent="0.15">
      <c r="B39" s="567">
        <v>-5</v>
      </c>
      <c r="C39" s="566">
        <v>0.10547945205479452</v>
      </c>
      <c r="D39" s="566">
        <v>0.12317351598173516</v>
      </c>
      <c r="E39" s="566">
        <v>0.18801369863013698</v>
      </c>
      <c r="F39" s="566">
        <v>0.27180365296803655</v>
      </c>
      <c r="G39" s="566"/>
      <c r="H39" s="566"/>
      <c r="I39" s="566"/>
      <c r="J39" s="566"/>
      <c r="K39" s="566"/>
      <c r="L39" s="566"/>
      <c r="M39" s="566"/>
      <c r="N39" s="566"/>
      <c r="O39" s="566"/>
      <c r="P39" s="566"/>
      <c r="Q39" s="566"/>
      <c r="R39" s="566"/>
      <c r="S39" s="566"/>
      <c r="T39" s="566"/>
      <c r="U39" s="566"/>
      <c r="V39" s="566"/>
      <c r="W39" s="566"/>
      <c r="X39" s="566"/>
      <c r="Y39" s="566"/>
      <c r="Z39" s="566"/>
      <c r="AA39" s="566"/>
      <c r="AB39" s="566"/>
      <c r="AC39" s="566"/>
      <c r="AD39" s="566"/>
      <c r="AE39" s="566"/>
      <c r="AF39" s="566"/>
      <c r="AG39" s="566"/>
      <c r="AH39" s="566"/>
      <c r="AI39" s="566"/>
      <c r="AJ39" s="566"/>
      <c r="AK39" s="566"/>
      <c r="AL39" s="566"/>
      <c r="AM39" s="566"/>
      <c r="AN39" s="566"/>
      <c r="AO39" s="566"/>
    </row>
    <row r="40" spans="2:41" x14ac:dyDescent="0.15">
      <c r="B40" s="567">
        <v>-4</v>
      </c>
      <c r="C40" s="566">
        <v>0.12888127853881279</v>
      </c>
      <c r="D40" s="566">
        <v>0.14452054794520547</v>
      </c>
      <c r="E40" s="566">
        <v>0.2139269406392694</v>
      </c>
      <c r="F40" s="566">
        <v>0.3065068493150685</v>
      </c>
      <c r="G40" s="566"/>
      <c r="H40" s="566"/>
      <c r="I40" s="566"/>
      <c r="J40" s="566"/>
      <c r="K40" s="566"/>
      <c r="L40" s="566"/>
      <c r="M40" s="566"/>
      <c r="N40" s="566"/>
      <c r="O40" s="566"/>
      <c r="P40" s="566"/>
      <c r="Q40" s="566"/>
      <c r="R40" s="566"/>
      <c r="S40" s="566"/>
      <c r="T40" s="566"/>
      <c r="U40" s="566"/>
      <c r="V40" s="566"/>
      <c r="W40" s="566"/>
      <c r="X40" s="566"/>
      <c r="Y40" s="566"/>
      <c r="Z40" s="566"/>
      <c r="AA40" s="566"/>
      <c r="AB40" s="566"/>
      <c r="AC40" s="566"/>
      <c r="AD40" s="566"/>
      <c r="AE40" s="566"/>
      <c r="AF40" s="566"/>
      <c r="AG40" s="566"/>
      <c r="AH40" s="566"/>
      <c r="AI40" s="566"/>
      <c r="AJ40" s="566"/>
      <c r="AK40" s="566"/>
      <c r="AL40" s="566"/>
      <c r="AM40" s="566"/>
      <c r="AN40" s="566"/>
      <c r="AO40" s="566"/>
    </row>
    <row r="41" spans="2:41" x14ac:dyDescent="0.15">
      <c r="B41" s="567">
        <v>-3</v>
      </c>
      <c r="C41" s="566">
        <v>0.15570776255707763</v>
      </c>
      <c r="D41" s="566">
        <v>0.16849315068493151</v>
      </c>
      <c r="E41" s="566">
        <v>0.24406392694063928</v>
      </c>
      <c r="F41" s="566">
        <v>0.34178082191780823</v>
      </c>
      <c r="G41" s="566"/>
      <c r="H41" s="566"/>
      <c r="I41" s="566"/>
      <c r="J41" s="566"/>
      <c r="K41" s="566"/>
      <c r="L41" s="566"/>
      <c r="M41" s="566"/>
      <c r="N41" s="566"/>
      <c r="O41" s="566"/>
      <c r="P41" s="566"/>
      <c r="Q41" s="566"/>
      <c r="R41" s="566"/>
      <c r="S41" s="566"/>
      <c r="T41" s="566"/>
      <c r="U41" s="566"/>
      <c r="V41" s="566"/>
      <c r="W41" s="566"/>
      <c r="X41" s="566"/>
      <c r="Y41" s="566"/>
      <c r="Z41" s="566"/>
      <c r="AA41" s="566"/>
      <c r="AB41" s="566"/>
      <c r="AC41" s="566"/>
      <c r="AD41" s="566"/>
      <c r="AE41" s="566"/>
      <c r="AF41" s="566"/>
      <c r="AG41" s="566"/>
      <c r="AH41" s="566"/>
      <c r="AI41" s="566"/>
      <c r="AJ41" s="566"/>
      <c r="AK41" s="566"/>
      <c r="AL41" s="566"/>
      <c r="AM41" s="566"/>
      <c r="AN41" s="566"/>
      <c r="AO41" s="566"/>
    </row>
    <row r="42" spans="2:41" x14ac:dyDescent="0.15">
      <c r="B42" s="567">
        <v>-2</v>
      </c>
      <c r="C42" s="566">
        <v>0.18424657534246575</v>
      </c>
      <c r="D42" s="566">
        <v>0.19337899543378995</v>
      </c>
      <c r="E42" s="566">
        <v>0.27728310502283104</v>
      </c>
      <c r="F42" s="566">
        <v>0.37648401826484018</v>
      </c>
      <c r="G42" s="566"/>
      <c r="H42" s="566"/>
      <c r="I42" s="566"/>
      <c r="J42" s="566"/>
      <c r="K42" s="566"/>
      <c r="L42" s="566"/>
      <c r="M42" s="566"/>
      <c r="N42" s="566"/>
      <c r="O42" s="566"/>
      <c r="P42" s="566"/>
      <c r="Q42" s="566"/>
      <c r="R42" s="566"/>
      <c r="S42" s="566"/>
      <c r="T42" s="566"/>
      <c r="U42" s="566"/>
      <c r="V42" s="566"/>
      <c r="W42" s="566"/>
      <c r="X42" s="566"/>
      <c r="Y42" s="566"/>
      <c r="Z42" s="566"/>
      <c r="AA42" s="566"/>
      <c r="AB42" s="566"/>
      <c r="AC42" s="566"/>
      <c r="AD42" s="566"/>
      <c r="AE42" s="566"/>
      <c r="AF42" s="566"/>
      <c r="AG42" s="566"/>
      <c r="AH42" s="566"/>
      <c r="AI42" s="566"/>
      <c r="AJ42" s="566"/>
      <c r="AK42" s="566"/>
      <c r="AL42" s="566"/>
      <c r="AM42" s="566"/>
      <c r="AN42" s="566"/>
      <c r="AO42" s="566"/>
    </row>
    <row r="43" spans="2:41" x14ac:dyDescent="0.15">
      <c r="B43" s="567">
        <v>-1</v>
      </c>
      <c r="C43" s="566">
        <v>0.20924657534246574</v>
      </c>
      <c r="D43" s="566">
        <v>0.22340182648401827</v>
      </c>
      <c r="E43" s="566">
        <v>0.31210045662100455</v>
      </c>
      <c r="F43" s="566">
        <v>0.41678082191780824</v>
      </c>
      <c r="G43" s="566"/>
      <c r="H43" s="566"/>
      <c r="I43" s="566"/>
      <c r="J43" s="566"/>
      <c r="K43" s="566"/>
      <c r="L43" s="566"/>
      <c r="M43" s="566"/>
      <c r="N43" s="566"/>
      <c r="O43" s="566"/>
      <c r="P43" s="566"/>
      <c r="Q43" s="566"/>
      <c r="R43" s="566"/>
      <c r="S43" s="566"/>
      <c r="T43" s="566"/>
      <c r="U43" s="566"/>
      <c r="V43" s="566"/>
      <c r="W43" s="566"/>
      <c r="X43" s="566"/>
      <c r="Y43" s="566"/>
      <c r="Z43" s="566"/>
      <c r="AA43" s="566"/>
      <c r="AB43" s="566"/>
      <c r="AC43" s="566"/>
      <c r="AD43" s="566"/>
      <c r="AE43" s="566"/>
      <c r="AF43" s="566"/>
      <c r="AG43" s="566"/>
      <c r="AH43" s="566"/>
      <c r="AI43" s="566"/>
      <c r="AJ43" s="566"/>
      <c r="AK43" s="566"/>
      <c r="AL43" s="566"/>
      <c r="AM43" s="566"/>
      <c r="AN43" s="566"/>
      <c r="AO43" s="566"/>
    </row>
    <row r="44" spans="2:41" x14ac:dyDescent="0.15">
      <c r="B44" s="567">
        <v>0</v>
      </c>
      <c r="C44" s="566">
        <v>0.24920091324200913</v>
      </c>
      <c r="D44" s="566">
        <v>0.27089041095890409</v>
      </c>
      <c r="E44" s="566">
        <v>0.36792237442922376</v>
      </c>
      <c r="F44" s="566">
        <v>0.46027397260273972</v>
      </c>
      <c r="G44" s="566"/>
      <c r="H44" s="566"/>
      <c r="I44" s="566"/>
      <c r="J44" s="566"/>
      <c r="K44" s="566"/>
      <c r="L44" s="566"/>
      <c r="M44" s="566"/>
      <c r="N44" s="566"/>
      <c r="O44" s="566"/>
      <c r="P44" s="566"/>
      <c r="Q44" s="566"/>
      <c r="R44" s="566"/>
      <c r="S44" s="566"/>
      <c r="T44" s="566"/>
      <c r="U44" s="566"/>
      <c r="V44" s="566"/>
      <c r="W44" s="566"/>
      <c r="X44" s="566"/>
      <c r="Y44" s="566"/>
      <c r="Z44" s="566"/>
      <c r="AA44" s="566"/>
      <c r="AB44" s="566"/>
      <c r="AC44" s="566"/>
      <c r="AD44" s="566"/>
      <c r="AE44" s="566"/>
      <c r="AF44" s="566"/>
      <c r="AG44" s="566"/>
      <c r="AH44" s="566"/>
      <c r="AI44" s="566"/>
      <c r="AJ44" s="566"/>
      <c r="AK44" s="566"/>
      <c r="AL44" s="566"/>
      <c r="AM44" s="566"/>
      <c r="AN44" s="566"/>
      <c r="AO44" s="566"/>
    </row>
    <row r="45" spans="2:41" x14ac:dyDescent="0.15">
      <c r="B45" s="567">
        <v>1</v>
      </c>
      <c r="C45" s="566">
        <v>0.30993150684931509</v>
      </c>
      <c r="D45" s="566">
        <v>0.3422374429223744</v>
      </c>
      <c r="E45" s="566">
        <v>0.41004566210045662</v>
      </c>
      <c r="F45" s="566">
        <v>0.51118721461187211</v>
      </c>
      <c r="G45" s="566"/>
      <c r="H45" s="566"/>
      <c r="I45" s="566"/>
      <c r="J45" s="566"/>
      <c r="K45" s="566"/>
      <c r="L45" s="566"/>
      <c r="M45" s="566"/>
      <c r="N45" s="566"/>
      <c r="O45" s="566"/>
      <c r="P45" s="566"/>
      <c r="Q45" s="566"/>
      <c r="R45" s="566"/>
      <c r="S45" s="566"/>
      <c r="T45" s="566"/>
      <c r="U45" s="566"/>
      <c r="V45" s="566"/>
      <c r="W45" s="566"/>
      <c r="X45" s="566"/>
      <c r="Y45" s="566"/>
      <c r="Z45" s="566"/>
      <c r="AA45" s="566"/>
      <c r="AB45" s="566"/>
      <c r="AC45" s="566"/>
      <c r="AD45" s="566"/>
      <c r="AE45" s="566"/>
      <c r="AF45" s="566"/>
      <c r="AG45" s="566"/>
      <c r="AH45" s="566"/>
      <c r="AI45" s="566"/>
      <c r="AJ45" s="566"/>
      <c r="AK45" s="566"/>
      <c r="AL45" s="566"/>
      <c r="AM45" s="566"/>
      <c r="AN45" s="566"/>
      <c r="AO45" s="566"/>
    </row>
    <row r="46" spans="2:41" x14ac:dyDescent="0.15">
      <c r="B46" s="567">
        <v>2</v>
      </c>
      <c r="C46" s="566">
        <v>0.36917808219178083</v>
      </c>
      <c r="D46" s="566">
        <v>0.40136986301369865</v>
      </c>
      <c r="E46" s="566">
        <v>0.45171232876712331</v>
      </c>
      <c r="F46" s="566">
        <v>0.54372146118721465</v>
      </c>
      <c r="G46" s="566"/>
      <c r="H46" s="566"/>
      <c r="I46" s="566"/>
      <c r="J46" s="566"/>
      <c r="K46" s="566"/>
      <c r="L46" s="566"/>
      <c r="M46" s="566"/>
      <c r="N46" s="566"/>
      <c r="O46" s="566"/>
      <c r="P46" s="566"/>
      <c r="Q46" s="566"/>
      <c r="R46" s="566"/>
      <c r="S46" s="566"/>
      <c r="T46" s="566"/>
      <c r="U46" s="566"/>
      <c r="V46" s="566"/>
      <c r="W46" s="566"/>
      <c r="X46" s="566"/>
      <c r="Y46" s="566"/>
      <c r="Z46" s="566"/>
      <c r="AA46" s="566"/>
      <c r="AB46" s="566"/>
      <c r="AC46" s="566"/>
      <c r="AD46" s="566"/>
      <c r="AE46" s="566"/>
      <c r="AF46" s="566"/>
      <c r="AG46" s="566"/>
      <c r="AH46" s="566"/>
      <c r="AI46" s="566"/>
      <c r="AJ46" s="566"/>
      <c r="AK46" s="566"/>
      <c r="AL46" s="566"/>
      <c r="AM46" s="566"/>
      <c r="AN46" s="566"/>
      <c r="AO46" s="566"/>
    </row>
    <row r="47" spans="2:41" x14ac:dyDescent="0.15">
      <c r="B47" s="567">
        <v>3</v>
      </c>
      <c r="C47" s="566">
        <v>0.41598173515981735</v>
      </c>
      <c r="D47" s="566">
        <v>0.44018264840182647</v>
      </c>
      <c r="E47" s="566">
        <v>0.48652968036529681</v>
      </c>
      <c r="F47" s="566">
        <v>0.57363013698630139</v>
      </c>
      <c r="G47" s="566"/>
      <c r="H47" s="566"/>
      <c r="I47" s="566"/>
      <c r="J47" s="566"/>
      <c r="K47" s="566"/>
      <c r="L47" s="566"/>
      <c r="M47" s="566"/>
      <c r="N47" s="566"/>
      <c r="O47" s="566"/>
      <c r="P47" s="566"/>
      <c r="Q47" s="566"/>
      <c r="R47" s="566"/>
      <c r="S47" s="566"/>
      <c r="T47" s="566"/>
      <c r="U47" s="566"/>
      <c r="V47" s="566"/>
      <c r="W47" s="566"/>
      <c r="X47" s="566"/>
      <c r="Y47" s="566"/>
      <c r="Z47" s="566"/>
      <c r="AA47" s="566"/>
      <c r="AB47" s="566"/>
      <c r="AC47" s="566"/>
      <c r="AD47" s="566"/>
      <c r="AE47" s="566"/>
      <c r="AF47" s="566"/>
      <c r="AG47" s="566"/>
      <c r="AH47" s="566"/>
      <c r="AI47" s="566"/>
      <c r="AJ47" s="566"/>
      <c r="AK47" s="566"/>
      <c r="AL47" s="566"/>
      <c r="AM47" s="566"/>
      <c r="AN47" s="566"/>
      <c r="AO47" s="566"/>
    </row>
    <row r="48" spans="2:41" x14ac:dyDescent="0.15">
      <c r="B48" s="567">
        <v>4</v>
      </c>
      <c r="C48" s="566">
        <v>0.45079908675799085</v>
      </c>
      <c r="D48" s="566">
        <v>0.4771689497716895</v>
      </c>
      <c r="E48" s="566">
        <v>0.51837899543378996</v>
      </c>
      <c r="F48" s="566">
        <v>0.61015981735159819</v>
      </c>
      <c r="G48" s="566"/>
      <c r="H48" s="566"/>
      <c r="I48" s="566"/>
      <c r="J48" s="566"/>
      <c r="K48" s="566"/>
      <c r="L48" s="566"/>
      <c r="M48" s="566"/>
      <c r="N48" s="566"/>
      <c r="O48" s="566"/>
      <c r="P48" s="566"/>
      <c r="Q48" s="566"/>
      <c r="R48" s="566"/>
      <c r="S48" s="566"/>
      <c r="T48" s="566"/>
      <c r="U48" s="566"/>
      <c r="V48" s="566"/>
      <c r="W48" s="566"/>
      <c r="X48" s="566"/>
      <c r="Y48" s="566"/>
      <c r="Z48" s="566"/>
      <c r="AA48" s="566"/>
      <c r="AB48" s="566"/>
      <c r="AC48" s="566"/>
      <c r="AD48" s="566"/>
      <c r="AE48" s="566"/>
      <c r="AF48" s="566"/>
      <c r="AG48" s="566"/>
      <c r="AH48" s="566"/>
      <c r="AI48" s="566"/>
      <c r="AJ48" s="566"/>
      <c r="AK48" s="566"/>
      <c r="AL48" s="566"/>
      <c r="AM48" s="566"/>
      <c r="AN48" s="566"/>
      <c r="AO48" s="566"/>
    </row>
    <row r="49" spans="2:41" x14ac:dyDescent="0.15">
      <c r="B49" s="567">
        <v>5</v>
      </c>
      <c r="C49" s="566">
        <v>0.48413242009132418</v>
      </c>
      <c r="D49" s="566">
        <v>0.50776255707762552</v>
      </c>
      <c r="E49" s="566">
        <v>0.54885844748858448</v>
      </c>
      <c r="F49" s="566">
        <v>0.63641552511415522</v>
      </c>
      <c r="G49" s="566"/>
      <c r="H49" s="566"/>
      <c r="I49" s="566"/>
      <c r="J49" s="566"/>
      <c r="K49" s="566"/>
      <c r="L49" s="566"/>
      <c r="M49" s="566"/>
      <c r="N49" s="566"/>
      <c r="O49" s="566"/>
      <c r="P49" s="566"/>
      <c r="Q49" s="566"/>
      <c r="R49" s="566"/>
      <c r="S49" s="566"/>
      <c r="T49" s="566"/>
      <c r="U49" s="566"/>
      <c r="V49" s="566"/>
      <c r="W49" s="566"/>
      <c r="X49" s="566"/>
      <c r="Y49" s="566"/>
      <c r="Z49" s="566"/>
      <c r="AA49" s="566"/>
      <c r="AB49" s="566"/>
      <c r="AC49" s="566"/>
      <c r="AD49" s="566"/>
      <c r="AE49" s="566"/>
      <c r="AF49" s="566"/>
      <c r="AG49" s="566"/>
      <c r="AH49" s="566"/>
      <c r="AI49" s="566"/>
      <c r="AJ49" s="566"/>
      <c r="AK49" s="566"/>
      <c r="AL49" s="566"/>
      <c r="AM49" s="566"/>
      <c r="AN49" s="566"/>
      <c r="AO49" s="566"/>
    </row>
    <row r="50" spans="2:41" x14ac:dyDescent="0.15">
      <c r="B50" s="567">
        <v>6</v>
      </c>
      <c r="C50" s="566">
        <v>0.51586757990867582</v>
      </c>
      <c r="D50" s="566">
        <v>0.54166666666666663</v>
      </c>
      <c r="E50" s="566">
        <v>0.58139269406392691</v>
      </c>
      <c r="F50" s="566">
        <v>0.66415525114155249</v>
      </c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66"/>
    </row>
    <row r="51" spans="2:41" x14ac:dyDescent="0.15">
      <c r="B51" s="567">
        <v>7</v>
      </c>
      <c r="C51" s="566">
        <v>0.55331050228310508</v>
      </c>
      <c r="D51" s="566">
        <v>0.58744292237442919</v>
      </c>
      <c r="E51" s="566">
        <v>0.60719178082191783</v>
      </c>
      <c r="F51" s="566">
        <v>0.6905251141552512</v>
      </c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66"/>
    </row>
    <row r="52" spans="2:41" x14ac:dyDescent="0.15">
      <c r="B52" s="567">
        <v>8</v>
      </c>
      <c r="C52" s="566">
        <v>0.58984018264840188</v>
      </c>
      <c r="D52" s="566">
        <v>0.62123287671232874</v>
      </c>
      <c r="E52" s="566">
        <v>0.63162100456621006</v>
      </c>
      <c r="F52" s="566">
        <v>0.71872146118721458</v>
      </c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  <c r="R52" s="566"/>
      <c r="S52" s="566"/>
      <c r="T52" s="566"/>
      <c r="U52" s="566"/>
      <c r="V52" s="566"/>
      <c r="W52" s="566"/>
      <c r="X52" s="566"/>
      <c r="Y52" s="566"/>
      <c r="Z52" s="566"/>
      <c r="AA52" s="566"/>
      <c r="AB52" s="566"/>
      <c r="AC52" s="566"/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66"/>
    </row>
    <row r="53" spans="2:41" x14ac:dyDescent="0.15">
      <c r="B53" s="567">
        <v>9</v>
      </c>
      <c r="C53" s="566">
        <v>0.61746575342465748</v>
      </c>
      <c r="D53" s="566">
        <v>0.65399543378995428</v>
      </c>
      <c r="E53" s="566">
        <v>0.6623287671232877</v>
      </c>
      <c r="F53" s="566">
        <v>0.74885844748858443</v>
      </c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66"/>
    </row>
    <row r="54" spans="2:41" x14ac:dyDescent="0.15">
      <c r="B54" s="567">
        <v>10</v>
      </c>
      <c r="C54" s="566">
        <v>0.64394977168949774</v>
      </c>
      <c r="D54" s="566">
        <v>0.68835616438356162</v>
      </c>
      <c r="E54" s="566">
        <v>0.69623287671232881</v>
      </c>
      <c r="F54" s="566">
        <v>0.78527397260273968</v>
      </c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566"/>
      <c r="W54" s="566"/>
      <c r="X54" s="566"/>
      <c r="Y54" s="566"/>
      <c r="Z54" s="566"/>
      <c r="AA54" s="566"/>
      <c r="AB54" s="566"/>
      <c r="AC54" s="566"/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66"/>
    </row>
    <row r="55" spans="2:41" x14ac:dyDescent="0.15">
      <c r="B55" s="567">
        <v>11</v>
      </c>
      <c r="C55" s="566">
        <v>0.67625570776255706</v>
      </c>
      <c r="D55" s="566">
        <v>0.72168949771689495</v>
      </c>
      <c r="E55" s="566">
        <v>0.73105022831050226</v>
      </c>
      <c r="F55" s="566">
        <v>0.82283105022831049</v>
      </c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  <c r="Y55" s="566"/>
      <c r="Z55" s="566"/>
      <c r="AA55" s="566"/>
      <c r="AB55" s="566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66"/>
    </row>
    <row r="56" spans="2:41" x14ac:dyDescent="0.15">
      <c r="B56" s="567">
        <v>12</v>
      </c>
      <c r="C56" s="566">
        <v>0.71415525114155254</v>
      </c>
      <c r="D56" s="566">
        <v>0.75296803652968036</v>
      </c>
      <c r="E56" s="566">
        <v>0.76780821917808217</v>
      </c>
      <c r="F56" s="566">
        <v>0.85114155251141554</v>
      </c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566"/>
      <c r="R56" s="566"/>
      <c r="S56" s="566"/>
      <c r="T56" s="566"/>
      <c r="U56" s="566"/>
      <c r="V56" s="566"/>
      <c r="W56" s="566"/>
      <c r="X56" s="566"/>
      <c r="Y56" s="566"/>
      <c r="Z56" s="566"/>
      <c r="AA56" s="566"/>
      <c r="AB56" s="566"/>
      <c r="AC56" s="566"/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66"/>
    </row>
    <row r="57" spans="2:41" x14ac:dyDescent="0.15">
      <c r="B57" s="567">
        <v>13</v>
      </c>
      <c r="C57" s="566">
        <v>0.75433789954337904</v>
      </c>
      <c r="D57" s="566">
        <v>0.78493150684931512</v>
      </c>
      <c r="E57" s="566">
        <v>0.80593607305936077</v>
      </c>
      <c r="F57" s="566">
        <v>0.87602739726027401</v>
      </c>
      <c r="G57" s="566"/>
      <c r="H57" s="566"/>
      <c r="I57" s="566"/>
      <c r="J57" s="566"/>
      <c r="K57" s="566"/>
      <c r="L57" s="566"/>
      <c r="M57" s="566"/>
      <c r="N57" s="566"/>
      <c r="O57" s="566"/>
      <c r="P57" s="566"/>
      <c r="Q57" s="566"/>
      <c r="R57" s="566"/>
      <c r="S57" s="566"/>
      <c r="T57" s="566"/>
      <c r="U57" s="566"/>
      <c r="V57" s="566"/>
      <c r="W57" s="566"/>
      <c r="X57" s="566"/>
      <c r="Y57" s="566"/>
      <c r="Z57" s="566"/>
      <c r="AA57" s="566"/>
      <c r="AB57" s="566"/>
      <c r="AC57" s="566"/>
      <c r="AD57" s="566"/>
      <c r="AE57" s="566"/>
      <c r="AF57" s="566"/>
      <c r="AG57" s="566"/>
      <c r="AH57" s="566"/>
      <c r="AI57" s="566"/>
      <c r="AJ57" s="566"/>
      <c r="AK57" s="566"/>
      <c r="AL57" s="566"/>
      <c r="AM57" s="566"/>
      <c r="AN57" s="566"/>
      <c r="AO57" s="566"/>
    </row>
    <row r="58" spans="2:41" x14ac:dyDescent="0.15">
      <c r="B58" s="567">
        <v>14</v>
      </c>
      <c r="C58" s="566">
        <v>0.7873287671232877</v>
      </c>
      <c r="D58" s="566">
        <v>0.81974885844748857</v>
      </c>
      <c r="E58" s="566">
        <v>0.84509132420091326</v>
      </c>
      <c r="F58" s="566">
        <v>0.89577625570776254</v>
      </c>
      <c r="G58" s="566"/>
      <c r="H58" s="566"/>
      <c r="I58" s="566"/>
      <c r="J58" s="566"/>
      <c r="K58" s="566"/>
      <c r="L58" s="566"/>
      <c r="M58" s="566"/>
      <c r="N58" s="566"/>
      <c r="O58" s="566"/>
      <c r="P58" s="566"/>
      <c r="Q58" s="566"/>
      <c r="R58" s="566"/>
      <c r="S58" s="566"/>
      <c r="T58" s="566"/>
      <c r="U58" s="566"/>
      <c r="V58" s="566"/>
      <c r="W58" s="566"/>
      <c r="X58" s="566"/>
      <c r="Y58" s="566"/>
      <c r="Z58" s="566"/>
      <c r="AA58" s="566"/>
      <c r="AB58" s="566"/>
      <c r="AC58" s="566"/>
      <c r="AD58" s="566"/>
      <c r="AE58" s="566"/>
      <c r="AF58" s="566"/>
      <c r="AG58" s="566"/>
      <c r="AH58" s="566"/>
      <c r="AI58" s="566"/>
      <c r="AJ58" s="566"/>
      <c r="AK58" s="566"/>
      <c r="AL58" s="566"/>
      <c r="AM58" s="566"/>
      <c r="AN58" s="566"/>
      <c r="AO58" s="566"/>
    </row>
    <row r="59" spans="2:41" x14ac:dyDescent="0.15">
      <c r="B59" s="567">
        <v>15</v>
      </c>
      <c r="C59" s="566">
        <v>0.82625570776255708</v>
      </c>
      <c r="D59" s="566">
        <v>0.85468036529680369</v>
      </c>
      <c r="E59" s="566">
        <v>0.87568493150684934</v>
      </c>
      <c r="F59" s="566">
        <v>0.91803652968036531</v>
      </c>
      <c r="G59" s="566"/>
      <c r="H59" s="566"/>
      <c r="I59" s="566"/>
      <c r="J59" s="566"/>
      <c r="K59" s="566"/>
      <c r="L59" s="566"/>
      <c r="M59" s="566"/>
      <c r="N59" s="566"/>
      <c r="O59" s="566"/>
      <c r="P59" s="566"/>
      <c r="Q59" s="566"/>
      <c r="R59" s="566"/>
      <c r="S59" s="566"/>
      <c r="T59" s="566"/>
      <c r="U59" s="566"/>
      <c r="V59" s="566"/>
      <c r="W59" s="566"/>
      <c r="X59" s="566"/>
      <c r="Y59" s="566"/>
      <c r="Z59" s="566"/>
      <c r="AA59" s="566"/>
      <c r="AB59" s="566"/>
      <c r="AC59" s="566"/>
      <c r="AD59" s="566"/>
      <c r="AE59" s="566"/>
      <c r="AF59" s="566"/>
      <c r="AG59" s="566"/>
      <c r="AH59" s="566"/>
      <c r="AI59" s="566"/>
      <c r="AJ59" s="566"/>
      <c r="AK59" s="566"/>
      <c r="AL59" s="566"/>
      <c r="AM59" s="566"/>
      <c r="AN59" s="566"/>
      <c r="AO59" s="566"/>
    </row>
    <row r="60" spans="2:41" x14ac:dyDescent="0.15">
      <c r="B60" s="567">
        <v>16</v>
      </c>
      <c r="C60" s="566">
        <v>0.86187214611872143</v>
      </c>
      <c r="D60" s="566">
        <v>0.88059360730593605</v>
      </c>
      <c r="E60" s="566">
        <v>0.89908675799086757</v>
      </c>
      <c r="F60" s="566">
        <v>0.93550228310502281</v>
      </c>
      <c r="G60" s="566"/>
      <c r="H60" s="566"/>
      <c r="I60" s="566"/>
      <c r="J60" s="566"/>
      <c r="K60" s="566"/>
      <c r="L60" s="566"/>
      <c r="M60" s="566"/>
      <c r="N60" s="566"/>
      <c r="O60" s="566"/>
      <c r="P60" s="566"/>
      <c r="Q60" s="566"/>
      <c r="R60" s="566"/>
      <c r="S60" s="566"/>
      <c r="T60" s="566"/>
      <c r="U60" s="566"/>
      <c r="V60" s="566"/>
      <c r="W60" s="566"/>
      <c r="X60" s="566"/>
      <c r="Y60" s="566"/>
      <c r="Z60" s="566"/>
      <c r="AA60" s="566"/>
      <c r="AB60" s="566"/>
      <c r="AC60" s="566"/>
      <c r="AD60" s="566"/>
      <c r="AE60" s="566"/>
      <c r="AF60" s="566"/>
      <c r="AG60" s="566"/>
      <c r="AH60" s="566"/>
      <c r="AI60" s="566"/>
      <c r="AJ60" s="566"/>
      <c r="AK60" s="566"/>
      <c r="AL60" s="566"/>
      <c r="AM60" s="566"/>
      <c r="AN60" s="566"/>
      <c r="AO60" s="566"/>
    </row>
    <row r="61" spans="2:41" x14ac:dyDescent="0.15">
      <c r="B61" s="567">
        <v>17</v>
      </c>
      <c r="C61" s="566">
        <v>0.88995433789954337</v>
      </c>
      <c r="D61" s="566">
        <v>0.90388127853881284</v>
      </c>
      <c r="E61" s="566">
        <v>0.92100456621004567</v>
      </c>
      <c r="F61" s="566">
        <v>0.95273972602739732</v>
      </c>
      <c r="G61" s="566"/>
      <c r="H61" s="566"/>
      <c r="I61" s="566"/>
      <c r="J61" s="566"/>
      <c r="K61" s="566"/>
      <c r="L61" s="566"/>
      <c r="M61" s="566"/>
      <c r="N61" s="566"/>
      <c r="O61" s="566"/>
      <c r="P61" s="566"/>
      <c r="Q61" s="566"/>
      <c r="R61" s="566"/>
      <c r="S61" s="566"/>
      <c r="T61" s="566"/>
      <c r="U61" s="566"/>
      <c r="V61" s="566"/>
      <c r="W61" s="566"/>
      <c r="X61" s="566"/>
      <c r="Y61" s="566"/>
      <c r="Z61" s="566"/>
      <c r="AA61" s="566"/>
      <c r="AB61" s="566"/>
      <c r="AC61" s="566"/>
      <c r="AD61" s="566"/>
      <c r="AE61" s="566"/>
      <c r="AF61" s="566"/>
      <c r="AG61" s="566"/>
      <c r="AH61" s="566"/>
      <c r="AI61" s="566"/>
      <c r="AJ61" s="566"/>
      <c r="AK61" s="566"/>
      <c r="AL61" s="566"/>
      <c r="AM61" s="566"/>
      <c r="AN61" s="566"/>
      <c r="AO61" s="566"/>
    </row>
    <row r="62" spans="2:41" x14ac:dyDescent="0.15">
      <c r="B62" s="567">
        <v>18</v>
      </c>
      <c r="C62" s="566">
        <v>0.91358447488584471</v>
      </c>
      <c r="D62" s="566">
        <v>0.92260273972602735</v>
      </c>
      <c r="E62" s="566">
        <v>0.9389269406392694</v>
      </c>
      <c r="F62" s="566">
        <v>0.9671232876712329</v>
      </c>
      <c r="G62" s="566"/>
      <c r="H62" s="566"/>
      <c r="I62" s="566"/>
      <c r="J62" s="566"/>
      <c r="K62" s="566"/>
      <c r="L62" s="566"/>
      <c r="M62" s="566"/>
      <c r="N62" s="566"/>
      <c r="O62" s="566"/>
      <c r="P62" s="566"/>
      <c r="Q62" s="566"/>
      <c r="R62" s="566"/>
      <c r="S62" s="566"/>
      <c r="T62" s="566"/>
      <c r="U62" s="566"/>
      <c r="V62" s="566"/>
      <c r="W62" s="566"/>
      <c r="X62" s="566"/>
      <c r="Y62" s="566"/>
      <c r="Z62" s="566"/>
      <c r="AA62" s="566"/>
      <c r="AB62" s="566"/>
      <c r="AC62" s="566"/>
      <c r="AD62" s="566"/>
      <c r="AE62" s="566"/>
      <c r="AF62" s="566"/>
      <c r="AG62" s="566"/>
      <c r="AH62" s="566"/>
      <c r="AI62" s="566"/>
      <c r="AJ62" s="566"/>
      <c r="AK62" s="566"/>
      <c r="AL62" s="566"/>
      <c r="AM62" s="566"/>
      <c r="AN62" s="566"/>
      <c r="AO62" s="566"/>
    </row>
    <row r="63" spans="2:41" x14ac:dyDescent="0.15">
      <c r="B63" s="567">
        <v>19</v>
      </c>
      <c r="C63" s="566">
        <v>0.93219178082191778</v>
      </c>
      <c r="D63" s="566">
        <v>0.93835616438356162</v>
      </c>
      <c r="E63" s="566">
        <v>0.95490867579908678</v>
      </c>
      <c r="F63" s="566">
        <v>0.97602739726027399</v>
      </c>
      <c r="G63" s="566"/>
      <c r="H63" s="566"/>
      <c r="I63" s="566"/>
      <c r="J63" s="566"/>
      <c r="K63" s="566"/>
      <c r="L63" s="566"/>
      <c r="M63" s="566"/>
      <c r="N63" s="566"/>
      <c r="O63" s="566"/>
      <c r="P63" s="566"/>
      <c r="Q63" s="566"/>
      <c r="R63" s="566"/>
      <c r="S63" s="566"/>
      <c r="T63" s="566"/>
      <c r="U63" s="566"/>
      <c r="V63" s="566"/>
      <c r="W63" s="566"/>
      <c r="X63" s="566"/>
      <c r="Y63" s="566"/>
      <c r="Z63" s="566"/>
      <c r="AA63" s="566"/>
      <c r="AB63" s="566"/>
      <c r="AC63" s="566"/>
      <c r="AD63" s="566"/>
      <c r="AE63" s="566"/>
      <c r="AF63" s="566"/>
      <c r="AG63" s="566"/>
      <c r="AH63" s="566"/>
      <c r="AI63" s="566"/>
      <c r="AJ63" s="566"/>
      <c r="AK63" s="566"/>
      <c r="AL63" s="566"/>
      <c r="AM63" s="566"/>
      <c r="AN63" s="566"/>
      <c r="AO63" s="566"/>
    </row>
    <row r="64" spans="2:41" x14ac:dyDescent="0.15">
      <c r="B64" s="567">
        <v>20</v>
      </c>
      <c r="C64" s="566">
        <v>0.94783105022831049</v>
      </c>
      <c r="D64" s="566">
        <v>0.95490867579908678</v>
      </c>
      <c r="E64" s="566">
        <v>0.96700913242009134</v>
      </c>
      <c r="F64" s="566">
        <v>0.98264840182648405</v>
      </c>
      <c r="G64" s="566"/>
      <c r="H64" s="566"/>
      <c r="I64" s="566"/>
      <c r="J64" s="566"/>
      <c r="K64" s="566"/>
      <c r="L64" s="566"/>
      <c r="M64" s="566"/>
      <c r="N64" s="566"/>
      <c r="O64" s="566"/>
      <c r="P64" s="566"/>
      <c r="Q64" s="566"/>
      <c r="R64" s="566"/>
      <c r="S64" s="566"/>
      <c r="T64" s="566"/>
      <c r="U64" s="566"/>
      <c r="V64" s="566"/>
      <c r="W64" s="566"/>
      <c r="X64" s="566"/>
      <c r="Y64" s="566"/>
      <c r="Z64" s="566"/>
      <c r="AA64" s="566"/>
      <c r="AB64" s="566"/>
      <c r="AC64" s="566"/>
      <c r="AD64" s="566"/>
      <c r="AE64" s="566"/>
      <c r="AF64" s="566"/>
      <c r="AG64" s="566"/>
      <c r="AH64" s="566"/>
      <c r="AI64" s="566"/>
      <c r="AJ64" s="566"/>
      <c r="AK64" s="566"/>
      <c r="AL64" s="566"/>
      <c r="AM64" s="566"/>
      <c r="AN64" s="566"/>
      <c r="AO64" s="566"/>
    </row>
    <row r="65" spans="2:41" x14ac:dyDescent="0.15">
      <c r="B65" s="567">
        <v>21</v>
      </c>
      <c r="C65" s="566">
        <v>0.96324200913242009</v>
      </c>
      <c r="D65" s="566">
        <v>0.96757990867579913</v>
      </c>
      <c r="E65" s="566">
        <v>0.9780821917808219</v>
      </c>
      <c r="F65" s="566">
        <v>0.98789954337899544</v>
      </c>
      <c r="G65" s="566"/>
      <c r="H65" s="566"/>
      <c r="I65" s="566"/>
      <c r="J65" s="566"/>
      <c r="K65" s="566"/>
      <c r="L65" s="566"/>
      <c r="M65" s="566"/>
      <c r="N65" s="566"/>
      <c r="O65" s="566"/>
      <c r="P65" s="566"/>
      <c r="Q65" s="566"/>
      <c r="R65" s="566"/>
      <c r="S65" s="566"/>
      <c r="T65" s="566"/>
      <c r="U65" s="566"/>
      <c r="V65" s="566"/>
      <c r="W65" s="566"/>
      <c r="X65" s="566"/>
      <c r="Y65" s="566"/>
      <c r="Z65" s="566"/>
      <c r="AA65" s="566"/>
      <c r="AB65" s="566"/>
      <c r="AC65" s="566"/>
      <c r="AD65" s="566"/>
      <c r="AE65" s="566"/>
      <c r="AF65" s="566"/>
      <c r="AG65" s="566"/>
      <c r="AH65" s="566"/>
      <c r="AI65" s="566"/>
      <c r="AJ65" s="566"/>
      <c r="AK65" s="566"/>
      <c r="AL65" s="566"/>
      <c r="AM65" s="566"/>
      <c r="AN65" s="566"/>
      <c r="AO65" s="566"/>
    </row>
    <row r="66" spans="2:41" x14ac:dyDescent="0.15">
      <c r="B66" s="567">
        <v>22</v>
      </c>
      <c r="C66" s="566">
        <v>0.97283105022831051</v>
      </c>
      <c r="D66" s="566">
        <v>0.97751141552511411</v>
      </c>
      <c r="E66" s="566">
        <v>0.98652968036529676</v>
      </c>
      <c r="F66" s="566">
        <v>0.9916666666666667</v>
      </c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566"/>
      <c r="R66" s="566"/>
      <c r="S66" s="566"/>
      <c r="T66" s="566"/>
      <c r="U66" s="566"/>
      <c r="V66" s="566"/>
      <c r="W66" s="566"/>
      <c r="X66" s="566"/>
      <c r="Y66" s="566"/>
      <c r="Z66" s="566"/>
      <c r="AA66" s="566"/>
      <c r="AB66" s="566"/>
      <c r="AC66" s="566"/>
      <c r="AD66" s="566"/>
      <c r="AE66" s="566"/>
      <c r="AF66" s="566"/>
      <c r="AG66" s="566"/>
      <c r="AH66" s="566"/>
      <c r="AI66" s="566"/>
      <c r="AJ66" s="566"/>
      <c r="AK66" s="566"/>
      <c r="AL66" s="566"/>
      <c r="AM66" s="566"/>
      <c r="AN66" s="566"/>
      <c r="AO66" s="566"/>
    </row>
    <row r="67" spans="2:41" x14ac:dyDescent="0.15">
      <c r="B67" s="567">
        <v>23</v>
      </c>
      <c r="C67" s="566">
        <v>0.98082191780821915</v>
      </c>
      <c r="D67" s="566">
        <v>0.9853881278538813</v>
      </c>
      <c r="E67" s="566">
        <v>0.99303652968036527</v>
      </c>
      <c r="F67" s="566">
        <v>0.99497716894977173</v>
      </c>
      <c r="G67" s="566"/>
      <c r="H67" s="566"/>
      <c r="I67" s="566"/>
      <c r="J67" s="566"/>
      <c r="K67" s="566"/>
      <c r="L67" s="566"/>
      <c r="M67" s="566"/>
      <c r="N67" s="566"/>
      <c r="O67" s="566"/>
      <c r="P67" s="566"/>
      <c r="Q67" s="566"/>
      <c r="R67" s="566"/>
      <c r="S67" s="566"/>
      <c r="T67" s="566"/>
      <c r="U67" s="566"/>
      <c r="V67" s="566"/>
      <c r="W67" s="566"/>
      <c r="X67" s="566"/>
      <c r="Y67" s="566"/>
      <c r="Z67" s="566"/>
      <c r="AA67" s="566"/>
      <c r="AB67" s="566"/>
      <c r="AC67" s="566"/>
      <c r="AD67" s="566"/>
      <c r="AE67" s="566"/>
      <c r="AF67" s="566"/>
      <c r="AG67" s="566"/>
      <c r="AH67" s="566"/>
      <c r="AI67" s="566"/>
      <c r="AJ67" s="566"/>
      <c r="AK67" s="566"/>
      <c r="AL67" s="566"/>
      <c r="AM67" s="566"/>
      <c r="AN67" s="566"/>
      <c r="AO67" s="566"/>
    </row>
    <row r="68" spans="2:41" x14ac:dyDescent="0.15">
      <c r="B68" s="567">
        <v>24</v>
      </c>
      <c r="C68" s="566">
        <v>0.98550228310502286</v>
      </c>
      <c r="D68" s="566">
        <v>0.99098173515981736</v>
      </c>
      <c r="E68" s="566">
        <v>0.99760273972602742</v>
      </c>
      <c r="F68" s="566">
        <v>0.99748858447488586</v>
      </c>
      <c r="G68" s="566"/>
      <c r="H68" s="566"/>
      <c r="I68" s="566"/>
      <c r="J68" s="566"/>
      <c r="K68" s="566"/>
      <c r="L68" s="566"/>
      <c r="M68" s="566"/>
      <c r="N68" s="566"/>
      <c r="O68" s="566"/>
      <c r="P68" s="566"/>
      <c r="Q68" s="566"/>
      <c r="R68" s="566"/>
      <c r="S68" s="566"/>
      <c r="T68" s="566"/>
      <c r="U68" s="566"/>
      <c r="V68" s="566"/>
      <c r="W68" s="566"/>
      <c r="X68" s="566"/>
      <c r="Y68" s="566"/>
      <c r="Z68" s="566"/>
      <c r="AA68" s="566"/>
      <c r="AB68" s="566"/>
      <c r="AC68" s="566"/>
      <c r="AD68" s="566"/>
      <c r="AE68" s="566"/>
      <c r="AF68" s="566"/>
      <c r="AG68" s="566"/>
      <c r="AH68" s="566"/>
      <c r="AI68" s="566"/>
      <c r="AJ68" s="566"/>
      <c r="AK68" s="566"/>
      <c r="AL68" s="566"/>
      <c r="AM68" s="566"/>
      <c r="AN68" s="566"/>
      <c r="AO68" s="566"/>
    </row>
    <row r="69" spans="2:41" x14ac:dyDescent="0.15">
      <c r="B69" s="567">
        <v>25</v>
      </c>
      <c r="C69" s="566">
        <v>0.98949771689497712</v>
      </c>
      <c r="D69" s="566">
        <v>0.99520547945205484</v>
      </c>
      <c r="E69" s="566">
        <v>0.9992009132420091</v>
      </c>
      <c r="F69" s="566">
        <v>0.99851598173515976</v>
      </c>
      <c r="G69" s="566"/>
      <c r="H69" s="566"/>
      <c r="I69" s="566"/>
      <c r="J69" s="566"/>
      <c r="K69" s="566"/>
      <c r="L69" s="566"/>
      <c r="M69" s="566"/>
      <c r="N69" s="566"/>
      <c r="O69" s="566"/>
      <c r="P69" s="566"/>
      <c r="Q69" s="566"/>
      <c r="R69" s="566"/>
      <c r="S69" s="566"/>
      <c r="T69" s="566"/>
      <c r="U69" s="566"/>
      <c r="V69" s="566"/>
      <c r="W69" s="566"/>
      <c r="X69" s="566"/>
      <c r="Y69" s="566"/>
      <c r="Z69" s="566"/>
      <c r="AA69" s="566"/>
      <c r="AB69" s="566"/>
      <c r="AC69" s="566"/>
      <c r="AD69" s="566"/>
      <c r="AE69" s="566"/>
      <c r="AF69" s="566"/>
      <c r="AG69" s="566"/>
      <c r="AH69" s="566"/>
      <c r="AI69" s="566"/>
      <c r="AJ69" s="566"/>
      <c r="AK69" s="566"/>
      <c r="AL69" s="566"/>
      <c r="AM69" s="566"/>
      <c r="AN69" s="566"/>
      <c r="AO69" s="566"/>
    </row>
    <row r="70" spans="2:41" x14ac:dyDescent="0.15">
      <c r="B70" s="567">
        <v>26</v>
      </c>
      <c r="C70" s="566">
        <v>0.99372146118721461</v>
      </c>
      <c r="D70" s="566">
        <v>0.99691780821917808</v>
      </c>
      <c r="E70" s="566">
        <v>0.99965753424657533</v>
      </c>
      <c r="F70" s="566">
        <v>0.99954337899543377</v>
      </c>
      <c r="G70" s="566"/>
      <c r="H70" s="566"/>
      <c r="I70" s="566"/>
      <c r="J70" s="566"/>
      <c r="K70" s="566"/>
      <c r="L70" s="566"/>
      <c r="M70" s="566"/>
      <c r="N70" s="566"/>
      <c r="O70" s="566"/>
      <c r="P70" s="566"/>
      <c r="Q70" s="566"/>
      <c r="R70" s="566"/>
      <c r="S70" s="566"/>
      <c r="T70" s="566"/>
      <c r="U70" s="566"/>
      <c r="V70" s="566"/>
      <c r="W70" s="566"/>
      <c r="X70" s="566"/>
      <c r="Y70" s="566"/>
      <c r="Z70" s="566"/>
      <c r="AA70" s="566"/>
      <c r="AB70" s="566"/>
      <c r="AC70" s="566"/>
      <c r="AD70" s="566"/>
      <c r="AE70" s="566"/>
      <c r="AF70" s="566"/>
      <c r="AG70" s="566"/>
      <c r="AH70" s="566"/>
      <c r="AI70" s="566"/>
      <c r="AJ70" s="566"/>
      <c r="AK70" s="566"/>
      <c r="AL70" s="566"/>
      <c r="AM70" s="566"/>
      <c r="AN70" s="566"/>
      <c r="AO70" s="566"/>
    </row>
    <row r="71" spans="2:41" x14ac:dyDescent="0.15">
      <c r="B71" s="567">
        <v>27</v>
      </c>
      <c r="C71" s="566">
        <v>0.99668949771689497</v>
      </c>
      <c r="D71" s="566">
        <v>0.99840182648401832</v>
      </c>
      <c r="E71" s="566">
        <v>1</v>
      </c>
      <c r="F71" s="566">
        <v>1</v>
      </c>
      <c r="G71" s="566"/>
      <c r="H71" s="566"/>
      <c r="I71" s="566"/>
      <c r="J71" s="566"/>
      <c r="K71" s="566"/>
      <c r="L71" s="566"/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66"/>
    </row>
    <row r="72" spans="2:41" x14ac:dyDescent="0.15">
      <c r="B72" s="567">
        <v>28</v>
      </c>
      <c r="C72" s="566">
        <v>0.99874429223744288</v>
      </c>
      <c r="D72" s="566">
        <v>0.9992009132420091</v>
      </c>
      <c r="E72" s="566">
        <v>1</v>
      </c>
      <c r="F72" s="566">
        <v>1</v>
      </c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</row>
    <row r="73" spans="2:41" x14ac:dyDescent="0.15">
      <c r="B73" s="567">
        <v>29</v>
      </c>
      <c r="C73" s="566">
        <v>0.99965753424657533</v>
      </c>
      <c r="D73" s="566">
        <v>0.99977168949771689</v>
      </c>
      <c r="E73" s="566">
        <v>1</v>
      </c>
      <c r="F73" s="566">
        <v>1</v>
      </c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6"/>
      <c r="W73" s="566"/>
      <c r="X73" s="566"/>
      <c r="Y73" s="566"/>
      <c r="Z73" s="566"/>
      <c r="AA73" s="566"/>
      <c r="AB73" s="566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66"/>
    </row>
    <row r="74" spans="2:41" x14ac:dyDescent="0.15">
      <c r="B74" s="567">
        <v>30</v>
      </c>
      <c r="C74" s="566">
        <v>1</v>
      </c>
      <c r="D74" s="566">
        <v>1</v>
      </c>
      <c r="E74" s="566">
        <v>1</v>
      </c>
      <c r="F74" s="566">
        <v>1</v>
      </c>
      <c r="G74" s="566"/>
      <c r="H74" s="566"/>
      <c r="I74" s="566"/>
      <c r="J74" s="566"/>
      <c r="K74" s="566"/>
      <c r="L74" s="566"/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66"/>
    </row>
    <row r="75" spans="2:41" x14ac:dyDescent="0.15">
      <c r="B75" s="567">
        <v>31</v>
      </c>
      <c r="C75" s="566">
        <v>1</v>
      </c>
      <c r="D75" s="566">
        <v>1</v>
      </c>
      <c r="E75" s="566">
        <v>1</v>
      </c>
      <c r="F75" s="566">
        <v>1</v>
      </c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</row>
    <row r="76" spans="2:41" x14ac:dyDescent="0.15">
      <c r="B76" s="567">
        <v>32</v>
      </c>
      <c r="C76" s="566">
        <v>1</v>
      </c>
      <c r="D76" s="566">
        <v>1</v>
      </c>
      <c r="E76" s="566">
        <v>1</v>
      </c>
      <c r="F76" s="566">
        <v>1</v>
      </c>
      <c r="G76" s="566"/>
      <c r="H76" s="566"/>
      <c r="I76" s="566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</row>
    <row r="77" spans="2:41" x14ac:dyDescent="0.15">
      <c r="B77" s="567">
        <v>33</v>
      </c>
      <c r="C77" s="566">
        <v>1</v>
      </c>
      <c r="D77" s="566">
        <v>1</v>
      </c>
      <c r="E77" s="566">
        <v>1</v>
      </c>
      <c r="F77" s="566">
        <v>1</v>
      </c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  <c r="R77" s="566"/>
      <c r="S77" s="566"/>
      <c r="T77" s="566"/>
      <c r="U77" s="566"/>
      <c r="V77" s="566"/>
      <c r="W77" s="566"/>
      <c r="X77" s="566"/>
      <c r="Y77" s="566"/>
      <c r="Z77" s="566"/>
      <c r="AA77" s="566"/>
      <c r="AB77" s="566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66"/>
    </row>
    <row r="78" spans="2:41" x14ac:dyDescent="0.15">
      <c r="B78" s="567">
        <v>34</v>
      </c>
      <c r="C78" s="566">
        <v>1</v>
      </c>
      <c r="D78" s="566">
        <v>1</v>
      </c>
      <c r="E78" s="566">
        <v>1</v>
      </c>
      <c r="F78" s="566">
        <v>1</v>
      </c>
      <c r="G78" s="566"/>
      <c r="H78" s="566"/>
      <c r="I78" s="566"/>
      <c r="J78" s="566"/>
      <c r="K78" s="566"/>
      <c r="L78" s="566"/>
      <c r="M78" s="566"/>
      <c r="N78" s="566"/>
      <c r="O78" s="566"/>
      <c r="P78" s="566"/>
      <c r="Q78" s="566"/>
      <c r="R78" s="566"/>
      <c r="S78" s="566"/>
      <c r="T78" s="566"/>
      <c r="U78" s="566"/>
      <c r="V78" s="566"/>
      <c r="W78" s="566"/>
      <c r="X78" s="566"/>
      <c r="Y78" s="566"/>
      <c r="Z78" s="566"/>
      <c r="AA78" s="566"/>
      <c r="AB78" s="566"/>
      <c r="AC78" s="566"/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66"/>
    </row>
    <row r="79" spans="2:41" x14ac:dyDescent="0.15">
      <c r="B79" s="567">
        <v>35</v>
      </c>
      <c r="C79" s="566">
        <v>1</v>
      </c>
      <c r="D79" s="566">
        <v>1</v>
      </c>
      <c r="E79" s="566">
        <v>1</v>
      </c>
      <c r="F79" s="566">
        <v>1</v>
      </c>
      <c r="G79" s="566"/>
      <c r="H79" s="566"/>
      <c r="I79" s="566"/>
      <c r="J79" s="566"/>
      <c r="K79" s="566"/>
      <c r="L79" s="566"/>
      <c r="M79" s="566"/>
      <c r="N79" s="566"/>
      <c r="O79" s="566"/>
      <c r="P79" s="566"/>
      <c r="Q79" s="566"/>
      <c r="R79" s="566"/>
      <c r="S79" s="566"/>
      <c r="T79" s="566"/>
      <c r="U79" s="566"/>
      <c r="V79" s="566"/>
      <c r="W79" s="566"/>
      <c r="X79" s="566"/>
      <c r="Y79" s="566"/>
      <c r="Z79" s="566"/>
      <c r="AA79" s="566"/>
      <c r="AB79" s="566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66"/>
    </row>
    <row r="80" spans="2:41" x14ac:dyDescent="0.15">
      <c r="B80" s="567">
        <v>36</v>
      </c>
      <c r="C80" s="566">
        <v>1</v>
      </c>
      <c r="D80" s="566">
        <v>1</v>
      </c>
      <c r="E80" s="566">
        <v>1</v>
      </c>
      <c r="F80" s="566">
        <v>1</v>
      </c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566"/>
      <c r="S80" s="566"/>
      <c r="T80" s="566"/>
      <c r="U80" s="566"/>
      <c r="V80" s="566"/>
      <c r="W80" s="566"/>
      <c r="X80" s="566"/>
      <c r="Y80" s="566"/>
      <c r="Z80" s="566"/>
      <c r="AA80" s="566"/>
      <c r="AB80" s="566"/>
      <c r="AC80" s="566"/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66"/>
    </row>
    <row r="81" spans="2:41" x14ac:dyDescent="0.15">
      <c r="B81" s="567">
        <v>37</v>
      </c>
      <c r="C81" s="566">
        <v>1</v>
      </c>
      <c r="D81" s="566">
        <v>1</v>
      </c>
      <c r="E81" s="566">
        <v>1</v>
      </c>
      <c r="F81" s="566">
        <v>1</v>
      </c>
      <c r="G81" s="566"/>
      <c r="H81" s="566"/>
      <c r="I81" s="566"/>
      <c r="J81" s="566"/>
      <c r="K81" s="566"/>
      <c r="L81" s="566"/>
      <c r="M81" s="566"/>
      <c r="N81" s="566"/>
      <c r="O81" s="566"/>
      <c r="P81" s="566"/>
      <c r="Q81" s="566"/>
      <c r="R81" s="566"/>
      <c r="S81" s="566"/>
      <c r="T81" s="566"/>
      <c r="U81" s="566"/>
      <c r="V81" s="566"/>
      <c r="W81" s="566"/>
      <c r="X81" s="566"/>
      <c r="Y81" s="566"/>
      <c r="Z81" s="566"/>
      <c r="AA81" s="566"/>
      <c r="AB81" s="566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66"/>
    </row>
    <row r="82" spans="2:41" x14ac:dyDescent="0.15">
      <c r="B82" s="567">
        <v>38</v>
      </c>
      <c r="C82" s="566">
        <v>1</v>
      </c>
      <c r="D82" s="566">
        <v>1</v>
      </c>
      <c r="E82" s="566">
        <v>1</v>
      </c>
      <c r="F82" s="566">
        <v>1</v>
      </c>
      <c r="G82" s="566"/>
      <c r="H82" s="566"/>
      <c r="I82" s="566"/>
      <c r="J82" s="566"/>
      <c r="K82" s="566"/>
      <c r="L82" s="566"/>
      <c r="M82" s="566"/>
      <c r="N82" s="566"/>
      <c r="O82" s="566"/>
      <c r="P82" s="566"/>
      <c r="Q82" s="566"/>
      <c r="R82" s="566"/>
      <c r="S82" s="566"/>
      <c r="T82" s="566"/>
      <c r="U82" s="566"/>
      <c r="V82" s="566"/>
      <c r="W82" s="566"/>
      <c r="X82" s="566"/>
      <c r="Y82" s="566"/>
      <c r="Z82" s="566"/>
      <c r="AA82" s="566"/>
      <c r="AB82" s="566"/>
      <c r="AC82" s="566"/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66"/>
    </row>
    <row r="83" spans="2:41" x14ac:dyDescent="0.15">
      <c r="B83" s="567">
        <v>39</v>
      </c>
      <c r="C83" s="566">
        <v>1</v>
      </c>
      <c r="D83" s="566">
        <v>1</v>
      </c>
      <c r="E83" s="566">
        <v>1</v>
      </c>
      <c r="F83" s="566">
        <v>1</v>
      </c>
      <c r="G83" s="566"/>
      <c r="H83" s="566"/>
      <c r="I83" s="566"/>
      <c r="J83" s="566"/>
      <c r="K83" s="566"/>
      <c r="L83" s="566"/>
      <c r="M83" s="566"/>
      <c r="N83" s="566"/>
      <c r="O83" s="566"/>
      <c r="P83" s="566"/>
      <c r="Q83" s="566"/>
      <c r="R83" s="566"/>
      <c r="S83" s="566"/>
      <c r="T83" s="566"/>
      <c r="U83" s="566"/>
      <c r="V83" s="566"/>
      <c r="W83" s="566"/>
      <c r="X83" s="566"/>
      <c r="Y83" s="566"/>
      <c r="Z83" s="566"/>
      <c r="AA83" s="566"/>
      <c r="AB83" s="566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6"/>
    </row>
    <row r="84" spans="2:41" x14ac:dyDescent="0.15">
      <c r="B84" s="568">
        <v>40</v>
      </c>
      <c r="C84" s="566">
        <v>1</v>
      </c>
      <c r="D84" s="566">
        <v>1</v>
      </c>
      <c r="E84" s="566">
        <v>1</v>
      </c>
      <c r="F84" s="566">
        <v>1</v>
      </c>
      <c r="G84" s="566"/>
      <c r="H84" s="566"/>
      <c r="I84" s="566"/>
      <c r="J84" s="566"/>
      <c r="K84" s="566"/>
      <c r="L84" s="566"/>
      <c r="M84" s="566"/>
      <c r="N84" s="566"/>
      <c r="O84" s="566"/>
      <c r="P84" s="566"/>
      <c r="Q84" s="566"/>
      <c r="R84" s="566"/>
      <c r="S84" s="566"/>
      <c r="T84" s="566"/>
      <c r="U84" s="566"/>
      <c r="V84" s="566"/>
      <c r="W84" s="566"/>
      <c r="X84" s="566"/>
      <c r="Y84" s="566"/>
      <c r="Z84" s="566"/>
      <c r="AA84" s="566"/>
      <c r="AB84" s="566"/>
      <c r="AC84" s="566"/>
      <c r="AD84" s="566"/>
      <c r="AE84" s="566"/>
      <c r="AF84" s="566"/>
      <c r="AG84" s="566"/>
      <c r="AH84" s="566"/>
      <c r="AI84" s="566"/>
      <c r="AJ84" s="566"/>
      <c r="AK84" s="566"/>
      <c r="AL84" s="566"/>
      <c r="AM84" s="566"/>
      <c r="AN84" s="566"/>
      <c r="AO84" s="566"/>
    </row>
    <row r="93" spans="2:41" s="563" customFormat="1" ht="28" x14ac:dyDescent="0.15">
      <c r="B93" s="560" t="str" cm="1">
        <f t="array" ref="B93:AO93">TRANSPOSE('Syötä kaupungit KIRJASTOLINKIT!'!$C$1:$C$40)</f>
        <v>MAA 2</v>
      </c>
      <c r="C93" s="564" t="str">
        <v>SWE - Stockholm</v>
      </c>
      <c r="D93" s="564">
        <v>0</v>
      </c>
      <c r="E93" s="564">
        <v>0</v>
      </c>
      <c r="F93" s="564">
        <v>0</v>
      </c>
      <c r="G93" s="564">
        <v>0</v>
      </c>
      <c r="H93" s="564">
        <v>0</v>
      </c>
      <c r="I93" s="564">
        <v>0</v>
      </c>
      <c r="J93" s="564">
        <v>0</v>
      </c>
      <c r="K93" s="564">
        <v>0</v>
      </c>
      <c r="L93" s="564">
        <v>0</v>
      </c>
      <c r="M93" s="564">
        <v>0</v>
      </c>
      <c r="N93" s="564">
        <v>0</v>
      </c>
      <c r="O93" s="564">
        <v>0</v>
      </c>
      <c r="P93" s="564">
        <v>0</v>
      </c>
      <c r="Q93" s="564">
        <v>0</v>
      </c>
      <c r="R93" s="564">
        <v>0</v>
      </c>
      <c r="S93" s="564">
        <v>0</v>
      </c>
      <c r="T93" s="564">
        <v>0</v>
      </c>
      <c r="U93" s="564">
        <v>0</v>
      </c>
      <c r="V93" s="564">
        <v>0</v>
      </c>
      <c r="W93" s="564">
        <v>0</v>
      </c>
      <c r="X93" s="564">
        <v>0</v>
      </c>
      <c r="Y93" s="564">
        <v>0</v>
      </c>
      <c r="Z93" s="564">
        <v>0</v>
      </c>
      <c r="AA93" s="564">
        <v>0</v>
      </c>
      <c r="AB93" s="564">
        <v>0</v>
      </c>
      <c r="AC93" s="564">
        <v>0</v>
      </c>
      <c r="AD93" s="564">
        <v>0</v>
      </c>
      <c r="AE93" s="564">
        <v>0</v>
      </c>
      <c r="AF93" s="564">
        <v>0</v>
      </c>
      <c r="AG93" s="564">
        <v>0</v>
      </c>
      <c r="AH93" s="564">
        <v>0</v>
      </c>
      <c r="AI93" s="564">
        <v>0</v>
      </c>
      <c r="AJ93" s="564">
        <v>0</v>
      </c>
      <c r="AK93" s="564">
        <v>0</v>
      </c>
      <c r="AL93" s="564">
        <v>0</v>
      </c>
      <c r="AM93" s="564">
        <v>0</v>
      </c>
      <c r="AN93" s="564">
        <v>0</v>
      </c>
      <c r="AO93" s="564">
        <v>0</v>
      </c>
    </row>
    <row r="94" spans="2:41" x14ac:dyDescent="0.15">
      <c r="B94" s="565">
        <v>-40</v>
      </c>
      <c r="C94" s="566">
        <v>0</v>
      </c>
      <c r="D94" s="566"/>
      <c r="E94" s="566"/>
      <c r="F94" s="566"/>
      <c r="G94" s="566"/>
      <c r="H94" s="566"/>
      <c r="I94" s="566"/>
      <c r="J94" s="566"/>
      <c r="K94" s="566"/>
      <c r="L94" s="566"/>
      <c r="M94" s="566"/>
      <c r="N94" s="566"/>
      <c r="O94" s="566"/>
      <c r="P94" s="566"/>
      <c r="Q94" s="566"/>
      <c r="R94" s="566"/>
      <c r="S94" s="566"/>
      <c r="T94" s="566"/>
      <c r="U94" s="566"/>
      <c r="V94" s="566"/>
      <c r="W94" s="566"/>
      <c r="X94" s="566"/>
      <c r="Y94" s="566"/>
      <c r="Z94" s="566"/>
      <c r="AA94" s="566"/>
      <c r="AB94" s="566"/>
      <c r="AC94" s="566"/>
      <c r="AD94" s="566"/>
      <c r="AE94" s="566"/>
      <c r="AF94" s="566"/>
      <c r="AG94" s="566"/>
      <c r="AH94" s="566"/>
      <c r="AI94" s="566"/>
      <c r="AJ94" s="566"/>
      <c r="AK94" s="566"/>
      <c r="AL94" s="566"/>
      <c r="AM94" s="566"/>
      <c r="AN94" s="566"/>
      <c r="AO94" s="566"/>
    </row>
    <row r="95" spans="2:41" x14ac:dyDescent="0.15">
      <c r="B95" s="567">
        <v>-39</v>
      </c>
      <c r="C95" s="566">
        <v>0</v>
      </c>
      <c r="D95" s="566"/>
      <c r="E95" s="566"/>
      <c r="F95" s="566"/>
      <c r="G95" s="566"/>
      <c r="H95" s="566"/>
      <c r="I95" s="566"/>
      <c r="J95" s="566"/>
      <c r="K95" s="566"/>
      <c r="L95" s="566"/>
      <c r="M95" s="566"/>
      <c r="N95" s="566"/>
      <c r="O95" s="566"/>
      <c r="P95" s="566"/>
      <c r="Q95" s="566"/>
      <c r="R95" s="566"/>
      <c r="S95" s="566"/>
      <c r="T95" s="566"/>
      <c r="U95" s="566"/>
      <c r="V95" s="566"/>
      <c r="W95" s="566"/>
      <c r="X95" s="566"/>
      <c r="Y95" s="566"/>
      <c r="Z95" s="566"/>
      <c r="AA95" s="566"/>
      <c r="AB95" s="566"/>
      <c r="AC95" s="566"/>
      <c r="AD95" s="566"/>
      <c r="AE95" s="566"/>
      <c r="AF95" s="566"/>
      <c r="AG95" s="566"/>
      <c r="AH95" s="566"/>
      <c r="AI95" s="566"/>
      <c r="AJ95" s="566"/>
      <c r="AK95" s="566"/>
      <c r="AL95" s="566"/>
      <c r="AM95" s="566"/>
      <c r="AN95" s="566"/>
      <c r="AO95" s="566"/>
    </row>
    <row r="96" spans="2:41" x14ac:dyDescent="0.15">
      <c r="B96" s="567">
        <v>-38</v>
      </c>
      <c r="C96" s="566">
        <v>0</v>
      </c>
      <c r="D96" s="566"/>
      <c r="E96" s="566"/>
      <c r="F96" s="566"/>
      <c r="G96" s="566"/>
      <c r="H96" s="566"/>
      <c r="I96" s="566"/>
      <c r="J96" s="566"/>
      <c r="K96" s="566"/>
      <c r="L96" s="566"/>
      <c r="M96" s="566"/>
      <c r="N96" s="566"/>
      <c r="O96" s="566"/>
      <c r="P96" s="566"/>
      <c r="Q96" s="566"/>
      <c r="R96" s="566"/>
      <c r="S96" s="566"/>
      <c r="T96" s="566"/>
      <c r="U96" s="566"/>
      <c r="V96" s="566"/>
      <c r="W96" s="566"/>
      <c r="X96" s="566"/>
      <c r="Y96" s="566"/>
      <c r="Z96" s="566"/>
      <c r="AA96" s="566"/>
      <c r="AB96" s="566"/>
      <c r="AC96" s="566"/>
      <c r="AD96" s="566"/>
      <c r="AE96" s="566"/>
      <c r="AF96" s="566"/>
      <c r="AG96" s="566"/>
      <c r="AH96" s="566"/>
      <c r="AI96" s="566"/>
      <c r="AJ96" s="566"/>
      <c r="AK96" s="566"/>
      <c r="AL96" s="566"/>
      <c r="AM96" s="566"/>
      <c r="AN96" s="566"/>
      <c r="AO96" s="566"/>
    </row>
    <row r="97" spans="2:41" x14ac:dyDescent="0.15">
      <c r="B97" s="567">
        <v>-37</v>
      </c>
      <c r="C97" s="566">
        <v>0</v>
      </c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66"/>
      <c r="Q97" s="566"/>
      <c r="R97" s="566"/>
      <c r="S97" s="566"/>
      <c r="T97" s="566"/>
      <c r="U97" s="566"/>
      <c r="V97" s="566"/>
      <c r="W97" s="566"/>
      <c r="X97" s="566"/>
      <c r="Y97" s="566"/>
      <c r="Z97" s="566"/>
      <c r="AA97" s="566"/>
      <c r="AB97" s="566"/>
      <c r="AC97" s="566"/>
      <c r="AD97" s="566"/>
      <c r="AE97" s="566"/>
      <c r="AF97" s="566"/>
      <c r="AG97" s="566"/>
      <c r="AH97" s="566"/>
      <c r="AI97" s="566"/>
      <c r="AJ97" s="566"/>
      <c r="AK97" s="566"/>
      <c r="AL97" s="566"/>
      <c r="AM97" s="566"/>
      <c r="AN97" s="566"/>
      <c r="AO97" s="566"/>
    </row>
    <row r="98" spans="2:41" x14ac:dyDescent="0.15">
      <c r="B98" s="567">
        <v>-36</v>
      </c>
      <c r="C98" s="566">
        <v>0</v>
      </c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66"/>
    </row>
    <row r="99" spans="2:41" x14ac:dyDescent="0.15">
      <c r="B99" s="567">
        <v>-35</v>
      </c>
      <c r="C99" s="566">
        <v>0</v>
      </c>
      <c r="D99" s="566"/>
      <c r="E99" s="566"/>
      <c r="F99" s="566"/>
      <c r="G99" s="566"/>
      <c r="H99" s="566"/>
      <c r="I99" s="566"/>
      <c r="J99" s="566"/>
      <c r="K99" s="566"/>
      <c r="L99" s="566"/>
      <c r="M99" s="566"/>
      <c r="N99" s="566"/>
      <c r="O99" s="566"/>
      <c r="P99" s="566"/>
      <c r="Q99" s="566"/>
      <c r="R99" s="566"/>
      <c r="S99" s="566"/>
      <c r="T99" s="566"/>
      <c r="U99" s="566"/>
      <c r="V99" s="566"/>
      <c r="W99" s="566"/>
      <c r="X99" s="566"/>
      <c r="Y99" s="566"/>
      <c r="Z99" s="566"/>
      <c r="AA99" s="566"/>
      <c r="AB99" s="566"/>
      <c r="AC99" s="566"/>
      <c r="AD99" s="566"/>
      <c r="AE99" s="566"/>
      <c r="AF99" s="566"/>
      <c r="AG99" s="566"/>
      <c r="AH99" s="566"/>
      <c r="AI99" s="566"/>
      <c r="AJ99" s="566"/>
      <c r="AK99" s="566"/>
      <c r="AL99" s="566"/>
      <c r="AM99" s="566"/>
      <c r="AN99" s="566"/>
      <c r="AO99" s="566"/>
    </row>
    <row r="100" spans="2:41" x14ac:dyDescent="0.15">
      <c r="B100" s="567">
        <v>-34</v>
      </c>
      <c r="C100" s="566">
        <v>0</v>
      </c>
      <c r="D100" s="566"/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66"/>
      <c r="Q100" s="566"/>
      <c r="R100" s="566"/>
      <c r="S100" s="566"/>
      <c r="T100" s="566"/>
      <c r="U100" s="566"/>
      <c r="V100" s="566"/>
      <c r="W100" s="566"/>
      <c r="X100" s="566"/>
      <c r="Y100" s="566"/>
      <c r="Z100" s="566"/>
      <c r="AA100" s="566"/>
      <c r="AB100" s="566"/>
      <c r="AC100" s="566"/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66"/>
    </row>
    <row r="101" spans="2:41" x14ac:dyDescent="0.15">
      <c r="B101" s="567">
        <v>-33</v>
      </c>
      <c r="C101" s="566">
        <v>0</v>
      </c>
      <c r="D101" s="566"/>
      <c r="E101" s="566"/>
      <c r="F101" s="566"/>
      <c r="G101" s="566"/>
      <c r="H101" s="566"/>
      <c r="I101" s="566"/>
      <c r="J101" s="566"/>
      <c r="K101" s="566"/>
      <c r="L101" s="566"/>
      <c r="M101" s="566"/>
      <c r="N101" s="566"/>
      <c r="O101" s="566"/>
      <c r="P101" s="566"/>
      <c r="Q101" s="566"/>
      <c r="R101" s="566"/>
      <c r="S101" s="566"/>
      <c r="T101" s="566"/>
      <c r="U101" s="566"/>
      <c r="V101" s="566"/>
      <c r="W101" s="566"/>
      <c r="X101" s="566"/>
      <c r="Y101" s="566"/>
      <c r="Z101" s="566"/>
      <c r="AA101" s="566"/>
      <c r="AB101" s="566"/>
      <c r="AC101" s="566"/>
      <c r="AD101" s="566"/>
      <c r="AE101" s="566"/>
      <c r="AF101" s="566"/>
      <c r="AG101" s="566"/>
      <c r="AH101" s="566"/>
      <c r="AI101" s="566"/>
      <c r="AJ101" s="566"/>
      <c r="AK101" s="566"/>
      <c r="AL101" s="566"/>
      <c r="AM101" s="566"/>
      <c r="AN101" s="566"/>
      <c r="AO101" s="566"/>
    </row>
    <row r="102" spans="2:41" x14ac:dyDescent="0.15">
      <c r="B102" s="567">
        <v>-32</v>
      </c>
      <c r="C102" s="566">
        <v>0</v>
      </c>
      <c r="D102" s="566"/>
      <c r="E102" s="566"/>
      <c r="F102" s="566"/>
      <c r="G102" s="566"/>
      <c r="H102" s="566"/>
      <c r="I102" s="566"/>
      <c r="J102" s="566"/>
      <c r="K102" s="566"/>
      <c r="L102" s="566"/>
      <c r="M102" s="566"/>
      <c r="N102" s="566"/>
      <c r="O102" s="566"/>
      <c r="P102" s="566"/>
      <c r="Q102" s="566"/>
      <c r="R102" s="566"/>
      <c r="S102" s="566"/>
      <c r="T102" s="566"/>
      <c r="U102" s="566"/>
      <c r="V102" s="566"/>
      <c r="W102" s="566"/>
      <c r="X102" s="566"/>
      <c r="Y102" s="566"/>
      <c r="Z102" s="566"/>
      <c r="AA102" s="566"/>
      <c r="AB102" s="566"/>
      <c r="AC102" s="566"/>
      <c r="AD102" s="566"/>
      <c r="AE102" s="566"/>
      <c r="AF102" s="566"/>
      <c r="AG102" s="566"/>
      <c r="AH102" s="566"/>
      <c r="AI102" s="566"/>
      <c r="AJ102" s="566"/>
      <c r="AK102" s="566"/>
      <c r="AL102" s="566"/>
      <c r="AM102" s="566"/>
      <c r="AN102" s="566"/>
      <c r="AO102" s="566"/>
    </row>
    <row r="103" spans="2:41" x14ac:dyDescent="0.15">
      <c r="B103" s="567">
        <v>-31</v>
      </c>
      <c r="C103" s="566">
        <v>0</v>
      </c>
      <c r="D103" s="566"/>
      <c r="E103" s="566"/>
      <c r="F103" s="566"/>
      <c r="G103" s="566"/>
      <c r="H103" s="566"/>
      <c r="I103" s="566"/>
      <c r="J103" s="566"/>
      <c r="K103" s="566"/>
      <c r="L103" s="566"/>
      <c r="M103" s="566"/>
      <c r="N103" s="566"/>
      <c r="O103" s="566"/>
      <c r="P103" s="566"/>
      <c r="Q103" s="566"/>
      <c r="R103" s="566"/>
      <c r="S103" s="566"/>
      <c r="T103" s="566"/>
      <c r="U103" s="566"/>
      <c r="V103" s="566"/>
      <c r="W103" s="566"/>
      <c r="X103" s="566"/>
      <c r="Y103" s="566"/>
      <c r="Z103" s="566"/>
      <c r="AA103" s="566"/>
      <c r="AB103" s="566"/>
      <c r="AC103" s="566"/>
      <c r="AD103" s="566"/>
      <c r="AE103" s="566"/>
      <c r="AF103" s="566"/>
      <c r="AG103" s="566"/>
      <c r="AH103" s="566"/>
      <c r="AI103" s="566"/>
      <c r="AJ103" s="566"/>
      <c r="AK103" s="566"/>
      <c r="AL103" s="566"/>
      <c r="AM103" s="566"/>
      <c r="AN103" s="566"/>
      <c r="AO103" s="566"/>
    </row>
    <row r="104" spans="2:41" x14ac:dyDescent="0.15">
      <c r="B104" s="567">
        <v>-30</v>
      </c>
      <c r="C104" s="566">
        <v>0</v>
      </c>
      <c r="D104" s="566"/>
      <c r="E104" s="566"/>
      <c r="F104" s="566"/>
      <c r="G104" s="566"/>
      <c r="H104" s="566"/>
      <c r="I104" s="566"/>
      <c r="J104" s="566"/>
      <c r="K104" s="566"/>
      <c r="L104" s="566"/>
      <c r="M104" s="566"/>
      <c r="N104" s="566"/>
      <c r="O104" s="566"/>
      <c r="P104" s="566"/>
      <c r="Q104" s="566"/>
      <c r="R104" s="566"/>
      <c r="S104" s="566"/>
      <c r="T104" s="566"/>
      <c r="U104" s="566"/>
      <c r="V104" s="566"/>
      <c r="W104" s="566"/>
      <c r="X104" s="566"/>
      <c r="Y104" s="566"/>
      <c r="Z104" s="566"/>
      <c r="AA104" s="566"/>
      <c r="AB104" s="566"/>
      <c r="AC104" s="566"/>
      <c r="AD104" s="566"/>
      <c r="AE104" s="566"/>
      <c r="AF104" s="566"/>
      <c r="AG104" s="566"/>
      <c r="AH104" s="566"/>
      <c r="AI104" s="566"/>
      <c r="AJ104" s="566"/>
      <c r="AK104" s="566"/>
      <c r="AL104" s="566"/>
      <c r="AM104" s="566"/>
      <c r="AN104" s="566"/>
      <c r="AO104" s="566"/>
    </row>
    <row r="105" spans="2:41" x14ac:dyDescent="0.15">
      <c r="B105" s="567">
        <v>-29</v>
      </c>
      <c r="C105" s="566">
        <v>0</v>
      </c>
      <c r="D105" s="566"/>
      <c r="E105" s="566"/>
      <c r="F105" s="566"/>
      <c r="G105" s="566"/>
      <c r="H105" s="566"/>
      <c r="I105" s="566"/>
      <c r="J105" s="566"/>
      <c r="K105" s="566"/>
      <c r="L105" s="566"/>
      <c r="M105" s="566"/>
      <c r="N105" s="566"/>
      <c r="O105" s="566"/>
      <c r="P105" s="566"/>
      <c r="Q105" s="566"/>
      <c r="R105" s="566"/>
      <c r="S105" s="566"/>
      <c r="T105" s="566"/>
      <c r="U105" s="566"/>
      <c r="V105" s="566"/>
      <c r="W105" s="566"/>
      <c r="X105" s="566"/>
      <c r="Y105" s="566"/>
      <c r="Z105" s="566"/>
      <c r="AA105" s="566"/>
      <c r="AB105" s="566"/>
      <c r="AC105" s="566"/>
      <c r="AD105" s="566"/>
      <c r="AE105" s="566"/>
      <c r="AF105" s="566"/>
      <c r="AG105" s="566"/>
      <c r="AH105" s="566"/>
      <c r="AI105" s="566"/>
      <c r="AJ105" s="566"/>
      <c r="AK105" s="566"/>
      <c r="AL105" s="566"/>
      <c r="AM105" s="566"/>
      <c r="AN105" s="566"/>
      <c r="AO105" s="566"/>
    </row>
    <row r="106" spans="2:41" x14ac:dyDescent="0.15">
      <c r="B106" s="567">
        <v>-28</v>
      </c>
      <c r="C106" s="566">
        <v>0</v>
      </c>
      <c r="D106" s="566"/>
      <c r="E106" s="566"/>
      <c r="F106" s="566"/>
      <c r="G106" s="566"/>
      <c r="H106" s="566"/>
      <c r="I106" s="566"/>
      <c r="J106" s="566"/>
      <c r="K106" s="566"/>
      <c r="L106" s="566"/>
      <c r="M106" s="566"/>
      <c r="N106" s="566"/>
      <c r="O106" s="566"/>
      <c r="P106" s="566"/>
      <c r="Q106" s="566"/>
      <c r="R106" s="566"/>
      <c r="S106" s="566"/>
      <c r="T106" s="566"/>
      <c r="U106" s="566"/>
      <c r="V106" s="566"/>
      <c r="W106" s="566"/>
      <c r="X106" s="566"/>
      <c r="Y106" s="566"/>
      <c r="Z106" s="566"/>
      <c r="AA106" s="566"/>
      <c r="AB106" s="566"/>
      <c r="AC106" s="566"/>
      <c r="AD106" s="566"/>
      <c r="AE106" s="566"/>
      <c r="AF106" s="566"/>
      <c r="AG106" s="566"/>
      <c r="AH106" s="566"/>
      <c r="AI106" s="566"/>
      <c r="AJ106" s="566"/>
      <c r="AK106" s="566"/>
      <c r="AL106" s="566"/>
      <c r="AM106" s="566"/>
      <c r="AN106" s="566"/>
      <c r="AO106" s="566"/>
    </row>
    <row r="107" spans="2:41" x14ac:dyDescent="0.15">
      <c r="B107" s="567">
        <v>-27</v>
      </c>
      <c r="C107" s="566">
        <v>0</v>
      </c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6"/>
      <c r="Z107" s="566"/>
      <c r="AA107" s="566"/>
      <c r="AB107" s="566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66"/>
    </row>
    <row r="108" spans="2:41" x14ac:dyDescent="0.15">
      <c r="B108" s="567">
        <v>-26</v>
      </c>
      <c r="C108" s="566">
        <v>0</v>
      </c>
      <c r="D108" s="566"/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6"/>
      <c r="Y108" s="566"/>
      <c r="Z108" s="566"/>
      <c r="AA108" s="566"/>
      <c r="AB108" s="566"/>
      <c r="AC108" s="566"/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66"/>
    </row>
    <row r="109" spans="2:41" x14ac:dyDescent="0.15">
      <c r="B109" s="567">
        <v>-25</v>
      </c>
      <c r="C109" s="566">
        <v>0</v>
      </c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6"/>
      <c r="Y109" s="566"/>
      <c r="Z109" s="566"/>
      <c r="AA109" s="566"/>
      <c r="AB109" s="566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66"/>
    </row>
    <row r="110" spans="2:41" x14ac:dyDescent="0.15">
      <c r="B110" s="567">
        <v>-24</v>
      </c>
      <c r="C110" s="566">
        <v>0</v>
      </c>
      <c r="D110" s="566"/>
      <c r="E110" s="566"/>
      <c r="F110" s="566"/>
      <c r="G110" s="566"/>
      <c r="H110" s="566"/>
      <c r="I110" s="566"/>
      <c r="J110" s="566"/>
      <c r="K110" s="566"/>
      <c r="L110" s="566"/>
      <c r="M110" s="566"/>
      <c r="N110" s="566"/>
      <c r="O110" s="566"/>
      <c r="P110" s="566"/>
      <c r="Q110" s="566"/>
      <c r="R110" s="566"/>
      <c r="S110" s="566"/>
      <c r="T110" s="566"/>
      <c r="U110" s="566"/>
      <c r="V110" s="566"/>
      <c r="W110" s="566"/>
      <c r="X110" s="566"/>
      <c r="Y110" s="566"/>
      <c r="Z110" s="566"/>
      <c r="AA110" s="566"/>
      <c r="AB110" s="566"/>
      <c r="AC110" s="566"/>
      <c r="AD110" s="566"/>
      <c r="AE110" s="566"/>
      <c r="AF110" s="566"/>
      <c r="AG110" s="566"/>
      <c r="AH110" s="566"/>
      <c r="AI110" s="566"/>
      <c r="AJ110" s="566"/>
      <c r="AK110" s="566"/>
      <c r="AL110" s="566"/>
      <c r="AM110" s="566"/>
      <c r="AN110" s="566"/>
      <c r="AO110" s="566"/>
    </row>
    <row r="111" spans="2:41" x14ac:dyDescent="0.15">
      <c r="B111" s="567">
        <v>-23</v>
      </c>
      <c r="C111" s="566">
        <v>0</v>
      </c>
      <c r="D111" s="566"/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6"/>
      <c r="Y111" s="566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66"/>
    </row>
    <row r="112" spans="2:41" x14ac:dyDescent="0.15">
      <c r="B112" s="567">
        <v>-22</v>
      </c>
      <c r="C112" s="566">
        <v>0</v>
      </c>
      <c r="D112" s="566"/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  <c r="R112" s="566"/>
      <c r="S112" s="566"/>
      <c r="T112" s="566"/>
      <c r="U112" s="566"/>
      <c r="V112" s="566"/>
      <c r="W112" s="566"/>
      <c r="X112" s="566"/>
      <c r="Y112" s="566"/>
      <c r="Z112" s="566"/>
      <c r="AA112" s="566"/>
      <c r="AB112" s="566"/>
      <c r="AC112" s="566"/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66"/>
    </row>
    <row r="113" spans="2:41" x14ac:dyDescent="0.15">
      <c r="B113" s="567">
        <v>-21</v>
      </c>
      <c r="C113" s="566">
        <v>0</v>
      </c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66"/>
      <c r="Q113" s="566"/>
      <c r="R113" s="566"/>
      <c r="S113" s="566"/>
      <c r="T113" s="566"/>
      <c r="U113" s="566"/>
      <c r="V113" s="566"/>
      <c r="W113" s="566"/>
      <c r="X113" s="566"/>
      <c r="Y113" s="566"/>
      <c r="Z113" s="566"/>
      <c r="AA113" s="566"/>
      <c r="AB113" s="566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6"/>
    </row>
    <row r="114" spans="2:41" x14ac:dyDescent="0.15">
      <c r="B114" s="567">
        <v>-20</v>
      </c>
      <c r="C114" s="566">
        <v>0</v>
      </c>
      <c r="D114" s="566"/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66"/>
      <c r="Q114" s="566"/>
      <c r="R114" s="566"/>
      <c r="S114" s="566"/>
      <c r="T114" s="566"/>
      <c r="U114" s="566"/>
      <c r="V114" s="566"/>
      <c r="W114" s="566"/>
      <c r="X114" s="566"/>
      <c r="Y114" s="566"/>
      <c r="Z114" s="566"/>
      <c r="AA114" s="566"/>
      <c r="AB114" s="566"/>
      <c r="AC114" s="566"/>
      <c r="AD114" s="566"/>
      <c r="AE114" s="566"/>
      <c r="AF114" s="566"/>
      <c r="AG114" s="566"/>
      <c r="AH114" s="566"/>
      <c r="AI114" s="566"/>
      <c r="AJ114" s="566"/>
      <c r="AK114" s="566"/>
      <c r="AL114" s="566"/>
      <c r="AM114" s="566"/>
      <c r="AN114" s="566"/>
      <c r="AO114" s="566"/>
    </row>
    <row r="115" spans="2:41" x14ac:dyDescent="0.15">
      <c r="B115" s="567">
        <v>-19</v>
      </c>
      <c r="C115" s="566">
        <v>0</v>
      </c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66"/>
      <c r="Q115" s="566"/>
      <c r="R115" s="566"/>
      <c r="S115" s="566"/>
      <c r="T115" s="566"/>
      <c r="U115" s="566"/>
      <c r="V115" s="566"/>
      <c r="W115" s="566"/>
      <c r="X115" s="566"/>
      <c r="Y115" s="566"/>
      <c r="Z115" s="566"/>
      <c r="AA115" s="566"/>
      <c r="AB115" s="566"/>
      <c r="AC115" s="566"/>
      <c r="AD115" s="566"/>
      <c r="AE115" s="566"/>
      <c r="AF115" s="566"/>
      <c r="AG115" s="566"/>
      <c r="AH115" s="566"/>
      <c r="AI115" s="566"/>
      <c r="AJ115" s="566"/>
      <c r="AK115" s="566"/>
      <c r="AL115" s="566"/>
      <c r="AM115" s="566"/>
      <c r="AN115" s="566"/>
      <c r="AO115" s="566"/>
    </row>
    <row r="116" spans="2:41" x14ac:dyDescent="0.15">
      <c r="B116" s="567">
        <v>-18</v>
      </c>
      <c r="C116" s="566">
        <v>0</v>
      </c>
      <c r="D116" s="566"/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66"/>
      <c r="Q116" s="566"/>
      <c r="R116" s="566"/>
      <c r="S116" s="566"/>
      <c r="T116" s="566"/>
      <c r="U116" s="566"/>
      <c r="V116" s="566"/>
      <c r="W116" s="566"/>
      <c r="X116" s="566"/>
      <c r="Y116" s="566"/>
      <c r="Z116" s="566"/>
      <c r="AA116" s="566"/>
      <c r="AB116" s="566"/>
      <c r="AC116" s="566"/>
      <c r="AD116" s="566"/>
      <c r="AE116" s="566"/>
      <c r="AF116" s="566"/>
      <c r="AG116" s="566"/>
      <c r="AH116" s="566"/>
      <c r="AI116" s="566"/>
      <c r="AJ116" s="566"/>
      <c r="AK116" s="566"/>
      <c r="AL116" s="566"/>
      <c r="AM116" s="566"/>
      <c r="AN116" s="566"/>
      <c r="AO116" s="566"/>
    </row>
    <row r="117" spans="2:41" x14ac:dyDescent="0.15">
      <c r="B117" s="567">
        <v>-17</v>
      </c>
      <c r="C117" s="566">
        <v>2.2831050228310502E-4</v>
      </c>
      <c r="D117" s="566"/>
      <c r="E117" s="566"/>
      <c r="F117" s="566"/>
      <c r="G117" s="566"/>
      <c r="H117" s="566"/>
      <c r="I117" s="566"/>
      <c r="J117" s="566"/>
      <c r="K117" s="566"/>
      <c r="L117" s="566"/>
      <c r="M117" s="566"/>
      <c r="N117" s="566"/>
      <c r="O117" s="566"/>
      <c r="P117" s="566"/>
      <c r="Q117" s="566"/>
      <c r="R117" s="566"/>
      <c r="S117" s="566"/>
      <c r="T117" s="566"/>
      <c r="U117" s="566"/>
      <c r="V117" s="566"/>
      <c r="W117" s="566"/>
      <c r="X117" s="566"/>
      <c r="Y117" s="566"/>
      <c r="Z117" s="566"/>
      <c r="AA117" s="566"/>
      <c r="AB117" s="566"/>
      <c r="AC117" s="566"/>
      <c r="AD117" s="566"/>
      <c r="AE117" s="566"/>
      <c r="AF117" s="566"/>
      <c r="AG117" s="566"/>
      <c r="AH117" s="566"/>
      <c r="AI117" s="566"/>
      <c r="AJ117" s="566"/>
      <c r="AK117" s="566"/>
      <c r="AL117" s="566"/>
      <c r="AM117" s="566"/>
      <c r="AN117" s="566"/>
      <c r="AO117" s="566"/>
    </row>
    <row r="118" spans="2:41" x14ac:dyDescent="0.15">
      <c r="B118" s="567">
        <v>-16</v>
      </c>
      <c r="C118" s="566">
        <v>1.2557077625570776E-3</v>
      </c>
      <c r="D118" s="566"/>
      <c r="E118" s="566"/>
      <c r="F118" s="566"/>
      <c r="G118" s="566"/>
      <c r="H118" s="566"/>
      <c r="I118" s="566"/>
      <c r="J118" s="566"/>
      <c r="K118" s="566"/>
      <c r="L118" s="566"/>
      <c r="M118" s="566"/>
      <c r="N118" s="566"/>
      <c r="O118" s="566"/>
      <c r="P118" s="566"/>
      <c r="Q118" s="566"/>
      <c r="R118" s="566"/>
      <c r="S118" s="566"/>
      <c r="T118" s="566"/>
      <c r="U118" s="566"/>
      <c r="V118" s="566"/>
      <c r="W118" s="566"/>
      <c r="X118" s="566"/>
      <c r="Y118" s="566"/>
      <c r="Z118" s="566"/>
      <c r="AA118" s="566"/>
      <c r="AB118" s="566"/>
      <c r="AC118" s="566"/>
      <c r="AD118" s="566"/>
      <c r="AE118" s="566"/>
      <c r="AF118" s="566"/>
      <c r="AG118" s="566"/>
      <c r="AH118" s="566"/>
      <c r="AI118" s="566"/>
      <c r="AJ118" s="566"/>
      <c r="AK118" s="566"/>
      <c r="AL118" s="566"/>
      <c r="AM118" s="566"/>
      <c r="AN118" s="566"/>
      <c r="AO118" s="566"/>
    </row>
    <row r="119" spans="2:41" x14ac:dyDescent="0.15">
      <c r="B119" s="567">
        <v>-15</v>
      </c>
      <c r="C119" s="566">
        <v>4.7945205479452057E-3</v>
      </c>
      <c r="D119" s="566"/>
      <c r="E119" s="566"/>
      <c r="F119" s="566"/>
      <c r="G119" s="566"/>
      <c r="H119" s="566"/>
      <c r="I119" s="566"/>
      <c r="J119" s="566"/>
      <c r="K119" s="566"/>
      <c r="L119" s="566"/>
      <c r="M119" s="566"/>
      <c r="N119" s="566"/>
      <c r="O119" s="566"/>
      <c r="P119" s="566"/>
      <c r="Q119" s="566"/>
      <c r="R119" s="566"/>
      <c r="S119" s="566"/>
      <c r="T119" s="566"/>
      <c r="U119" s="566"/>
      <c r="V119" s="566"/>
      <c r="W119" s="566"/>
      <c r="X119" s="566"/>
      <c r="Y119" s="566"/>
      <c r="Z119" s="566"/>
      <c r="AA119" s="566"/>
      <c r="AB119" s="566"/>
      <c r="AC119" s="566"/>
      <c r="AD119" s="566"/>
      <c r="AE119" s="566"/>
      <c r="AF119" s="566"/>
      <c r="AG119" s="566"/>
      <c r="AH119" s="566"/>
      <c r="AI119" s="566"/>
      <c r="AJ119" s="566"/>
      <c r="AK119" s="566"/>
      <c r="AL119" s="566"/>
      <c r="AM119" s="566"/>
      <c r="AN119" s="566"/>
      <c r="AO119" s="566"/>
    </row>
    <row r="120" spans="2:41" x14ac:dyDescent="0.15">
      <c r="B120" s="567">
        <v>-14</v>
      </c>
      <c r="C120" s="566">
        <v>6.8493150684931503E-3</v>
      </c>
      <c r="D120" s="566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566"/>
      <c r="T120" s="566"/>
      <c r="U120" s="566"/>
      <c r="V120" s="566"/>
      <c r="W120" s="566"/>
      <c r="X120" s="566"/>
      <c r="Y120" s="566"/>
      <c r="Z120" s="566"/>
      <c r="AA120" s="566"/>
      <c r="AB120" s="566"/>
      <c r="AC120" s="566"/>
      <c r="AD120" s="566"/>
      <c r="AE120" s="566"/>
      <c r="AF120" s="566"/>
      <c r="AG120" s="566"/>
      <c r="AH120" s="566"/>
      <c r="AI120" s="566"/>
      <c r="AJ120" s="566"/>
      <c r="AK120" s="566"/>
      <c r="AL120" s="566"/>
      <c r="AM120" s="566"/>
      <c r="AN120" s="566"/>
      <c r="AO120" s="566"/>
    </row>
    <row r="121" spans="2:41" x14ac:dyDescent="0.15">
      <c r="B121" s="567">
        <v>-13</v>
      </c>
      <c r="C121" s="566">
        <v>1.2557077625570776E-2</v>
      </c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  <c r="AL121" s="566"/>
      <c r="AM121" s="566"/>
      <c r="AN121" s="566"/>
      <c r="AO121" s="566"/>
    </row>
    <row r="122" spans="2:41" x14ac:dyDescent="0.15">
      <c r="B122" s="567">
        <v>-12</v>
      </c>
      <c r="C122" s="566">
        <v>1.9748858447488585E-2</v>
      </c>
      <c r="D122" s="566"/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66"/>
      <c r="Q122" s="566"/>
      <c r="R122" s="566"/>
      <c r="S122" s="566"/>
      <c r="T122" s="566"/>
      <c r="U122" s="566"/>
      <c r="V122" s="566"/>
      <c r="W122" s="566"/>
      <c r="X122" s="566"/>
      <c r="Y122" s="566"/>
      <c r="Z122" s="566"/>
      <c r="AA122" s="566"/>
      <c r="AB122" s="566"/>
      <c r="AC122" s="566"/>
      <c r="AD122" s="566"/>
      <c r="AE122" s="566"/>
      <c r="AF122" s="566"/>
      <c r="AG122" s="566"/>
      <c r="AH122" s="566"/>
      <c r="AI122" s="566"/>
      <c r="AJ122" s="566"/>
      <c r="AK122" s="566"/>
      <c r="AL122" s="566"/>
      <c r="AM122" s="566"/>
      <c r="AN122" s="566"/>
      <c r="AO122" s="566"/>
    </row>
    <row r="123" spans="2:41" x14ac:dyDescent="0.15">
      <c r="B123" s="567">
        <v>-11</v>
      </c>
      <c r="C123" s="566">
        <v>2.9223744292237442E-2</v>
      </c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</row>
    <row r="124" spans="2:41" x14ac:dyDescent="0.15">
      <c r="B124" s="567">
        <v>-10</v>
      </c>
      <c r="C124" s="566">
        <v>4.029680365296804E-2</v>
      </c>
      <c r="D124" s="566"/>
      <c r="E124" s="566"/>
      <c r="F124" s="566"/>
      <c r="G124" s="566"/>
      <c r="H124" s="566"/>
      <c r="I124" s="566"/>
      <c r="J124" s="566"/>
      <c r="K124" s="566"/>
      <c r="L124" s="566"/>
      <c r="M124" s="566"/>
      <c r="N124" s="566"/>
      <c r="O124" s="566"/>
      <c r="P124" s="566"/>
      <c r="Q124" s="566"/>
      <c r="R124" s="566"/>
      <c r="S124" s="566"/>
      <c r="T124" s="566"/>
      <c r="U124" s="566"/>
      <c r="V124" s="566"/>
      <c r="W124" s="566"/>
      <c r="X124" s="566"/>
      <c r="Y124" s="566"/>
      <c r="Z124" s="566"/>
      <c r="AA124" s="566"/>
      <c r="AB124" s="566"/>
      <c r="AC124" s="566"/>
      <c r="AD124" s="566"/>
      <c r="AE124" s="566"/>
      <c r="AF124" s="566"/>
      <c r="AG124" s="566"/>
      <c r="AH124" s="566"/>
      <c r="AI124" s="566"/>
      <c r="AJ124" s="566"/>
      <c r="AK124" s="566"/>
      <c r="AL124" s="566"/>
      <c r="AM124" s="566"/>
      <c r="AN124" s="566"/>
      <c r="AO124" s="566"/>
    </row>
    <row r="125" spans="2:41" x14ac:dyDescent="0.15">
      <c r="B125" s="567">
        <v>-9</v>
      </c>
      <c r="C125" s="566">
        <v>4.8744292237442921E-2</v>
      </c>
      <c r="D125" s="566"/>
      <c r="E125" s="566"/>
      <c r="F125" s="566"/>
      <c r="G125" s="566"/>
      <c r="H125" s="566"/>
      <c r="I125" s="566"/>
      <c r="J125" s="566"/>
      <c r="K125" s="566"/>
      <c r="L125" s="566"/>
      <c r="M125" s="566"/>
      <c r="N125" s="566"/>
      <c r="O125" s="566"/>
      <c r="P125" s="566"/>
      <c r="Q125" s="566"/>
      <c r="R125" s="566"/>
      <c r="S125" s="566"/>
      <c r="T125" s="566"/>
      <c r="U125" s="566"/>
      <c r="V125" s="566"/>
      <c r="W125" s="566"/>
      <c r="X125" s="566"/>
      <c r="Y125" s="566"/>
      <c r="Z125" s="566"/>
      <c r="AA125" s="566"/>
      <c r="AB125" s="566"/>
      <c r="AC125" s="566"/>
      <c r="AD125" s="566"/>
      <c r="AE125" s="566"/>
      <c r="AF125" s="566"/>
      <c r="AG125" s="566"/>
      <c r="AH125" s="566"/>
      <c r="AI125" s="566"/>
      <c r="AJ125" s="566"/>
      <c r="AK125" s="566"/>
      <c r="AL125" s="566"/>
      <c r="AM125" s="566"/>
      <c r="AN125" s="566"/>
      <c r="AO125" s="566"/>
    </row>
    <row r="126" spans="2:41" x14ac:dyDescent="0.15">
      <c r="B126" s="567">
        <v>-8</v>
      </c>
      <c r="C126" s="566">
        <v>6.2557077625570778E-2</v>
      </c>
      <c r="D126" s="566"/>
      <c r="E126" s="566"/>
      <c r="F126" s="566"/>
      <c r="G126" s="566"/>
      <c r="H126" s="566"/>
      <c r="I126" s="566"/>
      <c r="J126" s="566"/>
      <c r="K126" s="566"/>
      <c r="L126" s="566"/>
      <c r="M126" s="566"/>
      <c r="N126" s="566"/>
      <c r="O126" s="566"/>
      <c r="P126" s="566"/>
      <c r="Q126" s="566"/>
      <c r="R126" s="566"/>
      <c r="S126" s="566"/>
      <c r="T126" s="566"/>
      <c r="U126" s="566"/>
      <c r="V126" s="566"/>
      <c r="W126" s="566"/>
      <c r="X126" s="566"/>
      <c r="Y126" s="566"/>
      <c r="Z126" s="566"/>
      <c r="AA126" s="566"/>
      <c r="AB126" s="566"/>
      <c r="AC126" s="566"/>
      <c r="AD126" s="566"/>
      <c r="AE126" s="566"/>
      <c r="AF126" s="566"/>
      <c r="AG126" s="566"/>
      <c r="AH126" s="566"/>
      <c r="AI126" s="566"/>
      <c r="AJ126" s="566"/>
      <c r="AK126" s="566"/>
      <c r="AL126" s="566"/>
      <c r="AM126" s="566"/>
      <c r="AN126" s="566"/>
      <c r="AO126" s="566"/>
    </row>
    <row r="127" spans="2:41" x14ac:dyDescent="0.15">
      <c r="B127" s="567">
        <v>-7</v>
      </c>
      <c r="C127" s="566">
        <v>8.4474885844748854E-2</v>
      </c>
      <c r="D127" s="566"/>
      <c r="E127" s="566"/>
      <c r="F127" s="566"/>
      <c r="G127" s="566"/>
      <c r="H127" s="566"/>
      <c r="I127" s="566"/>
      <c r="J127" s="566"/>
      <c r="K127" s="566"/>
      <c r="L127" s="566"/>
      <c r="M127" s="566"/>
      <c r="N127" s="566"/>
      <c r="O127" s="566"/>
      <c r="P127" s="566"/>
      <c r="Q127" s="566"/>
      <c r="R127" s="566"/>
      <c r="S127" s="566"/>
      <c r="T127" s="566"/>
      <c r="U127" s="566"/>
      <c r="V127" s="566"/>
      <c r="W127" s="566"/>
      <c r="X127" s="566"/>
      <c r="Y127" s="566"/>
      <c r="Z127" s="566"/>
      <c r="AA127" s="566"/>
      <c r="AB127" s="566"/>
      <c r="AC127" s="566"/>
      <c r="AD127" s="566"/>
      <c r="AE127" s="566"/>
      <c r="AF127" s="566"/>
      <c r="AG127" s="566"/>
      <c r="AH127" s="566"/>
      <c r="AI127" s="566"/>
      <c r="AJ127" s="566"/>
      <c r="AK127" s="566"/>
      <c r="AL127" s="566"/>
      <c r="AM127" s="566"/>
      <c r="AN127" s="566"/>
      <c r="AO127" s="566"/>
    </row>
    <row r="128" spans="2:41" x14ac:dyDescent="0.15">
      <c r="B128" s="567">
        <v>-6</v>
      </c>
      <c r="C128" s="566">
        <v>0.10616438356164383</v>
      </c>
      <c r="D128" s="566"/>
      <c r="E128" s="566"/>
      <c r="F128" s="566"/>
      <c r="G128" s="566"/>
      <c r="H128" s="566"/>
      <c r="I128" s="566"/>
      <c r="J128" s="566"/>
      <c r="K128" s="566"/>
      <c r="L128" s="566"/>
      <c r="M128" s="566"/>
      <c r="N128" s="566"/>
      <c r="O128" s="566"/>
      <c r="P128" s="566"/>
      <c r="Q128" s="566"/>
      <c r="R128" s="566"/>
      <c r="S128" s="566"/>
      <c r="T128" s="566"/>
      <c r="U128" s="566"/>
      <c r="V128" s="566"/>
      <c r="W128" s="566"/>
      <c r="X128" s="566"/>
      <c r="Y128" s="566"/>
      <c r="Z128" s="566"/>
      <c r="AA128" s="566"/>
      <c r="AB128" s="566"/>
      <c r="AC128" s="566"/>
      <c r="AD128" s="566"/>
      <c r="AE128" s="566"/>
      <c r="AF128" s="566"/>
      <c r="AG128" s="566"/>
      <c r="AH128" s="566"/>
      <c r="AI128" s="566"/>
      <c r="AJ128" s="566"/>
      <c r="AK128" s="566"/>
      <c r="AL128" s="566"/>
      <c r="AM128" s="566"/>
      <c r="AN128" s="566"/>
      <c r="AO128" s="566"/>
    </row>
    <row r="129" spans="2:41" x14ac:dyDescent="0.15">
      <c r="B129" s="567">
        <v>-5</v>
      </c>
      <c r="C129" s="566">
        <v>0.13070776255707764</v>
      </c>
      <c r="D129" s="566"/>
      <c r="E129" s="566"/>
      <c r="F129" s="566"/>
      <c r="G129" s="566"/>
      <c r="H129" s="566"/>
      <c r="I129" s="566"/>
      <c r="J129" s="566"/>
      <c r="K129" s="566"/>
      <c r="L129" s="566"/>
      <c r="M129" s="566"/>
      <c r="N129" s="566"/>
      <c r="O129" s="566"/>
      <c r="P129" s="566"/>
      <c r="Q129" s="566"/>
      <c r="R129" s="566"/>
      <c r="S129" s="566"/>
      <c r="T129" s="566"/>
      <c r="U129" s="566"/>
      <c r="V129" s="566"/>
      <c r="W129" s="566"/>
      <c r="X129" s="566"/>
      <c r="Y129" s="566"/>
      <c r="Z129" s="566"/>
      <c r="AA129" s="566"/>
      <c r="AB129" s="566"/>
      <c r="AC129" s="566"/>
      <c r="AD129" s="566"/>
      <c r="AE129" s="566"/>
      <c r="AF129" s="566"/>
      <c r="AG129" s="566"/>
      <c r="AH129" s="566"/>
      <c r="AI129" s="566"/>
      <c r="AJ129" s="566"/>
      <c r="AK129" s="566"/>
      <c r="AL129" s="566"/>
      <c r="AM129" s="566"/>
      <c r="AN129" s="566"/>
      <c r="AO129" s="566"/>
    </row>
    <row r="130" spans="2:41" x14ac:dyDescent="0.15">
      <c r="B130" s="567">
        <v>-4</v>
      </c>
      <c r="C130" s="566">
        <v>0.14771689497716894</v>
      </c>
      <c r="D130" s="566"/>
      <c r="E130" s="566"/>
      <c r="F130" s="566"/>
      <c r="G130" s="566"/>
      <c r="H130" s="566"/>
      <c r="I130" s="566"/>
      <c r="J130" s="566"/>
      <c r="K130" s="566"/>
      <c r="L130" s="566"/>
      <c r="M130" s="566"/>
      <c r="N130" s="566"/>
      <c r="O130" s="566"/>
      <c r="P130" s="566"/>
      <c r="Q130" s="566"/>
      <c r="R130" s="566"/>
      <c r="S130" s="566"/>
      <c r="T130" s="566"/>
      <c r="U130" s="566"/>
      <c r="V130" s="566"/>
      <c r="W130" s="566"/>
      <c r="X130" s="566"/>
      <c r="Y130" s="566"/>
      <c r="Z130" s="566"/>
      <c r="AA130" s="566"/>
      <c r="AB130" s="566"/>
      <c r="AC130" s="566"/>
      <c r="AD130" s="566"/>
      <c r="AE130" s="566"/>
      <c r="AF130" s="566"/>
      <c r="AG130" s="566"/>
      <c r="AH130" s="566"/>
      <c r="AI130" s="566"/>
      <c r="AJ130" s="566"/>
      <c r="AK130" s="566"/>
      <c r="AL130" s="566"/>
      <c r="AM130" s="566"/>
      <c r="AN130" s="566"/>
      <c r="AO130" s="566"/>
    </row>
    <row r="131" spans="2:41" x14ac:dyDescent="0.15">
      <c r="B131" s="567">
        <v>-3</v>
      </c>
      <c r="C131" s="566">
        <v>0.17340182648401825</v>
      </c>
      <c r="D131" s="566"/>
      <c r="E131" s="566"/>
      <c r="F131" s="566"/>
      <c r="G131" s="566"/>
      <c r="H131" s="566"/>
      <c r="I131" s="566"/>
      <c r="J131" s="566"/>
      <c r="K131" s="566"/>
      <c r="L131" s="566"/>
      <c r="M131" s="566"/>
      <c r="N131" s="566"/>
      <c r="O131" s="566"/>
      <c r="P131" s="566"/>
      <c r="Q131" s="566"/>
      <c r="R131" s="566"/>
      <c r="S131" s="566"/>
      <c r="T131" s="566"/>
      <c r="U131" s="566"/>
      <c r="V131" s="566"/>
      <c r="W131" s="566"/>
      <c r="X131" s="566"/>
      <c r="Y131" s="566"/>
      <c r="Z131" s="566"/>
      <c r="AA131" s="566"/>
      <c r="AB131" s="566"/>
      <c r="AC131" s="566"/>
      <c r="AD131" s="566"/>
      <c r="AE131" s="566"/>
      <c r="AF131" s="566"/>
      <c r="AG131" s="566"/>
      <c r="AH131" s="566"/>
      <c r="AI131" s="566"/>
      <c r="AJ131" s="566"/>
      <c r="AK131" s="566"/>
      <c r="AL131" s="566"/>
      <c r="AM131" s="566"/>
      <c r="AN131" s="566"/>
      <c r="AO131" s="566"/>
    </row>
    <row r="132" spans="2:41" x14ac:dyDescent="0.15">
      <c r="B132" s="567">
        <v>-2</v>
      </c>
      <c r="C132" s="566">
        <v>0.20468036529680364</v>
      </c>
      <c r="D132" s="566"/>
      <c r="E132" s="566"/>
      <c r="F132" s="566"/>
      <c r="G132" s="566"/>
      <c r="H132" s="566"/>
      <c r="I132" s="566"/>
      <c r="J132" s="566"/>
      <c r="K132" s="566"/>
      <c r="L132" s="566"/>
      <c r="M132" s="566"/>
      <c r="N132" s="566"/>
      <c r="O132" s="566"/>
      <c r="P132" s="566"/>
      <c r="Q132" s="566"/>
      <c r="R132" s="566"/>
      <c r="S132" s="566"/>
      <c r="T132" s="566"/>
      <c r="U132" s="566"/>
      <c r="V132" s="566"/>
      <c r="W132" s="566"/>
      <c r="X132" s="566"/>
      <c r="Y132" s="566"/>
      <c r="Z132" s="566"/>
      <c r="AA132" s="566"/>
      <c r="AB132" s="566"/>
      <c r="AC132" s="566"/>
      <c r="AD132" s="566"/>
      <c r="AE132" s="566"/>
      <c r="AF132" s="566"/>
      <c r="AG132" s="566"/>
      <c r="AH132" s="566"/>
      <c r="AI132" s="566"/>
      <c r="AJ132" s="566"/>
      <c r="AK132" s="566"/>
      <c r="AL132" s="566"/>
      <c r="AM132" s="566"/>
      <c r="AN132" s="566"/>
      <c r="AO132" s="566"/>
    </row>
    <row r="133" spans="2:41" x14ac:dyDescent="0.15">
      <c r="B133" s="567">
        <v>-1</v>
      </c>
      <c r="C133" s="566">
        <v>0.23184931506849316</v>
      </c>
      <c r="D133" s="566"/>
      <c r="E133" s="566"/>
      <c r="F133" s="566"/>
      <c r="G133" s="566"/>
      <c r="H133" s="566"/>
      <c r="I133" s="566"/>
      <c r="J133" s="566"/>
      <c r="K133" s="566"/>
      <c r="L133" s="566"/>
      <c r="M133" s="566"/>
      <c r="N133" s="566"/>
      <c r="O133" s="566"/>
      <c r="P133" s="566"/>
      <c r="Q133" s="566"/>
      <c r="R133" s="566"/>
      <c r="S133" s="566"/>
      <c r="T133" s="566"/>
      <c r="U133" s="566"/>
      <c r="V133" s="566"/>
      <c r="W133" s="566"/>
      <c r="X133" s="566"/>
      <c r="Y133" s="566"/>
      <c r="Z133" s="566"/>
      <c r="AA133" s="566"/>
      <c r="AB133" s="566"/>
      <c r="AC133" s="566"/>
      <c r="AD133" s="566"/>
      <c r="AE133" s="566"/>
      <c r="AF133" s="566"/>
      <c r="AG133" s="566"/>
      <c r="AH133" s="566"/>
      <c r="AI133" s="566"/>
      <c r="AJ133" s="566"/>
      <c r="AK133" s="566"/>
      <c r="AL133" s="566"/>
      <c r="AM133" s="566"/>
      <c r="AN133" s="566"/>
      <c r="AO133" s="566"/>
    </row>
    <row r="134" spans="2:41" x14ac:dyDescent="0.15">
      <c r="B134" s="567">
        <v>0</v>
      </c>
      <c r="C134" s="566">
        <v>0.27363013698630134</v>
      </c>
      <c r="D134" s="566"/>
      <c r="E134" s="566"/>
      <c r="F134" s="566"/>
      <c r="G134" s="566"/>
      <c r="H134" s="566"/>
      <c r="I134" s="566"/>
      <c r="J134" s="566"/>
      <c r="K134" s="566"/>
      <c r="L134" s="566"/>
      <c r="M134" s="566"/>
      <c r="N134" s="566"/>
      <c r="O134" s="566"/>
      <c r="P134" s="566"/>
      <c r="Q134" s="566"/>
      <c r="R134" s="566"/>
      <c r="S134" s="566"/>
      <c r="T134" s="566"/>
      <c r="U134" s="566"/>
      <c r="V134" s="566"/>
      <c r="W134" s="566"/>
      <c r="X134" s="566"/>
      <c r="Y134" s="566"/>
      <c r="Z134" s="566"/>
      <c r="AA134" s="566"/>
      <c r="AB134" s="566"/>
      <c r="AC134" s="566"/>
      <c r="AD134" s="566"/>
      <c r="AE134" s="566"/>
      <c r="AF134" s="566"/>
      <c r="AG134" s="566"/>
      <c r="AH134" s="566"/>
      <c r="AI134" s="566"/>
      <c r="AJ134" s="566"/>
      <c r="AK134" s="566"/>
      <c r="AL134" s="566"/>
      <c r="AM134" s="566"/>
      <c r="AN134" s="566"/>
      <c r="AO134" s="566"/>
    </row>
    <row r="135" spans="2:41" x14ac:dyDescent="0.15">
      <c r="B135" s="567">
        <v>1</v>
      </c>
      <c r="C135" s="566">
        <v>0.30490867579908676</v>
      </c>
      <c r="D135" s="566"/>
      <c r="E135" s="566"/>
      <c r="F135" s="566"/>
      <c r="G135" s="566"/>
      <c r="H135" s="566"/>
      <c r="I135" s="566"/>
      <c r="J135" s="566"/>
      <c r="K135" s="566"/>
      <c r="L135" s="566"/>
      <c r="M135" s="566"/>
      <c r="N135" s="566"/>
      <c r="O135" s="566"/>
      <c r="P135" s="566"/>
      <c r="Q135" s="566"/>
      <c r="R135" s="566"/>
      <c r="S135" s="566"/>
      <c r="T135" s="566"/>
      <c r="U135" s="566"/>
      <c r="V135" s="566"/>
      <c r="W135" s="566"/>
      <c r="X135" s="566"/>
      <c r="Y135" s="566"/>
      <c r="Z135" s="566"/>
      <c r="AA135" s="566"/>
      <c r="AB135" s="566"/>
      <c r="AC135" s="566"/>
      <c r="AD135" s="566"/>
      <c r="AE135" s="566"/>
      <c r="AF135" s="566"/>
      <c r="AG135" s="566"/>
      <c r="AH135" s="566"/>
      <c r="AI135" s="566"/>
      <c r="AJ135" s="566"/>
      <c r="AK135" s="566"/>
      <c r="AL135" s="566"/>
      <c r="AM135" s="566"/>
      <c r="AN135" s="566"/>
      <c r="AO135" s="566"/>
    </row>
    <row r="136" spans="2:41" x14ac:dyDescent="0.15">
      <c r="B136" s="567">
        <v>2</v>
      </c>
      <c r="C136" s="566">
        <v>0.36506849315068496</v>
      </c>
      <c r="D136" s="566"/>
      <c r="E136" s="566"/>
      <c r="F136" s="566"/>
      <c r="G136" s="566"/>
      <c r="H136" s="566"/>
      <c r="I136" s="566"/>
      <c r="J136" s="566"/>
      <c r="K136" s="566"/>
      <c r="L136" s="566"/>
      <c r="M136" s="566"/>
      <c r="N136" s="566"/>
      <c r="O136" s="566"/>
      <c r="P136" s="566"/>
      <c r="Q136" s="566"/>
      <c r="R136" s="566"/>
      <c r="S136" s="566"/>
      <c r="T136" s="566"/>
      <c r="U136" s="566"/>
      <c r="V136" s="566"/>
      <c r="W136" s="566"/>
      <c r="X136" s="566"/>
      <c r="Y136" s="566"/>
      <c r="Z136" s="566"/>
      <c r="AA136" s="566"/>
      <c r="AB136" s="566"/>
      <c r="AC136" s="566"/>
      <c r="AD136" s="566"/>
      <c r="AE136" s="566"/>
      <c r="AF136" s="566"/>
      <c r="AG136" s="566"/>
      <c r="AH136" s="566"/>
      <c r="AI136" s="566"/>
      <c r="AJ136" s="566"/>
      <c r="AK136" s="566"/>
      <c r="AL136" s="566"/>
      <c r="AM136" s="566"/>
      <c r="AN136" s="566"/>
      <c r="AO136" s="566"/>
    </row>
    <row r="137" spans="2:41" x14ac:dyDescent="0.15">
      <c r="B137" s="567">
        <v>3</v>
      </c>
      <c r="C137" s="566">
        <v>0.40559360730593608</v>
      </c>
      <c r="D137" s="566"/>
      <c r="E137" s="566"/>
      <c r="F137" s="566"/>
      <c r="G137" s="566"/>
      <c r="H137" s="566"/>
      <c r="I137" s="566"/>
      <c r="J137" s="566"/>
      <c r="K137" s="566"/>
      <c r="L137" s="566"/>
      <c r="M137" s="566"/>
      <c r="N137" s="566"/>
      <c r="O137" s="566"/>
      <c r="P137" s="566"/>
      <c r="Q137" s="566"/>
      <c r="R137" s="566"/>
      <c r="S137" s="566"/>
      <c r="T137" s="566"/>
      <c r="U137" s="566"/>
      <c r="V137" s="566"/>
      <c r="W137" s="566"/>
      <c r="X137" s="566"/>
      <c r="Y137" s="566"/>
      <c r="Z137" s="566"/>
      <c r="AA137" s="566"/>
      <c r="AB137" s="566"/>
      <c r="AC137" s="566"/>
      <c r="AD137" s="566"/>
      <c r="AE137" s="566"/>
      <c r="AF137" s="566"/>
      <c r="AG137" s="566"/>
      <c r="AH137" s="566"/>
      <c r="AI137" s="566"/>
      <c r="AJ137" s="566"/>
      <c r="AK137" s="566"/>
      <c r="AL137" s="566"/>
      <c r="AM137" s="566"/>
      <c r="AN137" s="566"/>
      <c r="AO137" s="566"/>
    </row>
    <row r="138" spans="2:41" x14ac:dyDescent="0.15">
      <c r="B138" s="567">
        <v>4</v>
      </c>
      <c r="C138" s="566">
        <v>0.4534246575342466</v>
      </c>
      <c r="D138" s="566"/>
      <c r="E138" s="566"/>
      <c r="F138" s="566"/>
      <c r="G138" s="566"/>
      <c r="H138" s="566"/>
      <c r="I138" s="566"/>
      <c r="J138" s="566"/>
      <c r="K138" s="566"/>
      <c r="L138" s="566"/>
      <c r="M138" s="566"/>
      <c r="N138" s="566"/>
      <c r="O138" s="566"/>
      <c r="P138" s="566"/>
      <c r="Q138" s="566"/>
      <c r="R138" s="566"/>
      <c r="S138" s="566"/>
      <c r="T138" s="566"/>
      <c r="U138" s="566"/>
      <c r="V138" s="566"/>
      <c r="W138" s="566"/>
      <c r="X138" s="566"/>
      <c r="Y138" s="566"/>
      <c r="Z138" s="566"/>
      <c r="AA138" s="566"/>
      <c r="AB138" s="566"/>
      <c r="AC138" s="566"/>
      <c r="AD138" s="566"/>
      <c r="AE138" s="566"/>
      <c r="AF138" s="566"/>
      <c r="AG138" s="566"/>
      <c r="AH138" s="566"/>
      <c r="AI138" s="566"/>
      <c r="AJ138" s="566"/>
      <c r="AK138" s="566"/>
      <c r="AL138" s="566"/>
      <c r="AM138" s="566"/>
      <c r="AN138" s="566"/>
      <c r="AO138" s="566"/>
    </row>
    <row r="139" spans="2:41" x14ac:dyDescent="0.15">
      <c r="B139" s="567">
        <v>5</v>
      </c>
      <c r="C139" s="566">
        <v>0.49874429223744293</v>
      </c>
      <c r="D139" s="566"/>
      <c r="E139" s="566"/>
      <c r="F139" s="566"/>
      <c r="G139" s="566"/>
      <c r="H139" s="566"/>
      <c r="I139" s="566"/>
      <c r="J139" s="566"/>
      <c r="K139" s="566"/>
      <c r="L139" s="566"/>
      <c r="M139" s="566"/>
      <c r="N139" s="566"/>
      <c r="O139" s="566"/>
      <c r="P139" s="566"/>
      <c r="Q139" s="566"/>
      <c r="R139" s="566"/>
      <c r="S139" s="566"/>
      <c r="T139" s="566"/>
      <c r="U139" s="566"/>
      <c r="V139" s="566"/>
      <c r="W139" s="566"/>
      <c r="X139" s="566"/>
      <c r="Y139" s="566"/>
      <c r="Z139" s="566"/>
      <c r="AA139" s="566"/>
      <c r="AB139" s="566"/>
      <c r="AC139" s="566"/>
      <c r="AD139" s="566"/>
      <c r="AE139" s="566"/>
      <c r="AF139" s="566"/>
      <c r="AG139" s="566"/>
      <c r="AH139" s="566"/>
      <c r="AI139" s="566"/>
      <c r="AJ139" s="566"/>
      <c r="AK139" s="566"/>
      <c r="AL139" s="566"/>
      <c r="AM139" s="566"/>
      <c r="AN139" s="566"/>
      <c r="AO139" s="566"/>
    </row>
    <row r="140" spans="2:41" x14ac:dyDescent="0.15">
      <c r="B140" s="567">
        <v>6</v>
      </c>
      <c r="C140" s="566">
        <v>0.51609589041095894</v>
      </c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</row>
    <row r="141" spans="2:41" x14ac:dyDescent="0.15">
      <c r="B141" s="567">
        <v>7</v>
      </c>
      <c r="C141" s="566">
        <v>0.5501141552511416</v>
      </c>
      <c r="D141" s="566"/>
      <c r="E141" s="566"/>
      <c r="F141" s="566"/>
      <c r="G141" s="566"/>
      <c r="H141" s="566"/>
      <c r="I141" s="566"/>
      <c r="J141" s="566"/>
      <c r="K141" s="566"/>
      <c r="L141" s="566"/>
      <c r="M141" s="566"/>
      <c r="N141" s="566"/>
      <c r="O141" s="566"/>
      <c r="P141" s="566"/>
      <c r="Q141" s="566"/>
      <c r="R141" s="566"/>
      <c r="S141" s="566"/>
      <c r="T141" s="566"/>
      <c r="U141" s="566"/>
      <c r="V141" s="566"/>
      <c r="W141" s="566"/>
      <c r="X141" s="566"/>
      <c r="Y141" s="566"/>
      <c r="Z141" s="566"/>
      <c r="AA141" s="566"/>
      <c r="AB141" s="566"/>
      <c r="AC141" s="566"/>
      <c r="AD141" s="566"/>
      <c r="AE141" s="566"/>
      <c r="AF141" s="566"/>
      <c r="AG141" s="566"/>
      <c r="AH141" s="566"/>
      <c r="AI141" s="566"/>
      <c r="AJ141" s="566"/>
      <c r="AK141" s="566"/>
      <c r="AL141" s="566"/>
      <c r="AM141" s="566"/>
      <c r="AN141" s="566"/>
      <c r="AO141" s="566"/>
    </row>
    <row r="142" spans="2:41" x14ac:dyDescent="0.15">
      <c r="B142" s="567">
        <v>8</v>
      </c>
      <c r="C142" s="566">
        <v>0.58858447488584476</v>
      </c>
      <c r="D142" s="566"/>
      <c r="E142" s="566"/>
      <c r="F142" s="566"/>
      <c r="G142" s="566"/>
      <c r="H142" s="566"/>
      <c r="I142" s="566"/>
      <c r="J142" s="566"/>
      <c r="K142" s="566"/>
      <c r="L142" s="566"/>
      <c r="M142" s="566"/>
      <c r="N142" s="566"/>
      <c r="O142" s="566"/>
      <c r="P142" s="566"/>
      <c r="Q142" s="566"/>
      <c r="R142" s="566"/>
      <c r="S142" s="566"/>
      <c r="T142" s="566"/>
      <c r="U142" s="566"/>
      <c r="V142" s="566"/>
      <c r="W142" s="566"/>
      <c r="X142" s="566"/>
      <c r="Y142" s="566"/>
      <c r="Z142" s="566"/>
      <c r="AA142" s="566"/>
      <c r="AB142" s="566"/>
      <c r="AC142" s="566"/>
      <c r="AD142" s="566"/>
      <c r="AE142" s="566"/>
      <c r="AF142" s="566"/>
      <c r="AG142" s="566"/>
      <c r="AH142" s="566"/>
      <c r="AI142" s="566"/>
      <c r="AJ142" s="566"/>
      <c r="AK142" s="566"/>
      <c r="AL142" s="566"/>
      <c r="AM142" s="566"/>
      <c r="AN142" s="566"/>
      <c r="AO142" s="566"/>
    </row>
    <row r="143" spans="2:41" x14ac:dyDescent="0.15">
      <c r="B143" s="567">
        <v>9</v>
      </c>
      <c r="C143" s="566">
        <v>0.6205479452054794</v>
      </c>
      <c r="D143" s="566"/>
      <c r="E143" s="566"/>
      <c r="F143" s="566"/>
      <c r="G143" s="566"/>
      <c r="H143" s="566"/>
      <c r="I143" s="566"/>
      <c r="J143" s="566"/>
      <c r="K143" s="566"/>
      <c r="L143" s="566"/>
      <c r="M143" s="566"/>
      <c r="N143" s="566"/>
      <c r="O143" s="566"/>
      <c r="P143" s="566"/>
      <c r="Q143" s="566"/>
      <c r="R143" s="566"/>
      <c r="S143" s="566"/>
      <c r="T143" s="566"/>
      <c r="U143" s="566"/>
      <c r="V143" s="566"/>
      <c r="W143" s="566"/>
      <c r="X143" s="566"/>
      <c r="Y143" s="566"/>
      <c r="Z143" s="566"/>
      <c r="AA143" s="566"/>
      <c r="AB143" s="566"/>
      <c r="AC143" s="566"/>
      <c r="AD143" s="566"/>
      <c r="AE143" s="566"/>
      <c r="AF143" s="566"/>
      <c r="AG143" s="566"/>
      <c r="AH143" s="566"/>
      <c r="AI143" s="566"/>
      <c r="AJ143" s="566"/>
      <c r="AK143" s="566"/>
      <c r="AL143" s="566"/>
      <c r="AM143" s="566"/>
      <c r="AN143" s="566"/>
      <c r="AO143" s="566"/>
    </row>
    <row r="144" spans="2:41" x14ac:dyDescent="0.15">
      <c r="B144" s="567">
        <v>10</v>
      </c>
      <c r="C144" s="566">
        <v>0.65936073059360734</v>
      </c>
      <c r="D144" s="566"/>
      <c r="E144" s="566"/>
      <c r="F144" s="566"/>
      <c r="G144" s="566"/>
      <c r="H144" s="566"/>
      <c r="I144" s="566"/>
      <c r="J144" s="566"/>
      <c r="K144" s="566"/>
      <c r="L144" s="566"/>
      <c r="M144" s="566"/>
      <c r="N144" s="566"/>
      <c r="O144" s="566"/>
      <c r="P144" s="566"/>
      <c r="Q144" s="566"/>
      <c r="R144" s="566"/>
      <c r="S144" s="566"/>
      <c r="T144" s="566"/>
      <c r="U144" s="566"/>
      <c r="V144" s="566"/>
      <c r="W144" s="566"/>
      <c r="X144" s="566"/>
      <c r="Y144" s="566"/>
      <c r="Z144" s="566"/>
      <c r="AA144" s="566"/>
      <c r="AB144" s="566"/>
      <c r="AC144" s="566"/>
      <c r="AD144" s="566"/>
      <c r="AE144" s="566"/>
      <c r="AF144" s="566"/>
      <c r="AG144" s="566"/>
      <c r="AH144" s="566"/>
      <c r="AI144" s="566"/>
      <c r="AJ144" s="566"/>
      <c r="AK144" s="566"/>
      <c r="AL144" s="566"/>
      <c r="AM144" s="566"/>
      <c r="AN144" s="566"/>
      <c r="AO144" s="566"/>
    </row>
    <row r="145" spans="2:41" x14ac:dyDescent="0.15">
      <c r="B145" s="567">
        <v>11</v>
      </c>
      <c r="C145" s="566">
        <v>0.68093607305936077</v>
      </c>
      <c r="D145" s="566"/>
      <c r="E145" s="566"/>
      <c r="F145" s="566"/>
      <c r="G145" s="566"/>
      <c r="H145" s="566"/>
      <c r="I145" s="566"/>
      <c r="J145" s="566"/>
      <c r="K145" s="566"/>
      <c r="L145" s="566"/>
      <c r="M145" s="566"/>
      <c r="N145" s="566"/>
      <c r="O145" s="566"/>
      <c r="P145" s="566"/>
      <c r="Q145" s="566"/>
      <c r="R145" s="566"/>
      <c r="S145" s="566"/>
      <c r="T145" s="566"/>
      <c r="U145" s="566"/>
      <c r="V145" s="566"/>
      <c r="W145" s="566"/>
      <c r="X145" s="566"/>
      <c r="Y145" s="566"/>
      <c r="Z145" s="566"/>
      <c r="AA145" s="566"/>
      <c r="AB145" s="566"/>
      <c r="AC145" s="566"/>
      <c r="AD145" s="566"/>
      <c r="AE145" s="566"/>
      <c r="AF145" s="566"/>
      <c r="AG145" s="566"/>
      <c r="AH145" s="566"/>
      <c r="AI145" s="566"/>
      <c r="AJ145" s="566"/>
      <c r="AK145" s="566"/>
      <c r="AL145" s="566"/>
      <c r="AM145" s="566"/>
      <c r="AN145" s="566"/>
      <c r="AO145" s="566"/>
    </row>
    <row r="146" spans="2:41" x14ac:dyDescent="0.15">
      <c r="B146" s="567">
        <v>12</v>
      </c>
      <c r="C146" s="566">
        <v>0.71860730593607303</v>
      </c>
      <c r="D146" s="566"/>
      <c r="E146" s="566"/>
      <c r="F146" s="566"/>
      <c r="G146" s="566"/>
      <c r="H146" s="566"/>
      <c r="I146" s="566"/>
      <c r="J146" s="566"/>
      <c r="K146" s="566"/>
      <c r="L146" s="566"/>
      <c r="M146" s="566"/>
      <c r="N146" s="566"/>
      <c r="O146" s="566"/>
      <c r="P146" s="566"/>
      <c r="Q146" s="566"/>
      <c r="R146" s="566"/>
      <c r="S146" s="566"/>
      <c r="T146" s="566"/>
      <c r="U146" s="566"/>
      <c r="V146" s="566"/>
      <c r="W146" s="566"/>
      <c r="X146" s="566"/>
      <c r="Y146" s="566"/>
      <c r="Z146" s="566"/>
      <c r="AA146" s="566"/>
      <c r="AB146" s="566"/>
      <c r="AC146" s="566"/>
      <c r="AD146" s="566"/>
      <c r="AE146" s="566"/>
      <c r="AF146" s="566"/>
      <c r="AG146" s="566"/>
      <c r="AH146" s="566"/>
      <c r="AI146" s="566"/>
      <c r="AJ146" s="566"/>
      <c r="AK146" s="566"/>
      <c r="AL146" s="566"/>
      <c r="AM146" s="566"/>
      <c r="AN146" s="566"/>
      <c r="AO146" s="566"/>
    </row>
    <row r="147" spans="2:41" x14ac:dyDescent="0.15">
      <c r="B147" s="567">
        <v>13</v>
      </c>
      <c r="C147" s="566">
        <v>0.76404109589041092</v>
      </c>
      <c r="D147" s="566"/>
      <c r="E147" s="566"/>
      <c r="F147" s="566"/>
      <c r="G147" s="566"/>
      <c r="H147" s="566"/>
      <c r="I147" s="566"/>
      <c r="J147" s="566"/>
      <c r="K147" s="566"/>
      <c r="L147" s="566"/>
      <c r="M147" s="566"/>
      <c r="N147" s="566"/>
      <c r="O147" s="566"/>
      <c r="P147" s="566"/>
      <c r="Q147" s="566"/>
      <c r="R147" s="566"/>
      <c r="S147" s="566"/>
      <c r="T147" s="566"/>
      <c r="U147" s="566"/>
      <c r="V147" s="566"/>
      <c r="W147" s="566"/>
      <c r="X147" s="566"/>
      <c r="Y147" s="566"/>
      <c r="Z147" s="566"/>
      <c r="AA147" s="566"/>
      <c r="AB147" s="566"/>
      <c r="AC147" s="566"/>
      <c r="AD147" s="566"/>
      <c r="AE147" s="566"/>
      <c r="AF147" s="566"/>
      <c r="AG147" s="566"/>
      <c r="AH147" s="566"/>
      <c r="AI147" s="566"/>
      <c r="AJ147" s="566"/>
      <c r="AK147" s="566"/>
      <c r="AL147" s="566"/>
      <c r="AM147" s="566"/>
      <c r="AN147" s="566"/>
      <c r="AO147" s="566"/>
    </row>
    <row r="148" spans="2:41" x14ac:dyDescent="0.15">
      <c r="B148" s="567">
        <v>14</v>
      </c>
      <c r="C148" s="566">
        <v>0.80936073059360736</v>
      </c>
      <c r="D148" s="566"/>
      <c r="E148" s="566"/>
      <c r="F148" s="566"/>
      <c r="G148" s="566"/>
      <c r="H148" s="566"/>
      <c r="I148" s="566"/>
      <c r="J148" s="566"/>
      <c r="K148" s="566"/>
      <c r="L148" s="566"/>
      <c r="M148" s="566"/>
      <c r="N148" s="566"/>
      <c r="O148" s="566"/>
      <c r="P148" s="566"/>
      <c r="Q148" s="566"/>
      <c r="R148" s="566"/>
      <c r="S148" s="566"/>
      <c r="T148" s="566"/>
      <c r="U148" s="566"/>
      <c r="V148" s="566"/>
      <c r="W148" s="566"/>
      <c r="X148" s="566"/>
      <c r="Y148" s="566"/>
      <c r="Z148" s="566"/>
      <c r="AA148" s="566"/>
      <c r="AB148" s="566"/>
      <c r="AC148" s="566"/>
      <c r="AD148" s="566"/>
      <c r="AE148" s="566"/>
      <c r="AF148" s="566"/>
      <c r="AG148" s="566"/>
      <c r="AH148" s="566"/>
      <c r="AI148" s="566"/>
      <c r="AJ148" s="566"/>
      <c r="AK148" s="566"/>
      <c r="AL148" s="566"/>
      <c r="AM148" s="566"/>
      <c r="AN148" s="566"/>
      <c r="AO148" s="566"/>
    </row>
    <row r="149" spans="2:41" x14ac:dyDescent="0.15">
      <c r="B149" s="567">
        <v>15</v>
      </c>
      <c r="C149" s="566">
        <v>0.84531963470319638</v>
      </c>
      <c r="D149" s="566"/>
      <c r="E149" s="566"/>
      <c r="F149" s="566"/>
      <c r="G149" s="566"/>
      <c r="H149" s="566"/>
      <c r="I149" s="566"/>
      <c r="J149" s="566"/>
      <c r="K149" s="566"/>
      <c r="L149" s="566"/>
      <c r="M149" s="566"/>
      <c r="N149" s="566"/>
      <c r="O149" s="566"/>
      <c r="P149" s="566"/>
      <c r="Q149" s="566"/>
      <c r="R149" s="566"/>
      <c r="S149" s="566"/>
      <c r="T149" s="566"/>
      <c r="U149" s="566"/>
      <c r="V149" s="566"/>
      <c r="W149" s="566"/>
      <c r="X149" s="566"/>
      <c r="Y149" s="566"/>
      <c r="Z149" s="566"/>
      <c r="AA149" s="566"/>
      <c r="AB149" s="566"/>
      <c r="AC149" s="566"/>
      <c r="AD149" s="566"/>
      <c r="AE149" s="566"/>
      <c r="AF149" s="566"/>
      <c r="AG149" s="566"/>
      <c r="AH149" s="566"/>
      <c r="AI149" s="566"/>
      <c r="AJ149" s="566"/>
      <c r="AK149" s="566"/>
      <c r="AL149" s="566"/>
      <c r="AM149" s="566"/>
      <c r="AN149" s="566"/>
      <c r="AO149" s="566"/>
    </row>
    <row r="150" spans="2:41" x14ac:dyDescent="0.15">
      <c r="B150" s="567">
        <v>16</v>
      </c>
      <c r="C150" s="566">
        <v>0.86312785388127855</v>
      </c>
      <c r="D150" s="566"/>
      <c r="E150" s="566"/>
      <c r="F150" s="566"/>
      <c r="G150" s="566"/>
      <c r="H150" s="566"/>
      <c r="I150" s="566"/>
      <c r="J150" s="566"/>
      <c r="K150" s="566"/>
      <c r="L150" s="566"/>
      <c r="M150" s="566"/>
      <c r="N150" s="566"/>
      <c r="O150" s="566"/>
      <c r="P150" s="566"/>
      <c r="Q150" s="566"/>
      <c r="R150" s="566"/>
      <c r="S150" s="566"/>
      <c r="T150" s="566"/>
      <c r="U150" s="566"/>
      <c r="V150" s="566"/>
      <c r="W150" s="566"/>
      <c r="X150" s="566"/>
      <c r="Y150" s="566"/>
      <c r="Z150" s="566"/>
      <c r="AA150" s="566"/>
      <c r="AB150" s="566"/>
      <c r="AC150" s="566"/>
      <c r="AD150" s="566"/>
      <c r="AE150" s="566"/>
      <c r="AF150" s="566"/>
      <c r="AG150" s="566"/>
      <c r="AH150" s="566"/>
      <c r="AI150" s="566"/>
      <c r="AJ150" s="566"/>
      <c r="AK150" s="566"/>
      <c r="AL150" s="566"/>
      <c r="AM150" s="566"/>
      <c r="AN150" s="566"/>
      <c r="AO150" s="566"/>
    </row>
    <row r="151" spans="2:41" x14ac:dyDescent="0.15">
      <c r="B151" s="567">
        <v>17</v>
      </c>
      <c r="C151" s="566">
        <v>0.88949771689497714</v>
      </c>
      <c r="D151" s="566"/>
      <c r="E151" s="566"/>
      <c r="F151" s="566"/>
      <c r="G151" s="566"/>
      <c r="H151" s="566"/>
      <c r="I151" s="566"/>
      <c r="J151" s="566"/>
      <c r="K151" s="566"/>
      <c r="L151" s="566"/>
      <c r="M151" s="566"/>
      <c r="N151" s="566"/>
      <c r="O151" s="566"/>
      <c r="P151" s="566"/>
      <c r="Q151" s="566"/>
      <c r="R151" s="566"/>
      <c r="S151" s="566"/>
      <c r="T151" s="566"/>
      <c r="U151" s="566"/>
      <c r="V151" s="566"/>
      <c r="W151" s="566"/>
      <c r="X151" s="566"/>
      <c r="Y151" s="566"/>
      <c r="Z151" s="566"/>
      <c r="AA151" s="566"/>
      <c r="AB151" s="566"/>
      <c r="AC151" s="566"/>
      <c r="AD151" s="566"/>
      <c r="AE151" s="566"/>
      <c r="AF151" s="566"/>
      <c r="AG151" s="566"/>
      <c r="AH151" s="566"/>
      <c r="AI151" s="566"/>
      <c r="AJ151" s="566"/>
      <c r="AK151" s="566"/>
      <c r="AL151" s="566"/>
      <c r="AM151" s="566"/>
      <c r="AN151" s="566"/>
      <c r="AO151" s="566"/>
    </row>
    <row r="152" spans="2:41" x14ac:dyDescent="0.15">
      <c r="B152" s="567">
        <v>18</v>
      </c>
      <c r="C152" s="566">
        <v>0.91461187214611872</v>
      </c>
      <c r="D152" s="566"/>
      <c r="E152" s="566"/>
      <c r="F152" s="566"/>
      <c r="G152" s="566"/>
      <c r="H152" s="566"/>
      <c r="I152" s="566"/>
      <c r="J152" s="566"/>
      <c r="K152" s="566"/>
      <c r="L152" s="566"/>
      <c r="M152" s="566"/>
      <c r="N152" s="566"/>
      <c r="O152" s="566"/>
      <c r="P152" s="566"/>
      <c r="Q152" s="566"/>
      <c r="R152" s="566"/>
      <c r="S152" s="566"/>
      <c r="T152" s="566"/>
      <c r="U152" s="566"/>
      <c r="V152" s="566"/>
      <c r="W152" s="566"/>
      <c r="X152" s="566"/>
      <c r="Y152" s="566"/>
      <c r="Z152" s="566"/>
      <c r="AA152" s="566"/>
      <c r="AB152" s="566"/>
      <c r="AC152" s="566"/>
      <c r="AD152" s="566"/>
      <c r="AE152" s="566"/>
      <c r="AF152" s="566"/>
      <c r="AG152" s="566"/>
      <c r="AH152" s="566"/>
      <c r="AI152" s="566"/>
      <c r="AJ152" s="566"/>
      <c r="AK152" s="566"/>
      <c r="AL152" s="566"/>
      <c r="AM152" s="566"/>
      <c r="AN152" s="566"/>
      <c r="AO152" s="566"/>
    </row>
    <row r="153" spans="2:41" x14ac:dyDescent="0.15">
      <c r="B153" s="567">
        <v>19</v>
      </c>
      <c r="C153" s="566">
        <v>0.93641552511415527</v>
      </c>
      <c r="D153" s="566"/>
      <c r="E153" s="566"/>
      <c r="F153" s="566"/>
      <c r="G153" s="566"/>
      <c r="H153" s="566"/>
      <c r="I153" s="566"/>
      <c r="J153" s="566"/>
      <c r="K153" s="566"/>
      <c r="L153" s="566"/>
      <c r="M153" s="566"/>
      <c r="N153" s="566"/>
      <c r="O153" s="566"/>
      <c r="P153" s="566"/>
      <c r="Q153" s="566"/>
      <c r="R153" s="566"/>
      <c r="S153" s="566"/>
      <c r="T153" s="566"/>
      <c r="U153" s="566"/>
      <c r="V153" s="566"/>
      <c r="W153" s="566"/>
      <c r="X153" s="566"/>
      <c r="Y153" s="566"/>
      <c r="Z153" s="566"/>
      <c r="AA153" s="566"/>
      <c r="AB153" s="566"/>
      <c r="AC153" s="566"/>
      <c r="AD153" s="566"/>
      <c r="AE153" s="566"/>
      <c r="AF153" s="566"/>
      <c r="AG153" s="566"/>
      <c r="AH153" s="566"/>
      <c r="AI153" s="566"/>
      <c r="AJ153" s="566"/>
      <c r="AK153" s="566"/>
      <c r="AL153" s="566"/>
      <c r="AM153" s="566"/>
      <c r="AN153" s="566"/>
      <c r="AO153" s="566"/>
    </row>
    <row r="154" spans="2:41" x14ac:dyDescent="0.15">
      <c r="B154" s="567">
        <v>20</v>
      </c>
      <c r="C154" s="566">
        <v>0.95399543378995433</v>
      </c>
      <c r="D154" s="566"/>
      <c r="E154" s="566"/>
      <c r="F154" s="566"/>
      <c r="G154" s="566"/>
      <c r="H154" s="566"/>
      <c r="I154" s="566"/>
      <c r="J154" s="566"/>
      <c r="K154" s="566"/>
      <c r="L154" s="566"/>
      <c r="M154" s="566"/>
      <c r="N154" s="566"/>
      <c r="O154" s="566"/>
      <c r="P154" s="566"/>
      <c r="Q154" s="566"/>
      <c r="R154" s="566"/>
      <c r="S154" s="566"/>
      <c r="T154" s="566"/>
      <c r="U154" s="566"/>
      <c r="V154" s="566"/>
      <c r="W154" s="566"/>
      <c r="X154" s="566"/>
      <c r="Y154" s="566"/>
      <c r="Z154" s="566"/>
      <c r="AA154" s="566"/>
      <c r="AB154" s="566"/>
      <c r="AC154" s="566"/>
      <c r="AD154" s="566"/>
      <c r="AE154" s="566"/>
      <c r="AF154" s="566"/>
      <c r="AG154" s="566"/>
      <c r="AH154" s="566"/>
      <c r="AI154" s="566"/>
      <c r="AJ154" s="566"/>
      <c r="AK154" s="566"/>
      <c r="AL154" s="566"/>
      <c r="AM154" s="566"/>
      <c r="AN154" s="566"/>
      <c r="AO154" s="566"/>
    </row>
    <row r="155" spans="2:41" x14ac:dyDescent="0.15">
      <c r="B155" s="567">
        <v>21</v>
      </c>
      <c r="C155" s="566">
        <v>0.96107305936073062</v>
      </c>
      <c r="D155" s="566"/>
      <c r="E155" s="566"/>
      <c r="F155" s="566"/>
      <c r="G155" s="566"/>
      <c r="H155" s="566"/>
      <c r="I155" s="566"/>
      <c r="J155" s="566"/>
      <c r="K155" s="566"/>
      <c r="L155" s="566"/>
      <c r="M155" s="566"/>
      <c r="N155" s="566"/>
      <c r="O155" s="566"/>
      <c r="P155" s="566"/>
      <c r="Q155" s="566"/>
      <c r="R155" s="566"/>
      <c r="S155" s="566"/>
      <c r="T155" s="566"/>
      <c r="U155" s="566"/>
      <c r="V155" s="566"/>
      <c r="W155" s="566"/>
      <c r="X155" s="566"/>
      <c r="Y155" s="566"/>
      <c r="Z155" s="566"/>
      <c r="AA155" s="566"/>
      <c r="AB155" s="566"/>
      <c r="AC155" s="566"/>
      <c r="AD155" s="566"/>
      <c r="AE155" s="566"/>
      <c r="AF155" s="566"/>
      <c r="AG155" s="566"/>
      <c r="AH155" s="566"/>
      <c r="AI155" s="566"/>
      <c r="AJ155" s="566"/>
      <c r="AK155" s="566"/>
      <c r="AL155" s="566"/>
      <c r="AM155" s="566"/>
      <c r="AN155" s="566"/>
      <c r="AO155" s="566"/>
    </row>
    <row r="156" spans="2:41" x14ac:dyDescent="0.15">
      <c r="B156" s="567">
        <v>22</v>
      </c>
      <c r="C156" s="566">
        <v>0.97305936073059363</v>
      </c>
      <c r="D156" s="566"/>
      <c r="E156" s="566"/>
      <c r="F156" s="566"/>
      <c r="G156" s="566"/>
      <c r="H156" s="566"/>
      <c r="I156" s="566"/>
      <c r="J156" s="566"/>
      <c r="K156" s="566"/>
      <c r="L156" s="566"/>
      <c r="M156" s="566"/>
      <c r="N156" s="566"/>
      <c r="O156" s="566"/>
      <c r="P156" s="566"/>
      <c r="Q156" s="566"/>
      <c r="R156" s="566"/>
      <c r="S156" s="566"/>
      <c r="T156" s="566"/>
      <c r="U156" s="566"/>
      <c r="V156" s="566"/>
      <c r="W156" s="566"/>
      <c r="X156" s="566"/>
      <c r="Y156" s="566"/>
      <c r="Z156" s="566"/>
      <c r="AA156" s="566"/>
      <c r="AB156" s="566"/>
      <c r="AC156" s="566"/>
      <c r="AD156" s="566"/>
      <c r="AE156" s="566"/>
      <c r="AF156" s="566"/>
      <c r="AG156" s="566"/>
      <c r="AH156" s="566"/>
      <c r="AI156" s="566"/>
      <c r="AJ156" s="566"/>
      <c r="AK156" s="566"/>
      <c r="AL156" s="566"/>
      <c r="AM156" s="566"/>
      <c r="AN156" s="566"/>
      <c r="AO156" s="566"/>
    </row>
    <row r="157" spans="2:41" x14ac:dyDescent="0.15">
      <c r="B157" s="567">
        <v>23</v>
      </c>
      <c r="C157" s="566">
        <v>0.98264840182648405</v>
      </c>
      <c r="D157" s="566"/>
      <c r="E157" s="566"/>
      <c r="F157" s="566"/>
      <c r="G157" s="566"/>
      <c r="H157" s="566"/>
      <c r="I157" s="566"/>
      <c r="J157" s="566"/>
      <c r="K157" s="566"/>
      <c r="L157" s="566"/>
      <c r="M157" s="566"/>
      <c r="N157" s="566"/>
      <c r="O157" s="566"/>
      <c r="P157" s="566"/>
      <c r="Q157" s="566"/>
      <c r="R157" s="566"/>
      <c r="S157" s="566"/>
      <c r="T157" s="566"/>
      <c r="U157" s="566"/>
      <c r="V157" s="566"/>
      <c r="W157" s="566"/>
      <c r="X157" s="566"/>
      <c r="Y157" s="566"/>
      <c r="Z157" s="566"/>
      <c r="AA157" s="566"/>
      <c r="AB157" s="566"/>
      <c r="AC157" s="566"/>
      <c r="AD157" s="566"/>
      <c r="AE157" s="566"/>
      <c r="AF157" s="566"/>
      <c r="AG157" s="566"/>
      <c r="AH157" s="566"/>
      <c r="AI157" s="566"/>
      <c r="AJ157" s="566"/>
      <c r="AK157" s="566"/>
      <c r="AL157" s="566"/>
      <c r="AM157" s="566"/>
      <c r="AN157" s="566"/>
      <c r="AO157" s="566"/>
    </row>
    <row r="158" spans="2:41" x14ac:dyDescent="0.15">
      <c r="B158" s="567">
        <v>24</v>
      </c>
      <c r="C158" s="566">
        <v>0.99041095890410957</v>
      </c>
      <c r="D158" s="566"/>
      <c r="E158" s="566"/>
      <c r="F158" s="566"/>
      <c r="G158" s="566"/>
      <c r="H158" s="566"/>
      <c r="I158" s="566"/>
      <c r="J158" s="566"/>
      <c r="K158" s="566"/>
      <c r="L158" s="566"/>
      <c r="M158" s="566"/>
      <c r="N158" s="566"/>
      <c r="O158" s="566"/>
      <c r="P158" s="566"/>
      <c r="Q158" s="566"/>
      <c r="R158" s="566"/>
      <c r="S158" s="566"/>
      <c r="T158" s="566"/>
      <c r="U158" s="566"/>
      <c r="V158" s="566"/>
      <c r="W158" s="566"/>
      <c r="X158" s="566"/>
      <c r="Y158" s="566"/>
      <c r="Z158" s="566"/>
      <c r="AA158" s="566"/>
      <c r="AB158" s="566"/>
      <c r="AC158" s="566"/>
      <c r="AD158" s="566"/>
      <c r="AE158" s="566"/>
      <c r="AF158" s="566"/>
      <c r="AG158" s="566"/>
      <c r="AH158" s="566"/>
      <c r="AI158" s="566"/>
      <c r="AJ158" s="566"/>
      <c r="AK158" s="566"/>
      <c r="AL158" s="566"/>
      <c r="AM158" s="566"/>
      <c r="AN158" s="566"/>
      <c r="AO158" s="566"/>
    </row>
    <row r="159" spans="2:41" x14ac:dyDescent="0.15">
      <c r="B159" s="567">
        <v>25</v>
      </c>
      <c r="C159" s="566">
        <v>0.99566210045662096</v>
      </c>
      <c r="D159" s="566"/>
      <c r="E159" s="566"/>
      <c r="F159" s="566"/>
      <c r="G159" s="566"/>
      <c r="H159" s="566"/>
      <c r="I159" s="566"/>
      <c r="J159" s="566"/>
      <c r="K159" s="566"/>
      <c r="L159" s="566"/>
      <c r="M159" s="566"/>
      <c r="N159" s="566"/>
      <c r="O159" s="566"/>
      <c r="P159" s="566"/>
      <c r="Q159" s="566"/>
      <c r="R159" s="566"/>
      <c r="S159" s="566"/>
      <c r="T159" s="566"/>
      <c r="U159" s="566"/>
      <c r="V159" s="566"/>
      <c r="W159" s="566"/>
      <c r="X159" s="566"/>
      <c r="Y159" s="566"/>
      <c r="Z159" s="566"/>
      <c r="AA159" s="566"/>
      <c r="AB159" s="566"/>
      <c r="AC159" s="566"/>
      <c r="AD159" s="566"/>
      <c r="AE159" s="566"/>
      <c r="AF159" s="566"/>
      <c r="AG159" s="566"/>
      <c r="AH159" s="566"/>
      <c r="AI159" s="566"/>
      <c r="AJ159" s="566"/>
      <c r="AK159" s="566"/>
      <c r="AL159" s="566"/>
      <c r="AM159" s="566"/>
      <c r="AN159" s="566"/>
      <c r="AO159" s="566"/>
    </row>
    <row r="160" spans="2:41" x14ac:dyDescent="0.15">
      <c r="B160" s="567">
        <v>26</v>
      </c>
      <c r="C160" s="566">
        <v>0.9981735159817352</v>
      </c>
      <c r="D160" s="566"/>
      <c r="E160" s="566"/>
      <c r="F160" s="566"/>
      <c r="G160" s="566"/>
      <c r="H160" s="566"/>
      <c r="I160" s="566"/>
      <c r="J160" s="566"/>
      <c r="K160" s="566"/>
      <c r="L160" s="566"/>
      <c r="M160" s="566"/>
      <c r="N160" s="566"/>
      <c r="O160" s="566"/>
      <c r="P160" s="566"/>
      <c r="Q160" s="566"/>
      <c r="R160" s="566"/>
      <c r="S160" s="566"/>
      <c r="T160" s="566"/>
      <c r="U160" s="566"/>
      <c r="V160" s="566"/>
      <c r="W160" s="566"/>
      <c r="X160" s="566"/>
      <c r="Y160" s="566"/>
      <c r="Z160" s="566"/>
      <c r="AA160" s="566"/>
      <c r="AB160" s="566"/>
      <c r="AC160" s="566"/>
      <c r="AD160" s="566"/>
      <c r="AE160" s="566"/>
      <c r="AF160" s="566"/>
      <c r="AG160" s="566"/>
      <c r="AH160" s="566"/>
      <c r="AI160" s="566"/>
      <c r="AJ160" s="566"/>
      <c r="AK160" s="566"/>
      <c r="AL160" s="566"/>
      <c r="AM160" s="566"/>
      <c r="AN160" s="566"/>
      <c r="AO160" s="566"/>
    </row>
    <row r="161" spans="2:41" x14ac:dyDescent="0.15">
      <c r="B161" s="567">
        <v>27</v>
      </c>
      <c r="C161" s="566">
        <v>0.9992009132420091</v>
      </c>
      <c r="D161" s="566"/>
      <c r="E161" s="566"/>
      <c r="F161" s="566"/>
      <c r="G161" s="566"/>
      <c r="H161" s="566"/>
      <c r="I161" s="566"/>
      <c r="J161" s="566"/>
      <c r="K161" s="566"/>
      <c r="L161" s="566"/>
      <c r="M161" s="566"/>
      <c r="N161" s="566"/>
      <c r="O161" s="566"/>
      <c r="P161" s="566"/>
      <c r="Q161" s="566"/>
      <c r="R161" s="566"/>
      <c r="S161" s="566"/>
      <c r="T161" s="566"/>
      <c r="U161" s="566"/>
      <c r="V161" s="566"/>
      <c r="W161" s="566"/>
      <c r="X161" s="566"/>
      <c r="Y161" s="566"/>
      <c r="Z161" s="566"/>
      <c r="AA161" s="566"/>
      <c r="AB161" s="566"/>
      <c r="AC161" s="566"/>
      <c r="AD161" s="566"/>
      <c r="AE161" s="566"/>
      <c r="AF161" s="566"/>
      <c r="AG161" s="566"/>
      <c r="AH161" s="566"/>
      <c r="AI161" s="566"/>
      <c r="AJ161" s="566"/>
      <c r="AK161" s="566"/>
      <c r="AL161" s="566"/>
      <c r="AM161" s="566"/>
      <c r="AN161" s="566"/>
      <c r="AO161" s="566"/>
    </row>
    <row r="162" spans="2:41" x14ac:dyDescent="0.15">
      <c r="B162" s="567">
        <v>28</v>
      </c>
      <c r="C162" s="566">
        <v>1</v>
      </c>
      <c r="D162" s="566"/>
      <c r="E162" s="566"/>
      <c r="F162" s="566"/>
      <c r="G162" s="566"/>
      <c r="H162" s="566"/>
      <c r="I162" s="566"/>
      <c r="J162" s="566"/>
      <c r="K162" s="566"/>
      <c r="L162" s="566"/>
      <c r="M162" s="566"/>
      <c r="N162" s="566"/>
      <c r="O162" s="566"/>
      <c r="P162" s="566"/>
      <c r="Q162" s="566"/>
      <c r="R162" s="566"/>
      <c r="S162" s="566"/>
      <c r="T162" s="566"/>
      <c r="U162" s="566"/>
      <c r="V162" s="566"/>
      <c r="W162" s="566"/>
      <c r="X162" s="566"/>
      <c r="Y162" s="566"/>
      <c r="Z162" s="566"/>
      <c r="AA162" s="566"/>
      <c r="AB162" s="566"/>
      <c r="AC162" s="566"/>
      <c r="AD162" s="566"/>
      <c r="AE162" s="566"/>
      <c r="AF162" s="566"/>
      <c r="AG162" s="566"/>
      <c r="AH162" s="566"/>
      <c r="AI162" s="566"/>
      <c r="AJ162" s="566"/>
      <c r="AK162" s="566"/>
      <c r="AL162" s="566"/>
      <c r="AM162" s="566"/>
      <c r="AN162" s="566"/>
      <c r="AO162" s="566"/>
    </row>
    <row r="163" spans="2:41" x14ac:dyDescent="0.15">
      <c r="B163" s="567">
        <v>29</v>
      </c>
      <c r="C163" s="566">
        <v>1</v>
      </c>
      <c r="D163" s="566"/>
      <c r="E163" s="566"/>
      <c r="F163" s="566"/>
      <c r="G163" s="566"/>
      <c r="H163" s="566"/>
      <c r="I163" s="566"/>
      <c r="J163" s="566"/>
      <c r="K163" s="566"/>
      <c r="L163" s="566"/>
      <c r="M163" s="566"/>
      <c r="N163" s="566"/>
      <c r="O163" s="566"/>
      <c r="P163" s="566"/>
      <c r="Q163" s="566"/>
      <c r="R163" s="566"/>
      <c r="S163" s="566"/>
      <c r="T163" s="566"/>
      <c r="U163" s="566"/>
      <c r="V163" s="566"/>
      <c r="W163" s="566"/>
      <c r="X163" s="566"/>
      <c r="Y163" s="566"/>
      <c r="Z163" s="566"/>
      <c r="AA163" s="566"/>
      <c r="AB163" s="566"/>
      <c r="AC163" s="566"/>
      <c r="AD163" s="566"/>
      <c r="AE163" s="566"/>
      <c r="AF163" s="566"/>
      <c r="AG163" s="566"/>
      <c r="AH163" s="566"/>
      <c r="AI163" s="566"/>
      <c r="AJ163" s="566"/>
      <c r="AK163" s="566"/>
      <c r="AL163" s="566"/>
      <c r="AM163" s="566"/>
      <c r="AN163" s="566"/>
      <c r="AO163" s="566"/>
    </row>
    <row r="164" spans="2:41" x14ac:dyDescent="0.15">
      <c r="B164" s="567">
        <v>30</v>
      </c>
      <c r="C164" s="566">
        <v>1</v>
      </c>
      <c r="D164" s="566"/>
      <c r="E164" s="566"/>
      <c r="F164" s="566"/>
      <c r="G164" s="566"/>
      <c r="H164" s="566"/>
      <c r="I164" s="566"/>
      <c r="J164" s="566"/>
      <c r="K164" s="566"/>
      <c r="L164" s="566"/>
      <c r="M164" s="566"/>
      <c r="N164" s="566"/>
      <c r="O164" s="566"/>
      <c r="P164" s="566"/>
      <c r="Q164" s="566"/>
      <c r="R164" s="566"/>
      <c r="S164" s="566"/>
      <c r="T164" s="566"/>
      <c r="U164" s="566"/>
      <c r="V164" s="566"/>
      <c r="W164" s="566"/>
      <c r="X164" s="566"/>
      <c r="Y164" s="566"/>
      <c r="Z164" s="566"/>
      <c r="AA164" s="566"/>
      <c r="AB164" s="566"/>
      <c r="AC164" s="566"/>
      <c r="AD164" s="566"/>
      <c r="AE164" s="566"/>
      <c r="AF164" s="566"/>
      <c r="AG164" s="566"/>
      <c r="AH164" s="566"/>
      <c r="AI164" s="566"/>
      <c r="AJ164" s="566"/>
      <c r="AK164" s="566"/>
      <c r="AL164" s="566"/>
      <c r="AM164" s="566"/>
      <c r="AN164" s="566"/>
      <c r="AO164" s="566"/>
    </row>
    <row r="165" spans="2:41" x14ac:dyDescent="0.15">
      <c r="B165" s="567">
        <v>31</v>
      </c>
      <c r="C165" s="566">
        <v>1</v>
      </c>
      <c r="D165" s="566"/>
      <c r="E165" s="566"/>
      <c r="F165" s="566"/>
      <c r="G165" s="566"/>
      <c r="H165" s="566"/>
      <c r="I165" s="566"/>
      <c r="J165" s="566"/>
      <c r="K165" s="566"/>
      <c r="L165" s="566"/>
      <c r="M165" s="566"/>
      <c r="N165" s="566"/>
      <c r="O165" s="566"/>
      <c r="P165" s="566"/>
      <c r="Q165" s="566"/>
      <c r="R165" s="566"/>
      <c r="S165" s="566"/>
      <c r="T165" s="566"/>
      <c r="U165" s="566"/>
      <c r="V165" s="566"/>
      <c r="W165" s="566"/>
      <c r="X165" s="566"/>
      <c r="Y165" s="566"/>
      <c r="Z165" s="566"/>
      <c r="AA165" s="566"/>
      <c r="AB165" s="566"/>
      <c r="AC165" s="566"/>
      <c r="AD165" s="566"/>
      <c r="AE165" s="566"/>
      <c r="AF165" s="566"/>
      <c r="AG165" s="566"/>
      <c r="AH165" s="566"/>
      <c r="AI165" s="566"/>
      <c r="AJ165" s="566"/>
      <c r="AK165" s="566"/>
      <c r="AL165" s="566"/>
      <c r="AM165" s="566"/>
      <c r="AN165" s="566"/>
      <c r="AO165" s="566"/>
    </row>
    <row r="166" spans="2:41" x14ac:dyDescent="0.15">
      <c r="B166" s="567">
        <v>32</v>
      </c>
      <c r="C166" s="566">
        <v>1</v>
      </c>
      <c r="D166" s="566"/>
      <c r="E166" s="566"/>
      <c r="F166" s="566"/>
      <c r="G166" s="566"/>
      <c r="H166" s="566"/>
      <c r="I166" s="566"/>
      <c r="J166" s="566"/>
      <c r="K166" s="566"/>
      <c r="L166" s="566"/>
      <c r="M166" s="566"/>
      <c r="N166" s="566"/>
      <c r="O166" s="566"/>
      <c r="P166" s="566"/>
      <c r="Q166" s="566"/>
      <c r="R166" s="566"/>
      <c r="S166" s="566"/>
      <c r="T166" s="566"/>
      <c r="U166" s="566"/>
      <c r="V166" s="566"/>
      <c r="W166" s="566"/>
      <c r="X166" s="566"/>
      <c r="Y166" s="566"/>
      <c r="Z166" s="566"/>
      <c r="AA166" s="566"/>
      <c r="AB166" s="566"/>
      <c r="AC166" s="566"/>
      <c r="AD166" s="566"/>
      <c r="AE166" s="566"/>
      <c r="AF166" s="566"/>
      <c r="AG166" s="566"/>
      <c r="AH166" s="566"/>
      <c r="AI166" s="566"/>
      <c r="AJ166" s="566"/>
      <c r="AK166" s="566"/>
      <c r="AL166" s="566"/>
      <c r="AM166" s="566"/>
      <c r="AN166" s="566"/>
      <c r="AO166" s="566"/>
    </row>
    <row r="167" spans="2:41" x14ac:dyDescent="0.15">
      <c r="B167" s="567">
        <v>33</v>
      </c>
      <c r="C167" s="566">
        <v>1</v>
      </c>
      <c r="D167" s="566"/>
      <c r="E167" s="566"/>
      <c r="F167" s="566"/>
      <c r="G167" s="566"/>
      <c r="H167" s="566"/>
      <c r="I167" s="566"/>
      <c r="J167" s="566"/>
      <c r="K167" s="566"/>
      <c r="L167" s="566"/>
      <c r="M167" s="566"/>
      <c r="N167" s="566"/>
      <c r="O167" s="566"/>
      <c r="P167" s="566"/>
      <c r="Q167" s="566"/>
      <c r="R167" s="566"/>
      <c r="S167" s="566"/>
      <c r="T167" s="566"/>
      <c r="U167" s="566"/>
      <c r="V167" s="566"/>
      <c r="W167" s="566"/>
      <c r="X167" s="566"/>
      <c r="Y167" s="566"/>
      <c r="Z167" s="566"/>
      <c r="AA167" s="566"/>
      <c r="AB167" s="566"/>
      <c r="AC167" s="566"/>
      <c r="AD167" s="566"/>
      <c r="AE167" s="566"/>
      <c r="AF167" s="566"/>
      <c r="AG167" s="566"/>
      <c r="AH167" s="566"/>
      <c r="AI167" s="566"/>
      <c r="AJ167" s="566"/>
      <c r="AK167" s="566"/>
      <c r="AL167" s="566"/>
      <c r="AM167" s="566"/>
      <c r="AN167" s="566"/>
      <c r="AO167" s="566"/>
    </row>
    <row r="168" spans="2:41" x14ac:dyDescent="0.15">
      <c r="B168" s="567">
        <v>34</v>
      </c>
      <c r="C168" s="566">
        <v>1</v>
      </c>
      <c r="D168" s="566"/>
      <c r="E168" s="566"/>
      <c r="F168" s="566"/>
      <c r="G168" s="566"/>
      <c r="H168" s="566"/>
      <c r="I168" s="566"/>
      <c r="J168" s="566"/>
      <c r="K168" s="566"/>
      <c r="L168" s="566"/>
      <c r="M168" s="566"/>
      <c r="N168" s="566"/>
      <c r="O168" s="566"/>
      <c r="P168" s="566"/>
      <c r="Q168" s="566"/>
      <c r="R168" s="566"/>
      <c r="S168" s="566"/>
      <c r="T168" s="566"/>
      <c r="U168" s="566"/>
      <c r="V168" s="566"/>
      <c r="W168" s="566"/>
      <c r="X168" s="566"/>
      <c r="Y168" s="566"/>
      <c r="Z168" s="566"/>
      <c r="AA168" s="566"/>
      <c r="AB168" s="566"/>
      <c r="AC168" s="566"/>
      <c r="AD168" s="566"/>
      <c r="AE168" s="566"/>
      <c r="AF168" s="566"/>
      <c r="AG168" s="566"/>
      <c r="AH168" s="566"/>
      <c r="AI168" s="566"/>
      <c r="AJ168" s="566"/>
      <c r="AK168" s="566"/>
      <c r="AL168" s="566"/>
      <c r="AM168" s="566"/>
      <c r="AN168" s="566"/>
      <c r="AO168" s="566"/>
    </row>
    <row r="169" spans="2:41" x14ac:dyDescent="0.15">
      <c r="B169" s="567">
        <v>35</v>
      </c>
      <c r="C169" s="566">
        <v>1</v>
      </c>
      <c r="D169" s="566"/>
      <c r="E169" s="566"/>
      <c r="F169" s="566"/>
      <c r="G169" s="566"/>
      <c r="H169" s="566"/>
      <c r="I169" s="566"/>
      <c r="J169" s="566"/>
      <c r="K169" s="566"/>
      <c r="L169" s="566"/>
      <c r="M169" s="566"/>
      <c r="N169" s="566"/>
      <c r="O169" s="566"/>
      <c r="P169" s="566"/>
      <c r="Q169" s="566"/>
      <c r="R169" s="566"/>
      <c r="S169" s="566"/>
      <c r="T169" s="566"/>
      <c r="U169" s="566"/>
      <c r="V169" s="566"/>
      <c r="W169" s="566"/>
      <c r="X169" s="566"/>
      <c r="Y169" s="566"/>
      <c r="Z169" s="566"/>
      <c r="AA169" s="566"/>
      <c r="AB169" s="566"/>
      <c r="AC169" s="566"/>
      <c r="AD169" s="566"/>
      <c r="AE169" s="566"/>
      <c r="AF169" s="566"/>
      <c r="AG169" s="566"/>
      <c r="AH169" s="566"/>
      <c r="AI169" s="566"/>
      <c r="AJ169" s="566"/>
      <c r="AK169" s="566"/>
      <c r="AL169" s="566"/>
      <c r="AM169" s="566"/>
      <c r="AN169" s="566"/>
      <c r="AO169" s="566"/>
    </row>
    <row r="170" spans="2:41" x14ac:dyDescent="0.15">
      <c r="B170" s="567">
        <v>36</v>
      </c>
      <c r="C170" s="566">
        <v>1</v>
      </c>
      <c r="D170" s="566"/>
      <c r="E170" s="566"/>
      <c r="F170" s="566"/>
      <c r="G170" s="566"/>
      <c r="H170" s="566"/>
      <c r="I170" s="566"/>
      <c r="J170" s="566"/>
      <c r="K170" s="566"/>
      <c r="L170" s="566"/>
      <c r="M170" s="566"/>
      <c r="N170" s="566"/>
      <c r="O170" s="566"/>
      <c r="P170" s="566"/>
      <c r="Q170" s="566"/>
      <c r="R170" s="566"/>
      <c r="S170" s="566"/>
      <c r="T170" s="566"/>
      <c r="U170" s="566"/>
      <c r="V170" s="566"/>
      <c r="W170" s="566"/>
      <c r="X170" s="566"/>
      <c r="Y170" s="566"/>
      <c r="Z170" s="566"/>
      <c r="AA170" s="566"/>
      <c r="AB170" s="566"/>
      <c r="AC170" s="566"/>
      <c r="AD170" s="566"/>
      <c r="AE170" s="566"/>
      <c r="AF170" s="566"/>
      <c r="AG170" s="566"/>
      <c r="AH170" s="566"/>
      <c r="AI170" s="566"/>
      <c r="AJ170" s="566"/>
      <c r="AK170" s="566"/>
      <c r="AL170" s="566"/>
      <c r="AM170" s="566"/>
      <c r="AN170" s="566"/>
      <c r="AO170" s="566"/>
    </row>
    <row r="171" spans="2:41" x14ac:dyDescent="0.15">
      <c r="B171" s="567">
        <v>37</v>
      </c>
      <c r="C171" s="566">
        <v>1</v>
      </c>
      <c r="D171" s="566"/>
      <c r="E171" s="566"/>
      <c r="F171" s="566"/>
      <c r="G171" s="566"/>
      <c r="H171" s="566"/>
      <c r="I171" s="566"/>
      <c r="J171" s="566"/>
      <c r="K171" s="566"/>
      <c r="L171" s="566"/>
      <c r="M171" s="566"/>
      <c r="N171" s="566"/>
      <c r="O171" s="566"/>
      <c r="P171" s="566"/>
      <c r="Q171" s="566"/>
      <c r="R171" s="566"/>
      <c r="S171" s="566"/>
      <c r="T171" s="566"/>
      <c r="U171" s="566"/>
      <c r="V171" s="566"/>
      <c r="W171" s="566"/>
      <c r="X171" s="566"/>
      <c r="Y171" s="566"/>
      <c r="Z171" s="566"/>
      <c r="AA171" s="566"/>
      <c r="AB171" s="566"/>
      <c r="AC171" s="566"/>
      <c r="AD171" s="566"/>
      <c r="AE171" s="566"/>
      <c r="AF171" s="566"/>
      <c r="AG171" s="566"/>
      <c r="AH171" s="566"/>
      <c r="AI171" s="566"/>
      <c r="AJ171" s="566"/>
      <c r="AK171" s="566"/>
      <c r="AL171" s="566"/>
      <c r="AM171" s="566"/>
      <c r="AN171" s="566"/>
      <c r="AO171" s="566"/>
    </row>
    <row r="172" spans="2:41" x14ac:dyDescent="0.15">
      <c r="B172" s="567">
        <v>38</v>
      </c>
      <c r="C172" s="566">
        <v>1</v>
      </c>
      <c r="D172" s="566"/>
      <c r="E172" s="566"/>
      <c r="F172" s="566"/>
      <c r="G172" s="566"/>
      <c r="H172" s="566"/>
      <c r="I172" s="566"/>
      <c r="J172" s="566"/>
      <c r="K172" s="566"/>
      <c r="L172" s="566"/>
      <c r="M172" s="566"/>
      <c r="N172" s="566"/>
      <c r="O172" s="566"/>
      <c r="P172" s="566"/>
      <c r="Q172" s="566"/>
      <c r="R172" s="566"/>
      <c r="S172" s="566"/>
      <c r="T172" s="566"/>
      <c r="U172" s="566"/>
      <c r="V172" s="566"/>
      <c r="W172" s="566"/>
      <c r="X172" s="566"/>
      <c r="Y172" s="566"/>
      <c r="Z172" s="566"/>
      <c r="AA172" s="566"/>
      <c r="AB172" s="566"/>
      <c r="AC172" s="566"/>
      <c r="AD172" s="566"/>
      <c r="AE172" s="566"/>
      <c r="AF172" s="566"/>
      <c r="AG172" s="566"/>
      <c r="AH172" s="566"/>
      <c r="AI172" s="566"/>
      <c r="AJ172" s="566"/>
      <c r="AK172" s="566"/>
      <c r="AL172" s="566"/>
      <c r="AM172" s="566"/>
      <c r="AN172" s="566"/>
      <c r="AO172" s="566"/>
    </row>
    <row r="173" spans="2:41" x14ac:dyDescent="0.15">
      <c r="B173" s="567">
        <v>39</v>
      </c>
      <c r="C173" s="566">
        <v>1</v>
      </c>
      <c r="D173" s="566"/>
      <c r="E173" s="566"/>
      <c r="F173" s="566"/>
      <c r="G173" s="566"/>
      <c r="H173" s="566"/>
      <c r="I173" s="566"/>
      <c r="J173" s="566"/>
      <c r="K173" s="566"/>
      <c r="L173" s="566"/>
      <c r="M173" s="566"/>
      <c r="N173" s="566"/>
      <c r="O173" s="566"/>
      <c r="P173" s="566"/>
      <c r="Q173" s="566"/>
      <c r="R173" s="566"/>
      <c r="S173" s="566"/>
      <c r="T173" s="566"/>
      <c r="U173" s="566"/>
      <c r="V173" s="566"/>
      <c r="W173" s="566"/>
      <c r="X173" s="566"/>
      <c r="Y173" s="566"/>
      <c r="Z173" s="566"/>
      <c r="AA173" s="566"/>
      <c r="AB173" s="566"/>
      <c r="AC173" s="566"/>
      <c r="AD173" s="566"/>
      <c r="AE173" s="566"/>
      <c r="AF173" s="566"/>
      <c r="AG173" s="566"/>
      <c r="AH173" s="566"/>
      <c r="AI173" s="566"/>
      <c r="AJ173" s="566"/>
      <c r="AK173" s="566"/>
      <c r="AL173" s="566"/>
      <c r="AM173" s="566"/>
      <c r="AN173" s="566"/>
      <c r="AO173" s="566"/>
    </row>
    <row r="174" spans="2:41" x14ac:dyDescent="0.15">
      <c r="B174" s="568">
        <v>40</v>
      </c>
      <c r="C174" s="566">
        <v>1</v>
      </c>
      <c r="D174" s="566"/>
      <c r="E174" s="566"/>
      <c r="F174" s="566"/>
      <c r="G174" s="566"/>
      <c r="H174" s="566"/>
      <c r="I174" s="566"/>
      <c r="J174" s="566"/>
      <c r="K174" s="566"/>
      <c r="L174" s="566"/>
      <c r="M174" s="566"/>
      <c r="N174" s="566"/>
      <c r="O174" s="566"/>
      <c r="P174" s="566"/>
      <c r="Q174" s="566"/>
      <c r="R174" s="566"/>
      <c r="S174" s="566"/>
      <c r="T174" s="566"/>
      <c r="U174" s="566"/>
      <c r="V174" s="566"/>
      <c r="W174" s="566"/>
      <c r="X174" s="566"/>
      <c r="Y174" s="566"/>
      <c r="Z174" s="566"/>
      <c r="AA174" s="566"/>
      <c r="AB174" s="566"/>
      <c r="AC174" s="566"/>
      <c r="AD174" s="566"/>
      <c r="AE174" s="566"/>
      <c r="AF174" s="566"/>
      <c r="AG174" s="566"/>
      <c r="AH174" s="566"/>
      <c r="AI174" s="566"/>
      <c r="AJ174" s="566"/>
      <c r="AK174" s="566"/>
      <c r="AL174" s="566"/>
      <c r="AM174" s="566"/>
      <c r="AN174" s="566"/>
      <c r="AO174" s="566"/>
    </row>
    <row r="183" spans="2:41" s="563" customFormat="1" ht="28" x14ac:dyDescent="0.15">
      <c r="B183" s="560" t="str" cm="1">
        <f t="array" ref="B183:AO183">TRANSPOSE('Syötä kaupungit KIRJASTOLINKIT!'!$D$1:$D$40)</f>
        <v>MAA 3</v>
      </c>
      <c r="C183" s="564" t="str">
        <v>SWE - Gothenburg</v>
      </c>
      <c r="D183" s="564">
        <v>0</v>
      </c>
      <c r="E183" s="564">
        <v>0</v>
      </c>
      <c r="F183" s="564">
        <v>0</v>
      </c>
      <c r="G183" s="564">
        <v>0</v>
      </c>
      <c r="H183" s="564">
        <v>0</v>
      </c>
      <c r="I183" s="564">
        <v>0</v>
      </c>
      <c r="J183" s="564">
        <v>0</v>
      </c>
      <c r="K183" s="564">
        <v>0</v>
      </c>
      <c r="L183" s="564">
        <v>0</v>
      </c>
      <c r="M183" s="564">
        <v>0</v>
      </c>
      <c r="N183" s="564">
        <v>0</v>
      </c>
      <c r="O183" s="564">
        <v>0</v>
      </c>
      <c r="P183" s="564">
        <v>0</v>
      </c>
      <c r="Q183" s="564">
        <v>0</v>
      </c>
      <c r="R183" s="564">
        <v>0</v>
      </c>
      <c r="S183" s="564">
        <v>0</v>
      </c>
      <c r="T183" s="564">
        <v>0</v>
      </c>
      <c r="U183" s="564">
        <v>0</v>
      </c>
      <c r="V183" s="564">
        <v>0</v>
      </c>
      <c r="W183" s="564">
        <v>0</v>
      </c>
      <c r="X183" s="564">
        <v>0</v>
      </c>
      <c r="Y183" s="564">
        <v>0</v>
      </c>
      <c r="Z183" s="564">
        <v>0</v>
      </c>
      <c r="AA183" s="564">
        <v>0</v>
      </c>
      <c r="AB183" s="564">
        <v>0</v>
      </c>
      <c r="AC183" s="564">
        <v>0</v>
      </c>
      <c r="AD183" s="564">
        <v>0</v>
      </c>
      <c r="AE183" s="564">
        <v>0</v>
      </c>
      <c r="AF183" s="564">
        <v>0</v>
      </c>
      <c r="AG183" s="564">
        <v>0</v>
      </c>
      <c r="AH183" s="564">
        <v>0</v>
      </c>
      <c r="AI183" s="564">
        <v>0</v>
      </c>
      <c r="AJ183" s="564">
        <v>0</v>
      </c>
      <c r="AK183" s="564">
        <v>0</v>
      </c>
      <c r="AL183" s="564">
        <v>0</v>
      </c>
      <c r="AM183" s="564">
        <v>0</v>
      </c>
      <c r="AN183" s="564">
        <v>0</v>
      </c>
      <c r="AO183" s="564">
        <v>0</v>
      </c>
    </row>
    <row r="184" spans="2:41" x14ac:dyDescent="0.15">
      <c r="B184" s="565">
        <v>-40</v>
      </c>
      <c r="C184" s="566">
        <v>0</v>
      </c>
      <c r="D184" s="566"/>
      <c r="E184" s="566"/>
      <c r="F184" s="566"/>
      <c r="G184" s="566"/>
      <c r="H184" s="566"/>
      <c r="I184" s="566"/>
      <c r="J184" s="566"/>
      <c r="K184" s="566"/>
      <c r="L184" s="566"/>
      <c r="M184" s="566"/>
      <c r="N184" s="566"/>
      <c r="O184" s="566"/>
      <c r="P184" s="566"/>
      <c r="Q184" s="566"/>
      <c r="R184" s="566"/>
      <c r="S184" s="566"/>
      <c r="T184" s="566"/>
      <c r="U184" s="566"/>
      <c r="V184" s="566"/>
      <c r="W184" s="566"/>
      <c r="X184" s="566"/>
      <c r="Y184" s="566"/>
      <c r="Z184" s="566"/>
      <c r="AA184" s="566"/>
      <c r="AB184" s="566"/>
      <c r="AC184" s="566"/>
      <c r="AD184" s="566"/>
      <c r="AE184" s="566"/>
      <c r="AF184" s="566"/>
      <c r="AG184" s="566"/>
      <c r="AH184" s="566"/>
      <c r="AI184" s="566"/>
      <c r="AJ184" s="566"/>
      <c r="AK184" s="566"/>
      <c r="AL184" s="566"/>
      <c r="AM184" s="566"/>
      <c r="AN184" s="566"/>
      <c r="AO184" s="566"/>
    </row>
    <row r="185" spans="2:41" x14ac:dyDescent="0.15">
      <c r="B185" s="567">
        <v>-39</v>
      </c>
      <c r="C185" s="566">
        <v>0</v>
      </c>
      <c r="D185" s="566"/>
      <c r="E185" s="566"/>
      <c r="F185" s="566"/>
      <c r="G185" s="566"/>
      <c r="H185" s="566"/>
      <c r="I185" s="566"/>
      <c r="J185" s="566"/>
      <c r="K185" s="566"/>
      <c r="L185" s="566"/>
      <c r="M185" s="566"/>
      <c r="N185" s="566"/>
      <c r="O185" s="566"/>
      <c r="P185" s="566"/>
      <c r="Q185" s="566"/>
      <c r="R185" s="566"/>
      <c r="S185" s="566"/>
      <c r="T185" s="566"/>
      <c r="U185" s="566"/>
      <c r="V185" s="566"/>
      <c r="W185" s="566"/>
      <c r="X185" s="566"/>
      <c r="Y185" s="566"/>
      <c r="Z185" s="566"/>
      <c r="AA185" s="566"/>
      <c r="AB185" s="566"/>
      <c r="AC185" s="566"/>
      <c r="AD185" s="566"/>
      <c r="AE185" s="566"/>
      <c r="AF185" s="566"/>
      <c r="AG185" s="566"/>
      <c r="AH185" s="566"/>
      <c r="AI185" s="566"/>
      <c r="AJ185" s="566"/>
      <c r="AK185" s="566"/>
      <c r="AL185" s="566"/>
      <c r="AM185" s="566"/>
      <c r="AN185" s="566"/>
      <c r="AO185" s="566"/>
    </row>
    <row r="186" spans="2:41" x14ac:dyDescent="0.15">
      <c r="B186" s="567">
        <v>-38</v>
      </c>
      <c r="C186" s="566">
        <v>0</v>
      </c>
      <c r="D186" s="566"/>
      <c r="E186" s="566"/>
      <c r="F186" s="566"/>
      <c r="G186" s="566"/>
      <c r="H186" s="566"/>
      <c r="I186" s="566"/>
      <c r="J186" s="566"/>
      <c r="K186" s="566"/>
      <c r="L186" s="566"/>
      <c r="M186" s="566"/>
      <c r="N186" s="566"/>
      <c r="O186" s="566"/>
      <c r="P186" s="566"/>
      <c r="Q186" s="566"/>
      <c r="R186" s="566"/>
      <c r="S186" s="566"/>
      <c r="T186" s="566"/>
      <c r="U186" s="566"/>
      <c r="V186" s="566"/>
      <c r="W186" s="566"/>
      <c r="X186" s="566"/>
      <c r="Y186" s="566"/>
      <c r="Z186" s="566"/>
      <c r="AA186" s="566"/>
      <c r="AB186" s="566"/>
      <c r="AC186" s="566"/>
      <c r="AD186" s="566"/>
      <c r="AE186" s="566"/>
      <c r="AF186" s="566"/>
      <c r="AG186" s="566"/>
      <c r="AH186" s="566"/>
      <c r="AI186" s="566"/>
      <c r="AJ186" s="566"/>
      <c r="AK186" s="566"/>
      <c r="AL186" s="566"/>
      <c r="AM186" s="566"/>
      <c r="AN186" s="566"/>
      <c r="AO186" s="566"/>
    </row>
    <row r="187" spans="2:41" x14ac:dyDescent="0.15">
      <c r="B187" s="567">
        <v>-37</v>
      </c>
      <c r="C187" s="566">
        <v>0</v>
      </c>
      <c r="D187" s="566"/>
      <c r="E187" s="566"/>
      <c r="F187" s="566"/>
      <c r="G187" s="566"/>
      <c r="H187" s="566"/>
      <c r="I187" s="566"/>
      <c r="J187" s="566"/>
      <c r="K187" s="566"/>
      <c r="L187" s="566"/>
      <c r="M187" s="566"/>
      <c r="N187" s="566"/>
      <c r="O187" s="566"/>
      <c r="P187" s="566"/>
      <c r="Q187" s="566"/>
      <c r="R187" s="566"/>
      <c r="S187" s="566"/>
      <c r="T187" s="566"/>
      <c r="U187" s="566"/>
      <c r="V187" s="566"/>
      <c r="W187" s="566"/>
      <c r="X187" s="566"/>
      <c r="Y187" s="566"/>
      <c r="Z187" s="566"/>
      <c r="AA187" s="566"/>
      <c r="AB187" s="566"/>
      <c r="AC187" s="566"/>
      <c r="AD187" s="566"/>
      <c r="AE187" s="566"/>
      <c r="AF187" s="566"/>
      <c r="AG187" s="566"/>
      <c r="AH187" s="566"/>
      <c r="AI187" s="566"/>
      <c r="AJ187" s="566"/>
      <c r="AK187" s="566"/>
      <c r="AL187" s="566"/>
      <c r="AM187" s="566"/>
      <c r="AN187" s="566"/>
      <c r="AO187" s="566"/>
    </row>
    <row r="188" spans="2:41" x14ac:dyDescent="0.15">
      <c r="B188" s="567">
        <v>-36</v>
      </c>
      <c r="C188" s="566">
        <v>0</v>
      </c>
      <c r="D188" s="566"/>
      <c r="E188" s="566"/>
      <c r="F188" s="566"/>
      <c r="G188" s="566"/>
      <c r="H188" s="566"/>
      <c r="I188" s="566"/>
      <c r="J188" s="566"/>
      <c r="K188" s="566"/>
      <c r="L188" s="566"/>
      <c r="M188" s="566"/>
      <c r="N188" s="566"/>
      <c r="O188" s="566"/>
      <c r="P188" s="566"/>
      <c r="Q188" s="566"/>
      <c r="R188" s="566"/>
      <c r="S188" s="566"/>
      <c r="T188" s="566"/>
      <c r="U188" s="566"/>
      <c r="V188" s="566"/>
      <c r="W188" s="566"/>
      <c r="X188" s="566"/>
      <c r="Y188" s="566"/>
      <c r="Z188" s="566"/>
      <c r="AA188" s="566"/>
      <c r="AB188" s="566"/>
      <c r="AC188" s="566"/>
      <c r="AD188" s="566"/>
      <c r="AE188" s="566"/>
      <c r="AF188" s="566"/>
      <c r="AG188" s="566"/>
      <c r="AH188" s="566"/>
      <c r="AI188" s="566"/>
      <c r="AJ188" s="566"/>
      <c r="AK188" s="566"/>
      <c r="AL188" s="566"/>
      <c r="AM188" s="566"/>
      <c r="AN188" s="566"/>
      <c r="AO188" s="566"/>
    </row>
    <row r="189" spans="2:41" x14ac:dyDescent="0.15">
      <c r="B189" s="567">
        <v>-35</v>
      </c>
      <c r="C189" s="566">
        <v>0</v>
      </c>
      <c r="D189" s="566"/>
      <c r="E189" s="566"/>
      <c r="F189" s="566"/>
      <c r="G189" s="566"/>
      <c r="H189" s="566"/>
      <c r="I189" s="566"/>
      <c r="J189" s="566"/>
      <c r="K189" s="566"/>
      <c r="L189" s="566"/>
      <c r="M189" s="566"/>
      <c r="N189" s="566"/>
      <c r="O189" s="566"/>
      <c r="P189" s="566"/>
      <c r="Q189" s="566"/>
      <c r="R189" s="566"/>
      <c r="S189" s="566"/>
      <c r="T189" s="566"/>
      <c r="U189" s="566"/>
      <c r="V189" s="566"/>
      <c r="W189" s="566"/>
      <c r="X189" s="566"/>
      <c r="Y189" s="566"/>
      <c r="Z189" s="566"/>
      <c r="AA189" s="566"/>
      <c r="AB189" s="566"/>
      <c r="AC189" s="566"/>
      <c r="AD189" s="566"/>
      <c r="AE189" s="566"/>
      <c r="AF189" s="566"/>
      <c r="AG189" s="566"/>
      <c r="AH189" s="566"/>
      <c r="AI189" s="566"/>
      <c r="AJ189" s="566"/>
      <c r="AK189" s="566"/>
      <c r="AL189" s="566"/>
      <c r="AM189" s="566"/>
      <c r="AN189" s="566"/>
      <c r="AO189" s="566"/>
    </row>
    <row r="190" spans="2:41" x14ac:dyDescent="0.15">
      <c r="B190" s="567">
        <v>-34</v>
      </c>
      <c r="C190" s="566">
        <v>0</v>
      </c>
      <c r="D190" s="566"/>
      <c r="E190" s="566"/>
      <c r="F190" s="566"/>
      <c r="G190" s="566"/>
      <c r="H190" s="566"/>
      <c r="I190" s="566"/>
      <c r="J190" s="566"/>
      <c r="K190" s="566"/>
      <c r="L190" s="566"/>
      <c r="M190" s="566"/>
      <c r="N190" s="566"/>
      <c r="O190" s="566"/>
      <c r="P190" s="566"/>
      <c r="Q190" s="566"/>
      <c r="R190" s="566"/>
      <c r="S190" s="566"/>
      <c r="T190" s="566"/>
      <c r="U190" s="566"/>
      <c r="V190" s="566"/>
      <c r="W190" s="566"/>
      <c r="X190" s="566"/>
      <c r="Y190" s="566"/>
      <c r="Z190" s="566"/>
      <c r="AA190" s="566"/>
      <c r="AB190" s="566"/>
      <c r="AC190" s="566"/>
      <c r="AD190" s="566"/>
      <c r="AE190" s="566"/>
      <c r="AF190" s="566"/>
      <c r="AG190" s="566"/>
      <c r="AH190" s="566"/>
      <c r="AI190" s="566"/>
      <c r="AJ190" s="566"/>
      <c r="AK190" s="566"/>
      <c r="AL190" s="566"/>
      <c r="AM190" s="566"/>
      <c r="AN190" s="566"/>
      <c r="AO190" s="566"/>
    </row>
    <row r="191" spans="2:41" x14ac:dyDescent="0.15">
      <c r="B191" s="567">
        <v>-33</v>
      </c>
      <c r="C191" s="566">
        <v>0</v>
      </c>
      <c r="D191" s="566"/>
      <c r="E191" s="566"/>
      <c r="F191" s="566"/>
      <c r="G191" s="566"/>
      <c r="H191" s="566"/>
      <c r="I191" s="566"/>
      <c r="J191" s="566"/>
      <c r="K191" s="566"/>
      <c r="L191" s="566"/>
      <c r="M191" s="566"/>
      <c r="N191" s="566"/>
      <c r="O191" s="566"/>
      <c r="P191" s="566"/>
      <c r="Q191" s="566"/>
      <c r="R191" s="566"/>
      <c r="S191" s="566"/>
      <c r="T191" s="566"/>
      <c r="U191" s="566"/>
      <c r="V191" s="566"/>
      <c r="W191" s="566"/>
      <c r="X191" s="566"/>
      <c r="Y191" s="566"/>
      <c r="Z191" s="566"/>
      <c r="AA191" s="566"/>
      <c r="AB191" s="566"/>
      <c r="AC191" s="566"/>
      <c r="AD191" s="566"/>
      <c r="AE191" s="566"/>
      <c r="AF191" s="566"/>
      <c r="AG191" s="566"/>
      <c r="AH191" s="566"/>
      <c r="AI191" s="566"/>
      <c r="AJ191" s="566"/>
      <c r="AK191" s="566"/>
      <c r="AL191" s="566"/>
      <c r="AM191" s="566"/>
      <c r="AN191" s="566"/>
      <c r="AO191" s="566"/>
    </row>
    <row r="192" spans="2:41" x14ac:dyDescent="0.15">
      <c r="B192" s="567">
        <v>-32</v>
      </c>
      <c r="C192" s="566">
        <v>0</v>
      </c>
      <c r="D192" s="566"/>
      <c r="E192" s="566"/>
      <c r="F192" s="566"/>
      <c r="G192" s="566"/>
      <c r="H192" s="566"/>
      <c r="I192" s="566"/>
      <c r="J192" s="566"/>
      <c r="K192" s="566"/>
      <c r="L192" s="566"/>
      <c r="M192" s="566"/>
      <c r="N192" s="566"/>
      <c r="O192" s="566"/>
      <c r="P192" s="566"/>
      <c r="Q192" s="566"/>
      <c r="R192" s="566"/>
      <c r="S192" s="566"/>
      <c r="T192" s="566"/>
      <c r="U192" s="566"/>
      <c r="V192" s="566"/>
      <c r="W192" s="566"/>
      <c r="X192" s="566"/>
      <c r="Y192" s="566"/>
      <c r="Z192" s="566"/>
      <c r="AA192" s="566"/>
      <c r="AB192" s="566"/>
      <c r="AC192" s="566"/>
      <c r="AD192" s="566"/>
      <c r="AE192" s="566"/>
      <c r="AF192" s="566"/>
      <c r="AG192" s="566"/>
      <c r="AH192" s="566"/>
      <c r="AI192" s="566"/>
      <c r="AJ192" s="566"/>
      <c r="AK192" s="566"/>
      <c r="AL192" s="566"/>
      <c r="AM192" s="566"/>
      <c r="AN192" s="566"/>
      <c r="AO192" s="566"/>
    </row>
    <row r="193" spans="2:41" x14ac:dyDescent="0.15">
      <c r="B193" s="567">
        <v>-31</v>
      </c>
      <c r="C193" s="566">
        <v>0</v>
      </c>
      <c r="D193" s="566"/>
      <c r="E193" s="566"/>
      <c r="F193" s="566"/>
      <c r="G193" s="566"/>
      <c r="H193" s="566"/>
      <c r="I193" s="566"/>
      <c r="J193" s="566"/>
      <c r="K193" s="566"/>
      <c r="L193" s="566"/>
      <c r="M193" s="566"/>
      <c r="N193" s="566"/>
      <c r="O193" s="566"/>
      <c r="P193" s="566"/>
      <c r="Q193" s="566"/>
      <c r="R193" s="566"/>
      <c r="S193" s="566"/>
      <c r="T193" s="566"/>
      <c r="U193" s="566"/>
      <c r="V193" s="566"/>
      <c r="W193" s="566"/>
      <c r="X193" s="566"/>
      <c r="Y193" s="566"/>
      <c r="Z193" s="566"/>
      <c r="AA193" s="566"/>
      <c r="AB193" s="566"/>
      <c r="AC193" s="566"/>
      <c r="AD193" s="566"/>
      <c r="AE193" s="566"/>
      <c r="AF193" s="566"/>
      <c r="AG193" s="566"/>
      <c r="AH193" s="566"/>
      <c r="AI193" s="566"/>
      <c r="AJ193" s="566"/>
      <c r="AK193" s="566"/>
      <c r="AL193" s="566"/>
      <c r="AM193" s="566"/>
      <c r="AN193" s="566"/>
      <c r="AO193" s="566"/>
    </row>
    <row r="194" spans="2:41" x14ac:dyDescent="0.15">
      <c r="B194" s="567">
        <v>-30</v>
      </c>
      <c r="C194" s="566">
        <v>0</v>
      </c>
      <c r="D194" s="566"/>
      <c r="E194" s="566"/>
      <c r="F194" s="566"/>
      <c r="G194" s="566"/>
      <c r="H194" s="566"/>
      <c r="I194" s="566"/>
      <c r="J194" s="566"/>
      <c r="K194" s="566"/>
      <c r="L194" s="566"/>
      <c r="M194" s="566"/>
      <c r="N194" s="566"/>
      <c r="O194" s="566"/>
      <c r="P194" s="566"/>
      <c r="Q194" s="566"/>
      <c r="R194" s="566"/>
      <c r="S194" s="566"/>
      <c r="T194" s="566"/>
      <c r="U194" s="566"/>
      <c r="V194" s="566"/>
      <c r="W194" s="566"/>
      <c r="X194" s="566"/>
      <c r="Y194" s="566"/>
      <c r="Z194" s="566"/>
      <c r="AA194" s="566"/>
      <c r="AB194" s="566"/>
      <c r="AC194" s="566"/>
      <c r="AD194" s="566"/>
      <c r="AE194" s="566"/>
      <c r="AF194" s="566"/>
      <c r="AG194" s="566"/>
      <c r="AH194" s="566"/>
      <c r="AI194" s="566"/>
      <c r="AJ194" s="566"/>
      <c r="AK194" s="566"/>
      <c r="AL194" s="566"/>
      <c r="AM194" s="566"/>
      <c r="AN194" s="566"/>
      <c r="AO194" s="566"/>
    </row>
    <row r="195" spans="2:41" x14ac:dyDescent="0.15">
      <c r="B195" s="567">
        <v>-29</v>
      </c>
      <c r="C195" s="566">
        <v>0</v>
      </c>
      <c r="D195" s="566"/>
      <c r="E195" s="566"/>
      <c r="F195" s="566"/>
      <c r="G195" s="566"/>
      <c r="H195" s="566"/>
      <c r="I195" s="566"/>
      <c r="J195" s="566"/>
      <c r="K195" s="566"/>
      <c r="L195" s="566"/>
      <c r="M195" s="566"/>
      <c r="N195" s="566"/>
      <c r="O195" s="566"/>
      <c r="P195" s="566"/>
      <c r="Q195" s="566"/>
      <c r="R195" s="566"/>
      <c r="S195" s="566"/>
      <c r="T195" s="566"/>
      <c r="U195" s="566"/>
      <c r="V195" s="566"/>
      <c r="W195" s="566"/>
      <c r="X195" s="566"/>
      <c r="Y195" s="566"/>
      <c r="Z195" s="566"/>
      <c r="AA195" s="566"/>
      <c r="AB195" s="566"/>
      <c r="AC195" s="566"/>
      <c r="AD195" s="566"/>
      <c r="AE195" s="566"/>
      <c r="AF195" s="566"/>
      <c r="AG195" s="566"/>
      <c r="AH195" s="566"/>
      <c r="AI195" s="566"/>
      <c r="AJ195" s="566"/>
      <c r="AK195" s="566"/>
      <c r="AL195" s="566"/>
      <c r="AM195" s="566"/>
      <c r="AN195" s="566"/>
      <c r="AO195" s="566"/>
    </row>
    <row r="196" spans="2:41" x14ac:dyDescent="0.15">
      <c r="B196" s="567">
        <v>-28</v>
      </c>
      <c r="C196" s="566">
        <v>0</v>
      </c>
      <c r="D196" s="566"/>
      <c r="E196" s="566"/>
      <c r="F196" s="566"/>
      <c r="G196" s="566"/>
      <c r="H196" s="566"/>
      <c r="I196" s="566"/>
      <c r="J196" s="566"/>
      <c r="K196" s="566"/>
      <c r="L196" s="566"/>
      <c r="M196" s="566"/>
      <c r="N196" s="566"/>
      <c r="O196" s="566"/>
      <c r="P196" s="566"/>
      <c r="Q196" s="566"/>
      <c r="R196" s="566"/>
      <c r="S196" s="566"/>
      <c r="T196" s="566"/>
      <c r="U196" s="566"/>
      <c r="V196" s="566"/>
      <c r="W196" s="566"/>
      <c r="X196" s="566"/>
      <c r="Y196" s="566"/>
      <c r="Z196" s="566"/>
      <c r="AA196" s="566"/>
      <c r="AB196" s="566"/>
      <c r="AC196" s="566"/>
      <c r="AD196" s="566"/>
      <c r="AE196" s="566"/>
      <c r="AF196" s="566"/>
      <c r="AG196" s="566"/>
      <c r="AH196" s="566"/>
      <c r="AI196" s="566"/>
      <c r="AJ196" s="566"/>
      <c r="AK196" s="566"/>
      <c r="AL196" s="566"/>
      <c r="AM196" s="566"/>
      <c r="AN196" s="566"/>
      <c r="AO196" s="566"/>
    </row>
    <row r="197" spans="2:41" x14ac:dyDescent="0.15">
      <c r="B197" s="567">
        <v>-27</v>
      </c>
      <c r="C197" s="566">
        <v>0</v>
      </c>
      <c r="D197" s="566"/>
      <c r="E197" s="566"/>
      <c r="F197" s="566"/>
      <c r="G197" s="566"/>
      <c r="H197" s="566"/>
      <c r="I197" s="566"/>
      <c r="J197" s="566"/>
      <c r="K197" s="566"/>
      <c r="L197" s="566"/>
      <c r="M197" s="566"/>
      <c r="N197" s="566"/>
      <c r="O197" s="566"/>
      <c r="P197" s="566"/>
      <c r="Q197" s="566"/>
      <c r="R197" s="566"/>
      <c r="S197" s="566"/>
      <c r="T197" s="566"/>
      <c r="U197" s="566"/>
      <c r="V197" s="566"/>
      <c r="W197" s="566"/>
      <c r="X197" s="566"/>
      <c r="Y197" s="566"/>
      <c r="Z197" s="566"/>
      <c r="AA197" s="566"/>
      <c r="AB197" s="566"/>
      <c r="AC197" s="566"/>
      <c r="AD197" s="566"/>
      <c r="AE197" s="566"/>
      <c r="AF197" s="566"/>
      <c r="AG197" s="566"/>
      <c r="AH197" s="566"/>
      <c r="AI197" s="566"/>
      <c r="AJ197" s="566"/>
      <c r="AK197" s="566"/>
      <c r="AL197" s="566"/>
      <c r="AM197" s="566"/>
      <c r="AN197" s="566"/>
      <c r="AO197" s="566"/>
    </row>
    <row r="198" spans="2:41" x14ac:dyDescent="0.15">
      <c r="B198" s="567">
        <v>-26</v>
      </c>
      <c r="C198" s="566">
        <v>0</v>
      </c>
      <c r="D198" s="566"/>
      <c r="E198" s="566"/>
      <c r="F198" s="566"/>
      <c r="G198" s="566"/>
      <c r="H198" s="566"/>
      <c r="I198" s="566"/>
      <c r="J198" s="566"/>
      <c r="K198" s="566"/>
      <c r="L198" s="566"/>
      <c r="M198" s="566"/>
      <c r="N198" s="566"/>
      <c r="O198" s="566"/>
      <c r="P198" s="566"/>
      <c r="Q198" s="566"/>
      <c r="R198" s="566"/>
      <c r="S198" s="566"/>
      <c r="T198" s="566"/>
      <c r="U198" s="566"/>
      <c r="V198" s="566"/>
      <c r="W198" s="566"/>
      <c r="X198" s="566"/>
      <c r="Y198" s="566"/>
      <c r="Z198" s="566"/>
      <c r="AA198" s="566"/>
      <c r="AB198" s="566"/>
      <c r="AC198" s="566"/>
      <c r="AD198" s="566"/>
      <c r="AE198" s="566"/>
      <c r="AF198" s="566"/>
      <c r="AG198" s="566"/>
      <c r="AH198" s="566"/>
      <c r="AI198" s="566"/>
      <c r="AJ198" s="566"/>
      <c r="AK198" s="566"/>
      <c r="AL198" s="566"/>
      <c r="AM198" s="566"/>
      <c r="AN198" s="566"/>
      <c r="AO198" s="566"/>
    </row>
    <row r="199" spans="2:41" x14ac:dyDescent="0.15">
      <c r="B199" s="567">
        <v>-25</v>
      </c>
      <c r="C199" s="566">
        <v>0</v>
      </c>
      <c r="D199" s="566"/>
      <c r="E199" s="566"/>
      <c r="F199" s="566"/>
      <c r="G199" s="566"/>
      <c r="H199" s="566"/>
      <c r="I199" s="566"/>
      <c r="J199" s="566"/>
      <c r="K199" s="566"/>
      <c r="L199" s="566"/>
      <c r="M199" s="566"/>
      <c r="N199" s="566"/>
      <c r="O199" s="566"/>
      <c r="P199" s="566"/>
      <c r="Q199" s="566"/>
      <c r="R199" s="566"/>
      <c r="S199" s="566"/>
      <c r="T199" s="566"/>
      <c r="U199" s="566"/>
      <c r="V199" s="566"/>
      <c r="W199" s="566"/>
      <c r="X199" s="566"/>
      <c r="Y199" s="566"/>
      <c r="Z199" s="566"/>
      <c r="AA199" s="566"/>
      <c r="AB199" s="566"/>
      <c r="AC199" s="566"/>
      <c r="AD199" s="566"/>
      <c r="AE199" s="566"/>
      <c r="AF199" s="566"/>
      <c r="AG199" s="566"/>
      <c r="AH199" s="566"/>
      <c r="AI199" s="566"/>
      <c r="AJ199" s="566"/>
      <c r="AK199" s="566"/>
      <c r="AL199" s="566"/>
      <c r="AM199" s="566"/>
      <c r="AN199" s="566"/>
      <c r="AO199" s="566"/>
    </row>
    <row r="200" spans="2:41" x14ac:dyDescent="0.15">
      <c r="B200" s="567">
        <v>-24</v>
      </c>
      <c r="C200" s="566">
        <v>0</v>
      </c>
      <c r="D200" s="566"/>
      <c r="E200" s="566"/>
      <c r="F200" s="566"/>
      <c r="G200" s="566"/>
      <c r="H200" s="566"/>
      <c r="I200" s="566"/>
      <c r="J200" s="566"/>
      <c r="K200" s="566"/>
      <c r="L200" s="566"/>
      <c r="M200" s="566"/>
      <c r="N200" s="566"/>
      <c r="O200" s="566"/>
      <c r="P200" s="566"/>
      <c r="Q200" s="566"/>
      <c r="R200" s="566"/>
      <c r="S200" s="566"/>
      <c r="T200" s="566"/>
      <c r="U200" s="566"/>
      <c r="V200" s="566"/>
      <c r="W200" s="566"/>
      <c r="X200" s="566"/>
      <c r="Y200" s="566"/>
      <c r="Z200" s="566"/>
      <c r="AA200" s="566"/>
      <c r="AB200" s="566"/>
      <c r="AC200" s="566"/>
      <c r="AD200" s="566"/>
      <c r="AE200" s="566"/>
      <c r="AF200" s="566"/>
      <c r="AG200" s="566"/>
      <c r="AH200" s="566"/>
      <c r="AI200" s="566"/>
      <c r="AJ200" s="566"/>
      <c r="AK200" s="566"/>
      <c r="AL200" s="566"/>
      <c r="AM200" s="566"/>
      <c r="AN200" s="566"/>
      <c r="AO200" s="566"/>
    </row>
    <row r="201" spans="2:41" x14ac:dyDescent="0.15">
      <c r="B201" s="567">
        <v>-23</v>
      </c>
      <c r="C201" s="566">
        <v>0</v>
      </c>
      <c r="D201" s="566"/>
      <c r="E201" s="566"/>
      <c r="F201" s="566"/>
      <c r="G201" s="566"/>
      <c r="H201" s="566"/>
      <c r="I201" s="566"/>
      <c r="J201" s="566"/>
      <c r="K201" s="566"/>
      <c r="L201" s="566"/>
      <c r="M201" s="566"/>
      <c r="N201" s="566"/>
      <c r="O201" s="566"/>
      <c r="P201" s="566"/>
      <c r="Q201" s="566"/>
      <c r="R201" s="566"/>
      <c r="S201" s="566"/>
      <c r="T201" s="566"/>
      <c r="U201" s="566"/>
      <c r="V201" s="566"/>
      <c r="W201" s="566"/>
      <c r="X201" s="566"/>
      <c r="Y201" s="566"/>
      <c r="Z201" s="566"/>
      <c r="AA201" s="566"/>
      <c r="AB201" s="566"/>
      <c r="AC201" s="566"/>
      <c r="AD201" s="566"/>
      <c r="AE201" s="566"/>
      <c r="AF201" s="566"/>
      <c r="AG201" s="566"/>
      <c r="AH201" s="566"/>
      <c r="AI201" s="566"/>
      <c r="AJ201" s="566"/>
      <c r="AK201" s="566"/>
      <c r="AL201" s="566"/>
      <c r="AM201" s="566"/>
      <c r="AN201" s="566"/>
      <c r="AO201" s="566"/>
    </row>
    <row r="202" spans="2:41" x14ac:dyDescent="0.15">
      <c r="B202" s="567">
        <v>-22</v>
      </c>
      <c r="C202" s="566">
        <v>0</v>
      </c>
      <c r="D202" s="566"/>
      <c r="E202" s="566"/>
      <c r="F202" s="566"/>
      <c r="G202" s="566"/>
      <c r="H202" s="566"/>
      <c r="I202" s="566"/>
      <c r="J202" s="566"/>
      <c r="K202" s="566"/>
      <c r="L202" s="566"/>
      <c r="M202" s="566"/>
      <c r="N202" s="566"/>
      <c r="O202" s="566"/>
      <c r="P202" s="566"/>
      <c r="Q202" s="566"/>
      <c r="R202" s="566"/>
      <c r="S202" s="566"/>
      <c r="T202" s="566"/>
      <c r="U202" s="566"/>
      <c r="V202" s="566"/>
      <c r="W202" s="566"/>
      <c r="X202" s="566"/>
      <c r="Y202" s="566"/>
      <c r="Z202" s="566"/>
      <c r="AA202" s="566"/>
      <c r="AB202" s="566"/>
      <c r="AC202" s="566"/>
      <c r="AD202" s="566"/>
      <c r="AE202" s="566"/>
      <c r="AF202" s="566"/>
      <c r="AG202" s="566"/>
      <c r="AH202" s="566"/>
      <c r="AI202" s="566"/>
      <c r="AJ202" s="566"/>
      <c r="AK202" s="566"/>
      <c r="AL202" s="566"/>
      <c r="AM202" s="566"/>
      <c r="AN202" s="566"/>
      <c r="AO202" s="566"/>
    </row>
    <row r="203" spans="2:41" x14ac:dyDescent="0.15">
      <c r="B203" s="567">
        <v>-21</v>
      </c>
      <c r="C203" s="566">
        <v>0</v>
      </c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66"/>
      <c r="O203" s="566"/>
      <c r="P203" s="566"/>
      <c r="Q203" s="566"/>
      <c r="R203" s="566"/>
      <c r="S203" s="566"/>
      <c r="T203" s="566"/>
      <c r="U203" s="566"/>
      <c r="V203" s="566"/>
      <c r="W203" s="566"/>
      <c r="X203" s="566"/>
      <c r="Y203" s="566"/>
      <c r="Z203" s="566"/>
      <c r="AA203" s="566"/>
      <c r="AB203" s="566"/>
      <c r="AC203" s="566"/>
      <c r="AD203" s="566"/>
      <c r="AE203" s="566"/>
      <c r="AF203" s="566"/>
      <c r="AG203" s="566"/>
      <c r="AH203" s="566"/>
      <c r="AI203" s="566"/>
      <c r="AJ203" s="566"/>
      <c r="AK203" s="566"/>
      <c r="AL203" s="566"/>
      <c r="AM203" s="566"/>
      <c r="AN203" s="566"/>
      <c r="AO203" s="566"/>
    </row>
    <row r="204" spans="2:41" x14ac:dyDescent="0.15">
      <c r="B204" s="567">
        <v>-20</v>
      </c>
      <c r="C204" s="566">
        <v>0</v>
      </c>
      <c r="D204" s="566"/>
      <c r="E204" s="566"/>
      <c r="F204" s="566"/>
      <c r="G204" s="566"/>
      <c r="H204" s="566"/>
      <c r="I204" s="566"/>
      <c r="J204" s="566"/>
      <c r="K204" s="566"/>
      <c r="L204" s="566"/>
      <c r="M204" s="566"/>
      <c r="N204" s="566"/>
      <c r="O204" s="566"/>
      <c r="P204" s="566"/>
      <c r="Q204" s="566"/>
      <c r="R204" s="566"/>
      <c r="S204" s="566"/>
      <c r="T204" s="566"/>
      <c r="U204" s="566"/>
      <c r="V204" s="566"/>
      <c r="W204" s="566"/>
      <c r="X204" s="566"/>
      <c r="Y204" s="566"/>
      <c r="Z204" s="566"/>
      <c r="AA204" s="566"/>
      <c r="AB204" s="566"/>
      <c r="AC204" s="566"/>
      <c r="AD204" s="566"/>
      <c r="AE204" s="566"/>
      <c r="AF204" s="566"/>
      <c r="AG204" s="566"/>
      <c r="AH204" s="566"/>
      <c r="AI204" s="566"/>
      <c r="AJ204" s="566"/>
      <c r="AK204" s="566"/>
      <c r="AL204" s="566"/>
      <c r="AM204" s="566"/>
      <c r="AN204" s="566"/>
      <c r="AO204" s="566"/>
    </row>
    <row r="205" spans="2:41" x14ac:dyDescent="0.15">
      <c r="B205" s="567">
        <v>-19</v>
      </c>
      <c r="C205" s="566">
        <v>0</v>
      </c>
      <c r="D205" s="566"/>
      <c r="E205" s="566"/>
      <c r="F205" s="566"/>
      <c r="G205" s="566"/>
      <c r="H205" s="566"/>
      <c r="I205" s="566"/>
      <c r="J205" s="566"/>
      <c r="K205" s="566"/>
      <c r="L205" s="566"/>
      <c r="M205" s="566"/>
      <c r="N205" s="566"/>
      <c r="O205" s="566"/>
      <c r="P205" s="566"/>
      <c r="Q205" s="566"/>
      <c r="R205" s="566"/>
      <c r="S205" s="566"/>
      <c r="T205" s="566"/>
      <c r="U205" s="566"/>
      <c r="V205" s="566"/>
      <c r="W205" s="566"/>
      <c r="X205" s="566"/>
      <c r="Y205" s="566"/>
      <c r="Z205" s="566"/>
      <c r="AA205" s="566"/>
      <c r="AB205" s="566"/>
      <c r="AC205" s="566"/>
      <c r="AD205" s="566"/>
      <c r="AE205" s="566"/>
      <c r="AF205" s="566"/>
      <c r="AG205" s="566"/>
      <c r="AH205" s="566"/>
      <c r="AI205" s="566"/>
      <c r="AJ205" s="566"/>
      <c r="AK205" s="566"/>
      <c r="AL205" s="566"/>
      <c r="AM205" s="566"/>
      <c r="AN205" s="566"/>
      <c r="AO205" s="566"/>
    </row>
    <row r="206" spans="2:41" x14ac:dyDescent="0.15">
      <c r="B206" s="567">
        <v>-18</v>
      </c>
      <c r="C206" s="566">
        <v>4.5662100456621003E-4</v>
      </c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66"/>
      <c r="O206" s="566"/>
      <c r="P206" s="566"/>
      <c r="Q206" s="566"/>
      <c r="R206" s="566"/>
      <c r="S206" s="566"/>
      <c r="T206" s="566"/>
      <c r="U206" s="566"/>
      <c r="V206" s="566"/>
      <c r="W206" s="566"/>
      <c r="X206" s="566"/>
      <c r="Y206" s="566"/>
      <c r="Z206" s="566"/>
      <c r="AA206" s="566"/>
      <c r="AB206" s="566"/>
      <c r="AC206" s="566"/>
      <c r="AD206" s="566"/>
      <c r="AE206" s="566"/>
      <c r="AF206" s="566"/>
      <c r="AG206" s="566"/>
      <c r="AH206" s="566"/>
      <c r="AI206" s="566"/>
      <c r="AJ206" s="566"/>
      <c r="AK206" s="566"/>
      <c r="AL206" s="566"/>
      <c r="AM206" s="566"/>
      <c r="AN206" s="566"/>
      <c r="AO206" s="566"/>
    </row>
    <row r="207" spans="2:41" x14ac:dyDescent="0.15">
      <c r="B207" s="567">
        <v>-17</v>
      </c>
      <c r="C207" s="566">
        <v>1.8264840182648401E-3</v>
      </c>
      <c r="D207" s="566"/>
      <c r="E207" s="566"/>
      <c r="F207" s="566"/>
      <c r="G207" s="566"/>
      <c r="H207" s="566"/>
      <c r="I207" s="566"/>
      <c r="J207" s="566"/>
      <c r="K207" s="566"/>
      <c r="L207" s="566"/>
      <c r="M207" s="566"/>
      <c r="N207" s="566"/>
      <c r="O207" s="566"/>
      <c r="P207" s="566"/>
      <c r="Q207" s="566"/>
      <c r="R207" s="566"/>
      <c r="S207" s="566"/>
      <c r="T207" s="566"/>
      <c r="U207" s="566"/>
      <c r="V207" s="566"/>
      <c r="W207" s="566"/>
      <c r="X207" s="566"/>
      <c r="Y207" s="566"/>
      <c r="Z207" s="566"/>
      <c r="AA207" s="566"/>
      <c r="AB207" s="566"/>
      <c r="AC207" s="566"/>
      <c r="AD207" s="566"/>
      <c r="AE207" s="566"/>
      <c r="AF207" s="566"/>
      <c r="AG207" s="566"/>
      <c r="AH207" s="566"/>
      <c r="AI207" s="566"/>
      <c r="AJ207" s="566"/>
      <c r="AK207" s="566"/>
      <c r="AL207" s="566"/>
      <c r="AM207" s="566"/>
      <c r="AN207" s="566"/>
      <c r="AO207" s="566"/>
    </row>
    <row r="208" spans="2:41" x14ac:dyDescent="0.15">
      <c r="B208" s="567">
        <v>-16</v>
      </c>
      <c r="C208" s="566">
        <v>3.767123287671233E-3</v>
      </c>
      <c r="D208" s="566"/>
      <c r="E208" s="566"/>
      <c r="F208" s="566"/>
      <c r="G208" s="566"/>
      <c r="H208" s="566"/>
      <c r="I208" s="566"/>
      <c r="J208" s="566"/>
      <c r="K208" s="566"/>
      <c r="L208" s="566"/>
      <c r="M208" s="566"/>
      <c r="N208" s="566"/>
      <c r="O208" s="566"/>
      <c r="P208" s="566"/>
      <c r="Q208" s="566"/>
      <c r="R208" s="566"/>
      <c r="S208" s="566"/>
      <c r="T208" s="566"/>
      <c r="U208" s="566"/>
      <c r="V208" s="566"/>
      <c r="W208" s="566"/>
      <c r="X208" s="566"/>
      <c r="Y208" s="566"/>
      <c r="Z208" s="566"/>
      <c r="AA208" s="566"/>
      <c r="AB208" s="566"/>
      <c r="AC208" s="566"/>
      <c r="AD208" s="566"/>
      <c r="AE208" s="566"/>
      <c r="AF208" s="566"/>
      <c r="AG208" s="566"/>
      <c r="AH208" s="566"/>
      <c r="AI208" s="566"/>
      <c r="AJ208" s="566"/>
      <c r="AK208" s="566"/>
      <c r="AL208" s="566"/>
      <c r="AM208" s="566"/>
      <c r="AN208" s="566"/>
      <c r="AO208" s="566"/>
    </row>
    <row r="209" spans="2:41" x14ac:dyDescent="0.15">
      <c r="B209" s="567">
        <v>-15</v>
      </c>
      <c r="C209" s="566">
        <v>6.392694063926941E-3</v>
      </c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66"/>
      <c r="O209" s="566"/>
      <c r="P209" s="566"/>
      <c r="Q209" s="566"/>
      <c r="R209" s="566"/>
      <c r="S209" s="566"/>
      <c r="T209" s="566"/>
      <c r="U209" s="566"/>
      <c r="V209" s="566"/>
      <c r="W209" s="566"/>
      <c r="X209" s="566"/>
      <c r="Y209" s="566"/>
      <c r="Z209" s="566"/>
      <c r="AA209" s="566"/>
      <c r="AB209" s="566"/>
      <c r="AC209" s="566"/>
      <c r="AD209" s="566"/>
      <c r="AE209" s="566"/>
      <c r="AF209" s="566"/>
      <c r="AG209" s="566"/>
      <c r="AH209" s="566"/>
      <c r="AI209" s="566"/>
      <c r="AJ209" s="566"/>
      <c r="AK209" s="566"/>
      <c r="AL209" s="566"/>
      <c r="AM209" s="566"/>
      <c r="AN209" s="566"/>
      <c r="AO209" s="566"/>
    </row>
    <row r="210" spans="2:41" x14ac:dyDescent="0.15">
      <c r="B210" s="567">
        <v>-14</v>
      </c>
      <c r="C210" s="566">
        <v>7.4200913242009128E-3</v>
      </c>
      <c r="D210" s="566"/>
      <c r="E210" s="566"/>
      <c r="F210" s="566"/>
      <c r="G210" s="566"/>
      <c r="H210" s="566"/>
      <c r="I210" s="566"/>
      <c r="J210" s="566"/>
      <c r="K210" s="566"/>
      <c r="L210" s="566"/>
      <c r="M210" s="566"/>
      <c r="N210" s="566"/>
      <c r="O210" s="566"/>
      <c r="P210" s="566"/>
      <c r="Q210" s="566"/>
      <c r="R210" s="566"/>
      <c r="S210" s="566"/>
      <c r="T210" s="566"/>
      <c r="U210" s="566"/>
      <c r="V210" s="566"/>
      <c r="W210" s="566"/>
      <c r="X210" s="566"/>
      <c r="Y210" s="566"/>
      <c r="Z210" s="566"/>
      <c r="AA210" s="566"/>
      <c r="AB210" s="566"/>
      <c r="AC210" s="566"/>
      <c r="AD210" s="566"/>
      <c r="AE210" s="566"/>
      <c r="AF210" s="566"/>
      <c r="AG210" s="566"/>
      <c r="AH210" s="566"/>
      <c r="AI210" s="566"/>
      <c r="AJ210" s="566"/>
      <c r="AK210" s="566"/>
      <c r="AL210" s="566"/>
      <c r="AM210" s="566"/>
      <c r="AN210" s="566"/>
      <c r="AO210" s="566"/>
    </row>
    <row r="211" spans="2:41" x14ac:dyDescent="0.15">
      <c r="B211" s="567">
        <v>-13</v>
      </c>
      <c r="C211" s="566">
        <v>1.1301369863013699E-2</v>
      </c>
      <c r="D211" s="566"/>
      <c r="E211" s="566"/>
      <c r="F211" s="566"/>
      <c r="G211" s="566"/>
      <c r="H211" s="566"/>
      <c r="I211" s="566"/>
      <c r="J211" s="566"/>
      <c r="K211" s="566"/>
      <c r="L211" s="566"/>
      <c r="M211" s="566"/>
      <c r="N211" s="566"/>
      <c r="O211" s="566"/>
      <c r="P211" s="566"/>
      <c r="Q211" s="566"/>
      <c r="R211" s="566"/>
      <c r="S211" s="566"/>
      <c r="T211" s="566"/>
      <c r="U211" s="566"/>
      <c r="V211" s="566"/>
      <c r="W211" s="566"/>
      <c r="X211" s="566"/>
      <c r="Y211" s="566"/>
      <c r="Z211" s="566"/>
      <c r="AA211" s="566"/>
      <c r="AB211" s="566"/>
      <c r="AC211" s="566"/>
      <c r="AD211" s="566"/>
      <c r="AE211" s="566"/>
      <c r="AF211" s="566"/>
      <c r="AG211" s="566"/>
      <c r="AH211" s="566"/>
      <c r="AI211" s="566"/>
      <c r="AJ211" s="566"/>
      <c r="AK211" s="566"/>
      <c r="AL211" s="566"/>
      <c r="AM211" s="566"/>
      <c r="AN211" s="566"/>
      <c r="AO211" s="566"/>
    </row>
    <row r="212" spans="2:41" x14ac:dyDescent="0.15">
      <c r="B212" s="567">
        <v>-12</v>
      </c>
      <c r="C212" s="566">
        <v>1.4041095890410958E-2</v>
      </c>
      <c r="D212" s="566"/>
      <c r="E212" s="566"/>
      <c r="F212" s="566"/>
      <c r="G212" s="566"/>
      <c r="H212" s="566"/>
      <c r="I212" s="566"/>
      <c r="J212" s="566"/>
      <c r="K212" s="566"/>
      <c r="L212" s="566"/>
      <c r="M212" s="566"/>
      <c r="N212" s="566"/>
      <c r="O212" s="566"/>
      <c r="P212" s="566"/>
      <c r="Q212" s="566"/>
      <c r="R212" s="566"/>
      <c r="S212" s="566"/>
      <c r="T212" s="566"/>
      <c r="U212" s="566"/>
      <c r="V212" s="566"/>
      <c r="W212" s="566"/>
      <c r="X212" s="566"/>
      <c r="Y212" s="566"/>
      <c r="Z212" s="566"/>
      <c r="AA212" s="566"/>
      <c r="AB212" s="566"/>
      <c r="AC212" s="566"/>
      <c r="AD212" s="566"/>
      <c r="AE212" s="566"/>
      <c r="AF212" s="566"/>
      <c r="AG212" s="566"/>
      <c r="AH212" s="566"/>
      <c r="AI212" s="566"/>
      <c r="AJ212" s="566"/>
      <c r="AK212" s="566"/>
      <c r="AL212" s="566"/>
      <c r="AM212" s="566"/>
      <c r="AN212" s="566"/>
      <c r="AO212" s="566"/>
    </row>
    <row r="213" spans="2:41" x14ac:dyDescent="0.15">
      <c r="B213" s="567">
        <v>-11</v>
      </c>
      <c r="C213" s="566">
        <v>1.872146118721461E-2</v>
      </c>
      <c r="D213" s="566"/>
      <c r="E213" s="566"/>
      <c r="F213" s="566"/>
      <c r="G213" s="566"/>
      <c r="H213" s="566"/>
      <c r="I213" s="566"/>
      <c r="J213" s="566"/>
      <c r="K213" s="566"/>
      <c r="L213" s="566"/>
      <c r="M213" s="566"/>
      <c r="N213" s="566"/>
      <c r="O213" s="566"/>
      <c r="P213" s="566"/>
      <c r="Q213" s="566"/>
      <c r="R213" s="566"/>
      <c r="S213" s="566"/>
      <c r="T213" s="566"/>
      <c r="U213" s="566"/>
      <c r="V213" s="566"/>
      <c r="W213" s="566"/>
      <c r="X213" s="566"/>
      <c r="Y213" s="566"/>
      <c r="Z213" s="566"/>
      <c r="AA213" s="566"/>
      <c r="AB213" s="566"/>
      <c r="AC213" s="566"/>
      <c r="AD213" s="566"/>
      <c r="AE213" s="566"/>
      <c r="AF213" s="566"/>
      <c r="AG213" s="566"/>
      <c r="AH213" s="566"/>
      <c r="AI213" s="566"/>
      <c r="AJ213" s="566"/>
      <c r="AK213" s="566"/>
      <c r="AL213" s="566"/>
      <c r="AM213" s="566"/>
      <c r="AN213" s="566"/>
      <c r="AO213" s="566"/>
    </row>
    <row r="214" spans="2:41" x14ac:dyDescent="0.15">
      <c r="B214" s="567">
        <v>-10</v>
      </c>
      <c r="C214" s="566">
        <v>2.1232876712328767E-2</v>
      </c>
      <c r="D214" s="566"/>
      <c r="E214" s="566"/>
      <c r="F214" s="566"/>
      <c r="G214" s="566"/>
      <c r="H214" s="566"/>
      <c r="I214" s="566"/>
      <c r="J214" s="566"/>
      <c r="K214" s="566"/>
      <c r="L214" s="566"/>
      <c r="M214" s="566"/>
      <c r="N214" s="566"/>
      <c r="O214" s="566"/>
      <c r="P214" s="566"/>
      <c r="Q214" s="566"/>
      <c r="R214" s="566"/>
      <c r="S214" s="566"/>
      <c r="T214" s="566"/>
      <c r="U214" s="566"/>
      <c r="V214" s="566"/>
      <c r="W214" s="566"/>
      <c r="X214" s="566"/>
      <c r="Y214" s="566"/>
      <c r="Z214" s="566"/>
      <c r="AA214" s="566"/>
      <c r="AB214" s="566"/>
      <c r="AC214" s="566"/>
      <c r="AD214" s="566"/>
      <c r="AE214" s="566"/>
      <c r="AF214" s="566"/>
      <c r="AG214" s="566"/>
      <c r="AH214" s="566"/>
      <c r="AI214" s="566"/>
      <c r="AJ214" s="566"/>
      <c r="AK214" s="566"/>
      <c r="AL214" s="566"/>
      <c r="AM214" s="566"/>
      <c r="AN214" s="566"/>
      <c r="AO214" s="566"/>
    </row>
    <row r="215" spans="2:41" x14ac:dyDescent="0.15">
      <c r="B215" s="567">
        <v>-9</v>
      </c>
      <c r="C215" s="566">
        <v>2.3173515981735161E-2</v>
      </c>
      <c r="D215" s="566"/>
      <c r="E215" s="566"/>
      <c r="F215" s="566"/>
      <c r="G215" s="566"/>
      <c r="H215" s="566"/>
      <c r="I215" s="566"/>
      <c r="J215" s="566"/>
      <c r="K215" s="566"/>
      <c r="L215" s="566"/>
      <c r="M215" s="566"/>
      <c r="N215" s="566"/>
      <c r="O215" s="566"/>
      <c r="P215" s="566"/>
      <c r="Q215" s="566"/>
      <c r="R215" s="566"/>
      <c r="S215" s="566"/>
      <c r="T215" s="566"/>
      <c r="U215" s="566"/>
      <c r="V215" s="566"/>
      <c r="W215" s="566"/>
      <c r="X215" s="566"/>
      <c r="Y215" s="566"/>
      <c r="Z215" s="566"/>
      <c r="AA215" s="566"/>
      <c r="AB215" s="566"/>
      <c r="AC215" s="566"/>
      <c r="AD215" s="566"/>
      <c r="AE215" s="566"/>
      <c r="AF215" s="566"/>
      <c r="AG215" s="566"/>
      <c r="AH215" s="566"/>
      <c r="AI215" s="566"/>
      <c r="AJ215" s="566"/>
      <c r="AK215" s="566"/>
      <c r="AL215" s="566"/>
      <c r="AM215" s="566"/>
      <c r="AN215" s="566"/>
      <c r="AO215" s="566"/>
    </row>
    <row r="216" spans="2:41" x14ac:dyDescent="0.15">
      <c r="B216" s="567">
        <v>-8</v>
      </c>
      <c r="C216" s="566">
        <v>3.0365296803652967E-2</v>
      </c>
      <c r="D216" s="566"/>
      <c r="E216" s="566"/>
      <c r="F216" s="566"/>
      <c r="G216" s="566"/>
      <c r="H216" s="566"/>
      <c r="I216" s="566"/>
      <c r="J216" s="566"/>
      <c r="K216" s="566"/>
      <c r="L216" s="566"/>
      <c r="M216" s="566"/>
      <c r="N216" s="566"/>
      <c r="O216" s="566"/>
      <c r="P216" s="566"/>
      <c r="Q216" s="566"/>
      <c r="R216" s="566"/>
      <c r="S216" s="566"/>
      <c r="T216" s="566"/>
      <c r="U216" s="566"/>
      <c r="V216" s="566"/>
      <c r="W216" s="566"/>
      <c r="X216" s="566"/>
      <c r="Y216" s="566"/>
      <c r="Z216" s="566"/>
      <c r="AA216" s="566"/>
      <c r="AB216" s="566"/>
      <c r="AC216" s="566"/>
      <c r="AD216" s="566"/>
      <c r="AE216" s="566"/>
      <c r="AF216" s="566"/>
      <c r="AG216" s="566"/>
      <c r="AH216" s="566"/>
      <c r="AI216" s="566"/>
      <c r="AJ216" s="566"/>
      <c r="AK216" s="566"/>
      <c r="AL216" s="566"/>
      <c r="AM216" s="566"/>
      <c r="AN216" s="566"/>
      <c r="AO216" s="566"/>
    </row>
    <row r="217" spans="2:41" x14ac:dyDescent="0.15">
      <c r="B217" s="567">
        <v>-7</v>
      </c>
      <c r="C217" s="566">
        <v>3.9041095890410958E-2</v>
      </c>
      <c r="D217" s="566"/>
      <c r="E217" s="566"/>
      <c r="F217" s="566"/>
      <c r="G217" s="566"/>
      <c r="H217" s="566"/>
      <c r="I217" s="566"/>
      <c r="J217" s="566"/>
      <c r="K217" s="566"/>
      <c r="L217" s="566"/>
      <c r="M217" s="566"/>
      <c r="N217" s="566"/>
      <c r="O217" s="566"/>
      <c r="P217" s="566"/>
      <c r="Q217" s="566"/>
      <c r="R217" s="566"/>
      <c r="S217" s="566"/>
      <c r="T217" s="566"/>
      <c r="U217" s="566"/>
      <c r="V217" s="566"/>
      <c r="W217" s="566"/>
      <c r="X217" s="566"/>
      <c r="Y217" s="566"/>
      <c r="Z217" s="566"/>
      <c r="AA217" s="566"/>
      <c r="AB217" s="566"/>
      <c r="AC217" s="566"/>
      <c r="AD217" s="566"/>
      <c r="AE217" s="566"/>
      <c r="AF217" s="566"/>
      <c r="AG217" s="566"/>
      <c r="AH217" s="566"/>
      <c r="AI217" s="566"/>
      <c r="AJ217" s="566"/>
      <c r="AK217" s="566"/>
      <c r="AL217" s="566"/>
      <c r="AM217" s="566"/>
      <c r="AN217" s="566"/>
      <c r="AO217" s="566"/>
    </row>
    <row r="218" spans="2:41" x14ac:dyDescent="0.15">
      <c r="B218" s="567">
        <v>-6</v>
      </c>
      <c r="C218" s="566">
        <v>5.3538812785388128E-2</v>
      </c>
      <c r="D218" s="566"/>
      <c r="E218" s="566"/>
      <c r="F218" s="566"/>
      <c r="G218" s="566"/>
      <c r="H218" s="566"/>
      <c r="I218" s="566"/>
      <c r="J218" s="566"/>
      <c r="K218" s="566"/>
      <c r="L218" s="566"/>
      <c r="M218" s="566"/>
      <c r="N218" s="566"/>
      <c r="O218" s="566"/>
      <c r="P218" s="566"/>
      <c r="Q218" s="566"/>
      <c r="R218" s="566"/>
      <c r="S218" s="566"/>
      <c r="T218" s="566"/>
      <c r="U218" s="566"/>
      <c r="V218" s="566"/>
      <c r="W218" s="566"/>
      <c r="X218" s="566"/>
      <c r="Y218" s="566"/>
      <c r="Z218" s="566"/>
      <c r="AA218" s="566"/>
      <c r="AB218" s="566"/>
      <c r="AC218" s="566"/>
      <c r="AD218" s="566"/>
      <c r="AE218" s="566"/>
      <c r="AF218" s="566"/>
      <c r="AG218" s="566"/>
      <c r="AH218" s="566"/>
      <c r="AI218" s="566"/>
      <c r="AJ218" s="566"/>
      <c r="AK218" s="566"/>
      <c r="AL218" s="566"/>
      <c r="AM218" s="566"/>
      <c r="AN218" s="566"/>
      <c r="AO218" s="566"/>
    </row>
    <row r="219" spans="2:41" x14ac:dyDescent="0.15">
      <c r="B219" s="567">
        <v>-5</v>
      </c>
      <c r="C219" s="566">
        <v>7.4543378995433784E-2</v>
      </c>
      <c r="D219" s="566"/>
      <c r="E219" s="566"/>
      <c r="F219" s="566"/>
      <c r="G219" s="566"/>
      <c r="H219" s="566"/>
      <c r="I219" s="566"/>
      <c r="J219" s="566"/>
      <c r="K219" s="566"/>
      <c r="L219" s="566"/>
      <c r="M219" s="566"/>
      <c r="N219" s="566"/>
      <c r="O219" s="566"/>
      <c r="P219" s="566"/>
      <c r="Q219" s="566"/>
      <c r="R219" s="566"/>
      <c r="S219" s="566"/>
      <c r="T219" s="566"/>
      <c r="U219" s="566"/>
      <c r="V219" s="566"/>
      <c r="W219" s="566"/>
      <c r="X219" s="566"/>
      <c r="Y219" s="566"/>
      <c r="Z219" s="566"/>
      <c r="AA219" s="566"/>
      <c r="AB219" s="566"/>
      <c r="AC219" s="566"/>
      <c r="AD219" s="566"/>
      <c r="AE219" s="566"/>
      <c r="AF219" s="566"/>
      <c r="AG219" s="566"/>
      <c r="AH219" s="566"/>
      <c r="AI219" s="566"/>
      <c r="AJ219" s="566"/>
      <c r="AK219" s="566"/>
      <c r="AL219" s="566"/>
      <c r="AM219" s="566"/>
      <c r="AN219" s="566"/>
      <c r="AO219" s="566"/>
    </row>
    <row r="220" spans="2:41" x14ac:dyDescent="0.15">
      <c r="B220" s="567">
        <v>-4</v>
      </c>
      <c r="C220" s="566">
        <v>8.6872146118721461E-2</v>
      </c>
      <c r="D220" s="566"/>
      <c r="E220" s="566"/>
      <c r="F220" s="566"/>
      <c r="G220" s="566"/>
      <c r="H220" s="566"/>
      <c r="I220" s="566"/>
      <c r="J220" s="566"/>
      <c r="K220" s="566"/>
      <c r="L220" s="566"/>
      <c r="M220" s="566"/>
      <c r="N220" s="566"/>
      <c r="O220" s="566"/>
      <c r="P220" s="566"/>
      <c r="Q220" s="566"/>
      <c r="R220" s="566"/>
      <c r="S220" s="566"/>
      <c r="T220" s="566"/>
      <c r="U220" s="566"/>
      <c r="V220" s="566"/>
      <c r="W220" s="566"/>
      <c r="X220" s="566"/>
      <c r="Y220" s="566"/>
      <c r="Z220" s="566"/>
      <c r="AA220" s="566"/>
      <c r="AB220" s="566"/>
      <c r="AC220" s="566"/>
      <c r="AD220" s="566"/>
      <c r="AE220" s="566"/>
      <c r="AF220" s="566"/>
      <c r="AG220" s="566"/>
      <c r="AH220" s="566"/>
      <c r="AI220" s="566"/>
      <c r="AJ220" s="566"/>
      <c r="AK220" s="566"/>
      <c r="AL220" s="566"/>
      <c r="AM220" s="566"/>
      <c r="AN220" s="566"/>
      <c r="AO220" s="566"/>
    </row>
    <row r="221" spans="2:41" x14ac:dyDescent="0.15">
      <c r="B221" s="567">
        <v>-3</v>
      </c>
      <c r="C221" s="566">
        <v>0.11780821917808219</v>
      </c>
      <c r="D221" s="566"/>
      <c r="E221" s="566"/>
      <c r="F221" s="566"/>
      <c r="G221" s="566"/>
      <c r="H221" s="566"/>
      <c r="I221" s="566"/>
      <c r="J221" s="566"/>
      <c r="K221" s="566"/>
      <c r="L221" s="566"/>
      <c r="M221" s="566"/>
      <c r="N221" s="566"/>
      <c r="O221" s="566"/>
      <c r="P221" s="566"/>
      <c r="Q221" s="566"/>
      <c r="R221" s="566"/>
      <c r="S221" s="566"/>
      <c r="T221" s="566"/>
      <c r="U221" s="566"/>
      <c r="V221" s="566"/>
      <c r="W221" s="566"/>
      <c r="X221" s="566"/>
      <c r="Y221" s="566"/>
      <c r="Z221" s="566"/>
      <c r="AA221" s="566"/>
      <c r="AB221" s="566"/>
      <c r="AC221" s="566"/>
      <c r="AD221" s="566"/>
      <c r="AE221" s="566"/>
      <c r="AF221" s="566"/>
      <c r="AG221" s="566"/>
      <c r="AH221" s="566"/>
      <c r="AI221" s="566"/>
      <c r="AJ221" s="566"/>
      <c r="AK221" s="566"/>
      <c r="AL221" s="566"/>
      <c r="AM221" s="566"/>
      <c r="AN221" s="566"/>
      <c r="AO221" s="566"/>
    </row>
    <row r="222" spans="2:41" x14ac:dyDescent="0.15">
      <c r="B222" s="567">
        <v>-2</v>
      </c>
      <c r="C222" s="566">
        <v>0.16244292237442923</v>
      </c>
      <c r="D222" s="566"/>
      <c r="E222" s="566"/>
      <c r="F222" s="566"/>
      <c r="G222" s="566"/>
      <c r="H222" s="566"/>
      <c r="I222" s="566"/>
      <c r="J222" s="566"/>
      <c r="K222" s="566"/>
      <c r="L222" s="566"/>
      <c r="M222" s="566"/>
      <c r="N222" s="566"/>
      <c r="O222" s="566"/>
      <c r="P222" s="566"/>
      <c r="Q222" s="566"/>
      <c r="R222" s="566"/>
      <c r="S222" s="566"/>
      <c r="T222" s="566"/>
      <c r="U222" s="566"/>
      <c r="V222" s="566"/>
      <c r="W222" s="566"/>
      <c r="X222" s="566"/>
      <c r="Y222" s="566"/>
      <c r="Z222" s="566"/>
      <c r="AA222" s="566"/>
      <c r="AB222" s="566"/>
      <c r="AC222" s="566"/>
      <c r="AD222" s="566"/>
      <c r="AE222" s="566"/>
      <c r="AF222" s="566"/>
      <c r="AG222" s="566"/>
      <c r="AH222" s="566"/>
      <c r="AI222" s="566"/>
      <c r="AJ222" s="566"/>
      <c r="AK222" s="566"/>
      <c r="AL222" s="566"/>
      <c r="AM222" s="566"/>
      <c r="AN222" s="566"/>
      <c r="AO222" s="566"/>
    </row>
    <row r="223" spans="2:41" x14ac:dyDescent="0.15">
      <c r="B223" s="567">
        <v>-1</v>
      </c>
      <c r="C223" s="566">
        <v>0.21118721461187215</v>
      </c>
      <c r="D223" s="566"/>
      <c r="E223" s="566"/>
      <c r="F223" s="566"/>
      <c r="G223" s="566"/>
      <c r="H223" s="566"/>
      <c r="I223" s="566"/>
      <c r="J223" s="566"/>
      <c r="K223" s="566"/>
      <c r="L223" s="566"/>
      <c r="M223" s="566"/>
      <c r="N223" s="566"/>
      <c r="O223" s="566"/>
      <c r="P223" s="566"/>
      <c r="Q223" s="566"/>
      <c r="R223" s="566"/>
      <c r="S223" s="566"/>
      <c r="T223" s="566"/>
      <c r="U223" s="566"/>
      <c r="V223" s="566"/>
      <c r="W223" s="566"/>
      <c r="X223" s="566"/>
      <c r="Y223" s="566"/>
      <c r="Z223" s="566"/>
      <c r="AA223" s="566"/>
      <c r="AB223" s="566"/>
      <c r="AC223" s="566"/>
      <c r="AD223" s="566"/>
      <c r="AE223" s="566"/>
      <c r="AF223" s="566"/>
      <c r="AG223" s="566"/>
      <c r="AH223" s="566"/>
      <c r="AI223" s="566"/>
      <c r="AJ223" s="566"/>
      <c r="AK223" s="566"/>
      <c r="AL223" s="566"/>
      <c r="AM223" s="566"/>
      <c r="AN223" s="566"/>
      <c r="AO223" s="566"/>
    </row>
    <row r="224" spans="2:41" x14ac:dyDescent="0.15">
      <c r="B224" s="567">
        <v>0</v>
      </c>
      <c r="C224" s="566">
        <v>0.25753424657534246</v>
      </c>
      <c r="D224" s="566"/>
      <c r="E224" s="566"/>
      <c r="F224" s="566"/>
      <c r="G224" s="566"/>
      <c r="H224" s="566"/>
      <c r="I224" s="566"/>
      <c r="J224" s="566"/>
      <c r="K224" s="566"/>
      <c r="L224" s="566"/>
      <c r="M224" s="566"/>
      <c r="N224" s="566"/>
      <c r="O224" s="566"/>
      <c r="P224" s="566"/>
      <c r="Q224" s="566"/>
      <c r="R224" s="566"/>
      <c r="S224" s="566"/>
      <c r="T224" s="566"/>
      <c r="U224" s="566"/>
      <c r="V224" s="566"/>
      <c r="W224" s="566"/>
      <c r="X224" s="566"/>
      <c r="Y224" s="566"/>
      <c r="Z224" s="566"/>
      <c r="AA224" s="566"/>
      <c r="AB224" s="566"/>
      <c r="AC224" s="566"/>
      <c r="AD224" s="566"/>
      <c r="AE224" s="566"/>
      <c r="AF224" s="566"/>
      <c r="AG224" s="566"/>
      <c r="AH224" s="566"/>
      <c r="AI224" s="566"/>
      <c r="AJ224" s="566"/>
      <c r="AK224" s="566"/>
      <c r="AL224" s="566"/>
      <c r="AM224" s="566"/>
      <c r="AN224" s="566"/>
      <c r="AO224" s="566"/>
    </row>
    <row r="225" spans="2:41" x14ac:dyDescent="0.15">
      <c r="B225" s="567">
        <v>1</v>
      </c>
      <c r="C225" s="566">
        <v>0.28150684931506847</v>
      </c>
      <c r="D225" s="566"/>
      <c r="E225" s="566"/>
      <c r="F225" s="566"/>
      <c r="G225" s="566"/>
      <c r="H225" s="566"/>
      <c r="I225" s="566"/>
      <c r="J225" s="566"/>
      <c r="K225" s="566"/>
      <c r="L225" s="566"/>
      <c r="M225" s="566"/>
      <c r="N225" s="566"/>
      <c r="O225" s="566"/>
      <c r="P225" s="566"/>
      <c r="Q225" s="566"/>
      <c r="R225" s="566"/>
      <c r="S225" s="566"/>
      <c r="T225" s="566"/>
      <c r="U225" s="566"/>
      <c r="V225" s="566"/>
      <c r="W225" s="566"/>
      <c r="X225" s="566"/>
      <c r="Y225" s="566"/>
      <c r="Z225" s="566"/>
      <c r="AA225" s="566"/>
      <c r="AB225" s="566"/>
      <c r="AC225" s="566"/>
      <c r="AD225" s="566"/>
      <c r="AE225" s="566"/>
      <c r="AF225" s="566"/>
      <c r="AG225" s="566"/>
      <c r="AH225" s="566"/>
      <c r="AI225" s="566"/>
      <c r="AJ225" s="566"/>
      <c r="AK225" s="566"/>
      <c r="AL225" s="566"/>
      <c r="AM225" s="566"/>
      <c r="AN225" s="566"/>
      <c r="AO225" s="566"/>
    </row>
    <row r="226" spans="2:41" x14ac:dyDescent="0.15">
      <c r="B226" s="567">
        <v>2</v>
      </c>
      <c r="C226" s="566">
        <v>0.33550228310502284</v>
      </c>
      <c r="D226" s="566"/>
      <c r="E226" s="566"/>
      <c r="F226" s="566"/>
      <c r="G226" s="566"/>
      <c r="H226" s="566"/>
      <c r="I226" s="566"/>
      <c r="J226" s="566"/>
      <c r="K226" s="566"/>
      <c r="L226" s="566"/>
      <c r="M226" s="566"/>
      <c r="N226" s="566"/>
      <c r="O226" s="566"/>
      <c r="P226" s="566"/>
      <c r="Q226" s="566"/>
      <c r="R226" s="566"/>
      <c r="S226" s="566"/>
      <c r="T226" s="566"/>
      <c r="U226" s="566"/>
      <c r="V226" s="566"/>
      <c r="W226" s="566"/>
      <c r="X226" s="566"/>
      <c r="Y226" s="566"/>
      <c r="Z226" s="566"/>
      <c r="AA226" s="566"/>
      <c r="AB226" s="566"/>
      <c r="AC226" s="566"/>
      <c r="AD226" s="566"/>
      <c r="AE226" s="566"/>
      <c r="AF226" s="566"/>
      <c r="AG226" s="566"/>
      <c r="AH226" s="566"/>
      <c r="AI226" s="566"/>
      <c r="AJ226" s="566"/>
      <c r="AK226" s="566"/>
      <c r="AL226" s="566"/>
      <c r="AM226" s="566"/>
      <c r="AN226" s="566"/>
      <c r="AO226" s="566"/>
    </row>
    <row r="227" spans="2:41" x14ac:dyDescent="0.15">
      <c r="B227" s="567">
        <v>3</v>
      </c>
      <c r="C227" s="566">
        <v>0.38824200913242007</v>
      </c>
      <c r="D227" s="566"/>
      <c r="E227" s="566"/>
      <c r="F227" s="566"/>
      <c r="G227" s="566"/>
      <c r="H227" s="566"/>
      <c r="I227" s="566"/>
      <c r="J227" s="566"/>
      <c r="K227" s="566"/>
      <c r="L227" s="566"/>
      <c r="M227" s="566"/>
      <c r="N227" s="566"/>
      <c r="O227" s="566"/>
      <c r="P227" s="566"/>
      <c r="Q227" s="566"/>
      <c r="R227" s="566"/>
      <c r="S227" s="566"/>
      <c r="T227" s="566"/>
      <c r="U227" s="566"/>
      <c r="V227" s="566"/>
      <c r="W227" s="566"/>
      <c r="X227" s="566"/>
      <c r="Y227" s="566"/>
      <c r="Z227" s="566"/>
      <c r="AA227" s="566"/>
      <c r="AB227" s="566"/>
      <c r="AC227" s="566"/>
      <c r="AD227" s="566"/>
      <c r="AE227" s="566"/>
      <c r="AF227" s="566"/>
      <c r="AG227" s="566"/>
      <c r="AH227" s="566"/>
      <c r="AI227" s="566"/>
      <c r="AJ227" s="566"/>
      <c r="AK227" s="566"/>
      <c r="AL227" s="566"/>
      <c r="AM227" s="566"/>
      <c r="AN227" s="566"/>
      <c r="AO227" s="566"/>
    </row>
    <row r="228" spans="2:41" x14ac:dyDescent="0.15">
      <c r="B228" s="567">
        <v>4</v>
      </c>
      <c r="C228" s="566">
        <v>0.44189497716894977</v>
      </c>
      <c r="D228" s="566"/>
      <c r="E228" s="566"/>
      <c r="F228" s="566"/>
      <c r="G228" s="566"/>
      <c r="H228" s="566"/>
      <c r="I228" s="566"/>
      <c r="J228" s="566"/>
      <c r="K228" s="566"/>
      <c r="L228" s="566"/>
      <c r="M228" s="566"/>
      <c r="N228" s="566"/>
      <c r="O228" s="566"/>
      <c r="P228" s="566"/>
      <c r="Q228" s="566"/>
      <c r="R228" s="566"/>
      <c r="S228" s="566"/>
      <c r="T228" s="566"/>
      <c r="U228" s="566"/>
      <c r="V228" s="566"/>
      <c r="W228" s="566"/>
      <c r="X228" s="566"/>
      <c r="Y228" s="566"/>
      <c r="Z228" s="566"/>
      <c r="AA228" s="566"/>
      <c r="AB228" s="566"/>
      <c r="AC228" s="566"/>
      <c r="AD228" s="566"/>
      <c r="AE228" s="566"/>
      <c r="AF228" s="566"/>
      <c r="AG228" s="566"/>
      <c r="AH228" s="566"/>
      <c r="AI228" s="566"/>
      <c r="AJ228" s="566"/>
      <c r="AK228" s="566"/>
      <c r="AL228" s="566"/>
      <c r="AM228" s="566"/>
      <c r="AN228" s="566"/>
      <c r="AO228" s="566"/>
    </row>
    <row r="229" spans="2:41" x14ac:dyDescent="0.15">
      <c r="B229" s="567">
        <v>5</v>
      </c>
      <c r="C229" s="566">
        <v>0.48162100456621004</v>
      </c>
      <c r="D229" s="566"/>
      <c r="E229" s="566"/>
      <c r="F229" s="566"/>
      <c r="G229" s="566"/>
      <c r="H229" s="566"/>
      <c r="I229" s="566"/>
      <c r="J229" s="566"/>
      <c r="K229" s="566"/>
      <c r="L229" s="566"/>
      <c r="M229" s="566"/>
      <c r="N229" s="566"/>
      <c r="O229" s="566"/>
      <c r="P229" s="566"/>
      <c r="Q229" s="566"/>
      <c r="R229" s="566"/>
      <c r="S229" s="566"/>
      <c r="T229" s="566"/>
      <c r="U229" s="566"/>
      <c r="V229" s="566"/>
      <c r="W229" s="566"/>
      <c r="X229" s="566"/>
      <c r="Y229" s="566"/>
      <c r="Z229" s="566"/>
      <c r="AA229" s="566"/>
      <c r="AB229" s="566"/>
      <c r="AC229" s="566"/>
      <c r="AD229" s="566"/>
      <c r="AE229" s="566"/>
      <c r="AF229" s="566"/>
      <c r="AG229" s="566"/>
      <c r="AH229" s="566"/>
      <c r="AI229" s="566"/>
      <c r="AJ229" s="566"/>
      <c r="AK229" s="566"/>
      <c r="AL229" s="566"/>
      <c r="AM229" s="566"/>
      <c r="AN229" s="566"/>
      <c r="AO229" s="566"/>
    </row>
    <row r="230" spans="2:41" x14ac:dyDescent="0.15">
      <c r="B230" s="567">
        <v>6</v>
      </c>
      <c r="C230" s="566">
        <v>0.49771689497716892</v>
      </c>
      <c r="D230" s="566"/>
      <c r="E230" s="566"/>
      <c r="F230" s="566"/>
      <c r="G230" s="566"/>
      <c r="H230" s="566"/>
      <c r="I230" s="566"/>
      <c r="J230" s="566"/>
      <c r="K230" s="566"/>
      <c r="L230" s="566"/>
      <c r="M230" s="566"/>
      <c r="N230" s="566"/>
      <c r="O230" s="566"/>
      <c r="P230" s="566"/>
      <c r="Q230" s="566"/>
      <c r="R230" s="566"/>
      <c r="S230" s="566"/>
      <c r="T230" s="566"/>
      <c r="U230" s="566"/>
      <c r="V230" s="566"/>
      <c r="W230" s="566"/>
      <c r="X230" s="566"/>
      <c r="Y230" s="566"/>
      <c r="Z230" s="566"/>
      <c r="AA230" s="566"/>
      <c r="AB230" s="566"/>
      <c r="AC230" s="566"/>
      <c r="AD230" s="566"/>
      <c r="AE230" s="566"/>
      <c r="AF230" s="566"/>
      <c r="AG230" s="566"/>
      <c r="AH230" s="566"/>
      <c r="AI230" s="566"/>
      <c r="AJ230" s="566"/>
      <c r="AK230" s="566"/>
      <c r="AL230" s="566"/>
      <c r="AM230" s="566"/>
      <c r="AN230" s="566"/>
      <c r="AO230" s="566"/>
    </row>
    <row r="231" spans="2:41" x14ac:dyDescent="0.15">
      <c r="B231" s="567">
        <v>7</v>
      </c>
      <c r="C231" s="566">
        <v>0.53230593607305932</v>
      </c>
      <c r="D231" s="566"/>
      <c r="E231" s="566"/>
      <c r="F231" s="566"/>
      <c r="G231" s="566"/>
      <c r="H231" s="566"/>
      <c r="I231" s="566"/>
      <c r="J231" s="566"/>
      <c r="K231" s="566"/>
      <c r="L231" s="566"/>
      <c r="M231" s="566"/>
      <c r="N231" s="566"/>
      <c r="O231" s="566"/>
      <c r="P231" s="566"/>
      <c r="Q231" s="566"/>
      <c r="R231" s="566"/>
      <c r="S231" s="566"/>
      <c r="T231" s="566"/>
      <c r="U231" s="566"/>
      <c r="V231" s="566"/>
      <c r="W231" s="566"/>
      <c r="X231" s="566"/>
      <c r="Y231" s="566"/>
      <c r="Z231" s="566"/>
      <c r="AA231" s="566"/>
      <c r="AB231" s="566"/>
      <c r="AC231" s="566"/>
      <c r="AD231" s="566"/>
      <c r="AE231" s="566"/>
      <c r="AF231" s="566"/>
      <c r="AG231" s="566"/>
      <c r="AH231" s="566"/>
      <c r="AI231" s="566"/>
      <c r="AJ231" s="566"/>
      <c r="AK231" s="566"/>
      <c r="AL231" s="566"/>
      <c r="AM231" s="566"/>
      <c r="AN231" s="566"/>
      <c r="AO231" s="566"/>
    </row>
    <row r="232" spans="2:41" x14ac:dyDescent="0.15">
      <c r="B232" s="567">
        <v>8</v>
      </c>
      <c r="C232" s="566">
        <v>0.56666666666666665</v>
      </c>
      <c r="D232" s="566"/>
      <c r="E232" s="566"/>
      <c r="F232" s="566"/>
      <c r="G232" s="566"/>
      <c r="H232" s="566"/>
      <c r="I232" s="566"/>
      <c r="J232" s="566"/>
      <c r="K232" s="566"/>
      <c r="L232" s="566"/>
      <c r="M232" s="566"/>
      <c r="N232" s="566"/>
      <c r="O232" s="566"/>
      <c r="P232" s="566"/>
      <c r="Q232" s="566"/>
      <c r="R232" s="566"/>
      <c r="S232" s="566"/>
      <c r="T232" s="566"/>
      <c r="U232" s="566"/>
      <c r="V232" s="566"/>
      <c r="W232" s="566"/>
      <c r="X232" s="566"/>
      <c r="Y232" s="566"/>
      <c r="Z232" s="566"/>
      <c r="AA232" s="566"/>
      <c r="AB232" s="566"/>
      <c r="AC232" s="566"/>
      <c r="AD232" s="566"/>
      <c r="AE232" s="566"/>
      <c r="AF232" s="566"/>
      <c r="AG232" s="566"/>
      <c r="AH232" s="566"/>
      <c r="AI232" s="566"/>
      <c r="AJ232" s="566"/>
      <c r="AK232" s="566"/>
      <c r="AL232" s="566"/>
      <c r="AM232" s="566"/>
      <c r="AN232" s="566"/>
      <c r="AO232" s="566"/>
    </row>
    <row r="233" spans="2:41" x14ac:dyDescent="0.15">
      <c r="B233" s="567">
        <v>9</v>
      </c>
      <c r="C233" s="566">
        <v>0.60136986301369866</v>
      </c>
      <c r="D233" s="566"/>
      <c r="E233" s="566"/>
      <c r="F233" s="566"/>
      <c r="G233" s="566"/>
      <c r="H233" s="566"/>
      <c r="I233" s="566"/>
      <c r="J233" s="566"/>
      <c r="K233" s="566"/>
      <c r="L233" s="566"/>
      <c r="M233" s="566"/>
      <c r="N233" s="566"/>
      <c r="O233" s="566"/>
      <c r="P233" s="566"/>
      <c r="Q233" s="566"/>
      <c r="R233" s="566"/>
      <c r="S233" s="566"/>
      <c r="T233" s="566"/>
      <c r="U233" s="566"/>
      <c r="V233" s="566"/>
      <c r="W233" s="566"/>
      <c r="X233" s="566"/>
      <c r="Y233" s="566"/>
      <c r="Z233" s="566"/>
      <c r="AA233" s="566"/>
      <c r="AB233" s="566"/>
      <c r="AC233" s="566"/>
      <c r="AD233" s="566"/>
      <c r="AE233" s="566"/>
      <c r="AF233" s="566"/>
      <c r="AG233" s="566"/>
      <c r="AH233" s="566"/>
      <c r="AI233" s="566"/>
      <c r="AJ233" s="566"/>
      <c r="AK233" s="566"/>
      <c r="AL233" s="566"/>
      <c r="AM233" s="566"/>
      <c r="AN233" s="566"/>
      <c r="AO233" s="566"/>
    </row>
    <row r="234" spans="2:41" x14ac:dyDescent="0.15">
      <c r="B234" s="567">
        <v>10</v>
      </c>
      <c r="C234" s="566">
        <v>0.64577625570776254</v>
      </c>
      <c r="D234" s="566"/>
      <c r="E234" s="566"/>
      <c r="F234" s="566"/>
      <c r="G234" s="566"/>
      <c r="H234" s="566"/>
      <c r="I234" s="566"/>
      <c r="J234" s="566"/>
      <c r="K234" s="566"/>
      <c r="L234" s="566"/>
      <c r="M234" s="566"/>
      <c r="N234" s="566"/>
      <c r="O234" s="566"/>
      <c r="P234" s="566"/>
      <c r="Q234" s="566"/>
      <c r="R234" s="566"/>
      <c r="S234" s="566"/>
      <c r="T234" s="566"/>
      <c r="U234" s="566"/>
      <c r="V234" s="566"/>
      <c r="W234" s="566"/>
      <c r="X234" s="566"/>
      <c r="Y234" s="566"/>
      <c r="Z234" s="566"/>
      <c r="AA234" s="566"/>
      <c r="AB234" s="566"/>
      <c r="AC234" s="566"/>
      <c r="AD234" s="566"/>
      <c r="AE234" s="566"/>
      <c r="AF234" s="566"/>
      <c r="AG234" s="566"/>
      <c r="AH234" s="566"/>
      <c r="AI234" s="566"/>
      <c r="AJ234" s="566"/>
      <c r="AK234" s="566"/>
      <c r="AL234" s="566"/>
      <c r="AM234" s="566"/>
      <c r="AN234" s="566"/>
      <c r="AO234" s="566"/>
    </row>
    <row r="235" spans="2:41" x14ac:dyDescent="0.15">
      <c r="B235" s="567">
        <v>11</v>
      </c>
      <c r="C235" s="566">
        <v>0.67168949771689501</v>
      </c>
      <c r="D235" s="566"/>
      <c r="E235" s="566"/>
      <c r="F235" s="566"/>
      <c r="G235" s="566"/>
      <c r="H235" s="566"/>
      <c r="I235" s="566"/>
      <c r="J235" s="566"/>
      <c r="K235" s="566"/>
      <c r="L235" s="566"/>
      <c r="M235" s="566"/>
      <c r="N235" s="566"/>
      <c r="O235" s="566"/>
      <c r="P235" s="566"/>
      <c r="Q235" s="566"/>
      <c r="R235" s="566"/>
      <c r="S235" s="566"/>
      <c r="T235" s="566"/>
      <c r="U235" s="566"/>
      <c r="V235" s="566"/>
      <c r="W235" s="566"/>
      <c r="X235" s="566"/>
      <c r="Y235" s="566"/>
      <c r="Z235" s="566"/>
      <c r="AA235" s="566"/>
      <c r="AB235" s="566"/>
      <c r="AC235" s="566"/>
      <c r="AD235" s="566"/>
      <c r="AE235" s="566"/>
      <c r="AF235" s="566"/>
      <c r="AG235" s="566"/>
      <c r="AH235" s="566"/>
      <c r="AI235" s="566"/>
      <c r="AJ235" s="566"/>
      <c r="AK235" s="566"/>
      <c r="AL235" s="566"/>
      <c r="AM235" s="566"/>
      <c r="AN235" s="566"/>
      <c r="AO235" s="566"/>
    </row>
    <row r="236" spans="2:41" x14ac:dyDescent="0.15">
      <c r="B236" s="567">
        <v>12</v>
      </c>
      <c r="C236" s="566">
        <v>0.72568493150684932</v>
      </c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66"/>
      <c r="O236" s="566"/>
      <c r="P236" s="566"/>
      <c r="Q236" s="566"/>
      <c r="R236" s="566"/>
      <c r="S236" s="566"/>
      <c r="T236" s="566"/>
      <c r="U236" s="566"/>
      <c r="V236" s="566"/>
      <c r="W236" s="566"/>
      <c r="X236" s="566"/>
      <c r="Y236" s="566"/>
      <c r="Z236" s="566"/>
      <c r="AA236" s="566"/>
      <c r="AB236" s="566"/>
      <c r="AC236" s="566"/>
      <c r="AD236" s="566"/>
      <c r="AE236" s="566"/>
      <c r="AF236" s="566"/>
      <c r="AG236" s="566"/>
      <c r="AH236" s="566"/>
      <c r="AI236" s="566"/>
      <c r="AJ236" s="566"/>
      <c r="AK236" s="566"/>
      <c r="AL236" s="566"/>
      <c r="AM236" s="566"/>
      <c r="AN236" s="566"/>
      <c r="AO236" s="566"/>
    </row>
    <row r="237" spans="2:41" x14ac:dyDescent="0.15">
      <c r="B237" s="567">
        <v>13</v>
      </c>
      <c r="C237" s="566">
        <v>0.77579908675799092</v>
      </c>
      <c r="D237" s="566"/>
      <c r="E237" s="566"/>
      <c r="F237" s="566"/>
      <c r="G237" s="566"/>
      <c r="H237" s="566"/>
      <c r="I237" s="566"/>
      <c r="J237" s="566"/>
      <c r="K237" s="566"/>
      <c r="L237" s="566"/>
      <c r="M237" s="566"/>
      <c r="N237" s="566"/>
      <c r="O237" s="566"/>
      <c r="P237" s="566"/>
      <c r="Q237" s="566"/>
      <c r="R237" s="566"/>
      <c r="S237" s="566"/>
      <c r="T237" s="566"/>
      <c r="U237" s="566"/>
      <c r="V237" s="566"/>
      <c r="W237" s="566"/>
      <c r="X237" s="566"/>
      <c r="Y237" s="566"/>
      <c r="Z237" s="566"/>
      <c r="AA237" s="566"/>
      <c r="AB237" s="566"/>
      <c r="AC237" s="566"/>
      <c r="AD237" s="566"/>
      <c r="AE237" s="566"/>
      <c r="AF237" s="566"/>
      <c r="AG237" s="566"/>
      <c r="AH237" s="566"/>
      <c r="AI237" s="566"/>
      <c r="AJ237" s="566"/>
      <c r="AK237" s="566"/>
      <c r="AL237" s="566"/>
      <c r="AM237" s="566"/>
      <c r="AN237" s="566"/>
      <c r="AO237" s="566"/>
    </row>
    <row r="238" spans="2:41" x14ac:dyDescent="0.15">
      <c r="B238" s="567">
        <v>14</v>
      </c>
      <c r="C238" s="566">
        <v>0.82248858447488582</v>
      </c>
      <c r="D238" s="566"/>
      <c r="E238" s="566"/>
      <c r="F238" s="566"/>
      <c r="G238" s="566"/>
      <c r="H238" s="566"/>
      <c r="I238" s="566"/>
      <c r="J238" s="566"/>
      <c r="K238" s="566"/>
      <c r="L238" s="566"/>
      <c r="M238" s="566"/>
      <c r="N238" s="566"/>
      <c r="O238" s="566"/>
      <c r="P238" s="566"/>
      <c r="Q238" s="566"/>
      <c r="R238" s="566"/>
      <c r="S238" s="566"/>
      <c r="T238" s="566"/>
      <c r="U238" s="566"/>
      <c r="V238" s="566"/>
      <c r="W238" s="566"/>
      <c r="X238" s="566"/>
      <c r="Y238" s="566"/>
      <c r="Z238" s="566"/>
      <c r="AA238" s="566"/>
      <c r="AB238" s="566"/>
      <c r="AC238" s="566"/>
      <c r="AD238" s="566"/>
      <c r="AE238" s="566"/>
      <c r="AF238" s="566"/>
      <c r="AG238" s="566"/>
      <c r="AH238" s="566"/>
      <c r="AI238" s="566"/>
      <c r="AJ238" s="566"/>
      <c r="AK238" s="566"/>
      <c r="AL238" s="566"/>
      <c r="AM238" s="566"/>
      <c r="AN238" s="566"/>
      <c r="AO238" s="566"/>
    </row>
    <row r="239" spans="2:41" x14ac:dyDescent="0.15">
      <c r="B239" s="567">
        <v>15</v>
      </c>
      <c r="C239" s="566">
        <v>0.86130136986301364</v>
      </c>
      <c r="D239" s="566"/>
      <c r="E239" s="566"/>
      <c r="F239" s="566"/>
      <c r="G239" s="566"/>
      <c r="H239" s="566"/>
      <c r="I239" s="566"/>
      <c r="J239" s="566"/>
      <c r="K239" s="566"/>
      <c r="L239" s="566"/>
      <c r="M239" s="566"/>
      <c r="N239" s="566"/>
      <c r="O239" s="566"/>
      <c r="P239" s="566"/>
      <c r="Q239" s="566"/>
      <c r="R239" s="566"/>
      <c r="S239" s="566"/>
      <c r="T239" s="566"/>
      <c r="U239" s="566"/>
      <c r="V239" s="566"/>
      <c r="W239" s="566"/>
      <c r="X239" s="566"/>
      <c r="Y239" s="566"/>
      <c r="Z239" s="566"/>
      <c r="AA239" s="566"/>
      <c r="AB239" s="566"/>
      <c r="AC239" s="566"/>
      <c r="AD239" s="566"/>
      <c r="AE239" s="566"/>
      <c r="AF239" s="566"/>
      <c r="AG239" s="566"/>
      <c r="AH239" s="566"/>
      <c r="AI239" s="566"/>
      <c r="AJ239" s="566"/>
      <c r="AK239" s="566"/>
      <c r="AL239" s="566"/>
      <c r="AM239" s="566"/>
      <c r="AN239" s="566"/>
      <c r="AO239" s="566"/>
    </row>
    <row r="240" spans="2:41" x14ac:dyDescent="0.15">
      <c r="B240" s="567">
        <v>16</v>
      </c>
      <c r="C240" s="566">
        <v>0.88299086757990863</v>
      </c>
      <c r="D240" s="566"/>
      <c r="E240" s="566"/>
      <c r="F240" s="566"/>
      <c r="G240" s="566"/>
      <c r="H240" s="566"/>
      <c r="I240" s="566"/>
      <c r="J240" s="566"/>
      <c r="K240" s="566"/>
      <c r="L240" s="566"/>
      <c r="M240" s="566"/>
      <c r="N240" s="566"/>
      <c r="O240" s="566"/>
      <c r="P240" s="566"/>
      <c r="Q240" s="566"/>
      <c r="R240" s="566"/>
      <c r="S240" s="566"/>
      <c r="T240" s="566"/>
      <c r="U240" s="566"/>
      <c r="V240" s="566"/>
      <c r="W240" s="566"/>
      <c r="X240" s="566"/>
      <c r="Y240" s="566"/>
      <c r="Z240" s="566"/>
      <c r="AA240" s="566"/>
      <c r="AB240" s="566"/>
      <c r="AC240" s="566"/>
      <c r="AD240" s="566"/>
      <c r="AE240" s="566"/>
      <c r="AF240" s="566"/>
      <c r="AG240" s="566"/>
      <c r="AH240" s="566"/>
      <c r="AI240" s="566"/>
      <c r="AJ240" s="566"/>
      <c r="AK240" s="566"/>
      <c r="AL240" s="566"/>
      <c r="AM240" s="566"/>
      <c r="AN240" s="566"/>
      <c r="AO240" s="566"/>
    </row>
    <row r="241" spans="2:41" x14ac:dyDescent="0.15">
      <c r="B241" s="567">
        <v>17</v>
      </c>
      <c r="C241" s="566">
        <v>0.9178082191780822</v>
      </c>
      <c r="D241" s="566"/>
      <c r="E241" s="566"/>
      <c r="F241" s="566"/>
      <c r="G241" s="566"/>
      <c r="H241" s="566"/>
      <c r="I241" s="566"/>
      <c r="J241" s="566"/>
      <c r="K241" s="566"/>
      <c r="L241" s="566"/>
      <c r="M241" s="566"/>
      <c r="N241" s="566"/>
      <c r="O241" s="566"/>
      <c r="P241" s="566"/>
      <c r="Q241" s="566"/>
      <c r="R241" s="566"/>
      <c r="S241" s="566"/>
      <c r="T241" s="566"/>
      <c r="U241" s="566"/>
      <c r="V241" s="566"/>
      <c r="W241" s="566"/>
      <c r="X241" s="566"/>
      <c r="Y241" s="566"/>
      <c r="Z241" s="566"/>
      <c r="AA241" s="566"/>
      <c r="AB241" s="566"/>
      <c r="AC241" s="566"/>
      <c r="AD241" s="566"/>
      <c r="AE241" s="566"/>
      <c r="AF241" s="566"/>
      <c r="AG241" s="566"/>
      <c r="AH241" s="566"/>
      <c r="AI241" s="566"/>
      <c r="AJ241" s="566"/>
      <c r="AK241" s="566"/>
      <c r="AL241" s="566"/>
      <c r="AM241" s="566"/>
      <c r="AN241" s="566"/>
      <c r="AO241" s="566"/>
    </row>
    <row r="242" spans="2:41" x14ac:dyDescent="0.15">
      <c r="B242" s="567">
        <v>18</v>
      </c>
      <c r="C242" s="566">
        <v>0.94509132420091324</v>
      </c>
      <c r="D242" s="566"/>
      <c r="E242" s="566"/>
      <c r="F242" s="566"/>
      <c r="G242" s="566"/>
      <c r="H242" s="566"/>
      <c r="I242" s="566"/>
      <c r="J242" s="566"/>
      <c r="K242" s="566"/>
      <c r="L242" s="566"/>
      <c r="M242" s="566"/>
      <c r="N242" s="566"/>
      <c r="O242" s="566"/>
      <c r="P242" s="566"/>
      <c r="Q242" s="566"/>
      <c r="R242" s="566"/>
      <c r="S242" s="566"/>
      <c r="T242" s="566"/>
      <c r="U242" s="566"/>
      <c r="V242" s="566"/>
      <c r="W242" s="566"/>
      <c r="X242" s="566"/>
      <c r="Y242" s="566"/>
      <c r="Z242" s="566"/>
      <c r="AA242" s="566"/>
      <c r="AB242" s="566"/>
      <c r="AC242" s="566"/>
      <c r="AD242" s="566"/>
      <c r="AE242" s="566"/>
      <c r="AF242" s="566"/>
      <c r="AG242" s="566"/>
      <c r="AH242" s="566"/>
      <c r="AI242" s="566"/>
      <c r="AJ242" s="566"/>
      <c r="AK242" s="566"/>
      <c r="AL242" s="566"/>
      <c r="AM242" s="566"/>
      <c r="AN242" s="566"/>
      <c r="AO242" s="566"/>
    </row>
    <row r="243" spans="2:41" x14ac:dyDescent="0.15">
      <c r="B243" s="567">
        <v>19</v>
      </c>
      <c r="C243" s="566">
        <v>0.96369863013698631</v>
      </c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66"/>
      <c r="O243" s="566"/>
      <c r="P243" s="566"/>
      <c r="Q243" s="566"/>
      <c r="R243" s="566"/>
      <c r="S243" s="566"/>
      <c r="T243" s="566"/>
      <c r="U243" s="566"/>
      <c r="V243" s="566"/>
      <c r="W243" s="566"/>
      <c r="X243" s="566"/>
      <c r="Y243" s="566"/>
      <c r="Z243" s="566"/>
      <c r="AA243" s="566"/>
      <c r="AB243" s="566"/>
      <c r="AC243" s="566"/>
      <c r="AD243" s="566"/>
      <c r="AE243" s="566"/>
      <c r="AF243" s="566"/>
      <c r="AG243" s="566"/>
      <c r="AH243" s="566"/>
      <c r="AI243" s="566"/>
      <c r="AJ243" s="566"/>
      <c r="AK243" s="566"/>
      <c r="AL243" s="566"/>
      <c r="AM243" s="566"/>
      <c r="AN243" s="566"/>
      <c r="AO243" s="566"/>
    </row>
    <row r="244" spans="2:41" x14ac:dyDescent="0.15">
      <c r="B244" s="567">
        <v>20</v>
      </c>
      <c r="C244" s="566">
        <v>0.97659817351598177</v>
      </c>
      <c r="D244" s="566"/>
      <c r="E244" s="566"/>
      <c r="F244" s="566"/>
      <c r="G244" s="566"/>
      <c r="H244" s="566"/>
      <c r="I244" s="566"/>
      <c r="J244" s="566"/>
      <c r="K244" s="566"/>
      <c r="L244" s="566"/>
      <c r="M244" s="566"/>
      <c r="N244" s="566"/>
      <c r="O244" s="566"/>
      <c r="P244" s="566"/>
      <c r="Q244" s="566"/>
      <c r="R244" s="566"/>
      <c r="S244" s="566"/>
      <c r="T244" s="566"/>
      <c r="U244" s="566"/>
      <c r="V244" s="566"/>
      <c r="W244" s="566"/>
      <c r="X244" s="566"/>
      <c r="Y244" s="566"/>
      <c r="Z244" s="566"/>
      <c r="AA244" s="566"/>
      <c r="AB244" s="566"/>
      <c r="AC244" s="566"/>
      <c r="AD244" s="566"/>
      <c r="AE244" s="566"/>
      <c r="AF244" s="566"/>
      <c r="AG244" s="566"/>
      <c r="AH244" s="566"/>
      <c r="AI244" s="566"/>
      <c r="AJ244" s="566"/>
      <c r="AK244" s="566"/>
      <c r="AL244" s="566"/>
      <c r="AM244" s="566"/>
      <c r="AN244" s="566"/>
      <c r="AO244" s="566"/>
    </row>
    <row r="245" spans="2:41" x14ac:dyDescent="0.15">
      <c r="B245" s="567">
        <v>21</v>
      </c>
      <c r="C245" s="566">
        <v>0.9817351598173516</v>
      </c>
      <c r="D245" s="566"/>
      <c r="E245" s="566"/>
      <c r="F245" s="566"/>
      <c r="G245" s="566"/>
      <c r="H245" s="566"/>
      <c r="I245" s="566"/>
      <c r="J245" s="566"/>
      <c r="K245" s="566"/>
      <c r="L245" s="566"/>
      <c r="M245" s="566"/>
      <c r="N245" s="566"/>
      <c r="O245" s="566"/>
      <c r="P245" s="566"/>
      <c r="Q245" s="566"/>
      <c r="R245" s="566"/>
      <c r="S245" s="566"/>
      <c r="T245" s="566"/>
      <c r="U245" s="566"/>
      <c r="V245" s="566"/>
      <c r="W245" s="566"/>
      <c r="X245" s="566"/>
      <c r="Y245" s="566"/>
      <c r="Z245" s="566"/>
      <c r="AA245" s="566"/>
      <c r="AB245" s="566"/>
      <c r="AC245" s="566"/>
      <c r="AD245" s="566"/>
      <c r="AE245" s="566"/>
      <c r="AF245" s="566"/>
      <c r="AG245" s="566"/>
      <c r="AH245" s="566"/>
      <c r="AI245" s="566"/>
      <c r="AJ245" s="566"/>
      <c r="AK245" s="566"/>
      <c r="AL245" s="566"/>
      <c r="AM245" s="566"/>
      <c r="AN245" s="566"/>
      <c r="AO245" s="566"/>
    </row>
    <row r="246" spans="2:41" x14ac:dyDescent="0.15">
      <c r="B246" s="567">
        <v>22</v>
      </c>
      <c r="C246" s="566">
        <v>0.98847031963470322</v>
      </c>
      <c r="D246" s="566"/>
      <c r="E246" s="566"/>
      <c r="F246" s="566"/>
      <c r="G246" s="566"/>
      <c r="H246" s="566"/>
      <c r="I246" s="566"/>
      <c r="J246" s="566"/>
      <c r="K246" s="566"/>
      <c r="L246" s="566"/>
      <c r="M246" s="566"/>
      <c r="N246" s="566"/>
      <c r="O246" s="566"/>
      <c r="P246" s="566"/>
      <c r="Q246" s="566"/>
      <c r="R246" s="566"/>
      <c r="S246" s="566"/>
      <c r="T246" s="566"/>
      <c r="U246" s="566"/>
      <c r="V246" s="566"/>
      <c r="W246" s="566"/>
      <c r="X246" s="566"/>
      <c r="Y246" s="566"/>
      <c r="Z246" s="566"/>
      <c r="AA246" s="566"/>
      <c r="AB246" s="566"/>
      <c r="AC246" s="566"/>
      <c r="AD246" s="566"/>
      <c r="AE246" s="566"/>
      <c r="AF246" s="566"/>
      <c r="AG246" s="566"/>
      <c r="AH246" s="566"/>
      <c r="AI246" s="566"/>
      <c r="AJ246" s="566"/>
      <c r="AK246" s="566"/>
      <c r="AL246" s="566"/>
      <c r="AM246" s="566"/>
      <c r="AN246" s="566"/>
      <c r="AO246" s="566"/>
    </row>
    <row r="247" spans="2:41" x14ac:dyDescent="0.15">
      <c r="B247" s="567">
        <v>23</v>
      </c>
      <c r="C247" s="566">
        <v>0.99372146118721461</v>
      </c>
      <c r="D247" s="566"/>
      <c r="E247" s="566"/>
      <c r="F247" s="566"/>
      <c r="G247" s="566"/>
      <c r="H247" s="566"/>
      <c r="I247" s="566"/>
      <c r="J247" s="566"/>
      <c r="K247" s="566"/>
      <c r="L247" s="566"/>
      <c r="M247" s="566"/>
      <c r="N247" s="566"/>
      <c r="O247" s="566"/>
      <c r="P247" s="566"/>
      <c r="Q247" s="566"/>
      <c r="R247" s="566"/>
      <c r="S247" s="566"/>
      <c r="T247" s="566"/>
      <c r="U247" s="566"/>
      <c r="V247" s="566"/>
      <c r="W247" s="566"/>
      <c r="X247" s="566"/>
      <c r="Y247" s="566"/>
      <c r="Z247" s="566"/>
      <c r="AA247" s="566"/>
      <c r="AB247" s="566"/>
      <c r="AC247" s="566"/>
      <c r="AD247" s="566"/>
      <c r="AE247" s="566"/>
      <c r="AF247" s="566"/>
      <c r="AG247" s="566"/>
      <c r="AH247" s="566"/>
      <c r="AI247" s="566"/>
      <c r="AJ247" s="566"/>
      <c r="AK247" s="566"/>
      <c r="AL247" s="566"/>
      <c r="AM247" s="566"/>
      <c r="AN247" s="566"/>
      <c r="AO247" s="566"/>
    </row>
    <row r="248" spans="2:41" x14ac:dyDescent="0.15">
      <c r="B248" s="567">
        <v>24</v>
      </c>
      <c r="C248" s="566">
        <v>0.9963470319634703</v>
      </c>
      <c r="D248" s="566"/>
      <c r="E248" s="566"/>
      <c r="F248" s="566"/>
      <c r="G248" s="566"/>
      <c r="H248" s="566"/>
      <c r="I248" s="566"/>
      <c r="J248" s="566"/>
      <c r="K248" s="566"/>
      <c r="L248" s="566"/>
      <c r="M248" s="566"/>
      <c r="N248" s="566"/>
      <c r="O248" s="566"/>
      <c r="P248" s="566"/>
      <c r="Q248" s="566"/>
      <c r="R248" s="566"/>
      <c r="S248" s="566"/>
      <c r="T248" s="566"/>
      <c r="U248" s="566"/>
      <c r="V248" s="566"/>
      <c r="W248" s="566"/>
      <c r="X248" s="566"/>
      <c r="Y248" s="566"/>
      <c r="Z248" s="566"/>
      <c r="AA248" s="566"/>
      <c r="AB248" s="566"/>
      <c r="AC248" s="566"/>
      <c r="AD248" s="566"/>
      <c r="AE248" s="566"/>
      <c r="AF248" s="566"/>
      <c r="AG248" s="566"/>
      <c r="AH248" s="566"/>
      <c r="AI248" s="566"/>
      <c r="AJ248" s="566"/>
      <c r="AK248" s="566"/>
      <c r="AL248" s="566"/>
      <c r="AM248" s="566"/>
      <c r="AN248" s="566"/>
      <c r="AO248" s="566"/>
    </row>
    <row r="249" spans="2:41" x14ac:dyDescent="0.15">
      <c r="B249" s="567">
        <v>25</v>
      </c>
      <c r="C249" s="566">
        <v>0.99840182648401832</v>
      </c>
      <c r="D249" s="566"/>
      <c r="E249" s="566"/>
      <c r="F249" s="566"/>
      <c r="G249" s="566"/>
      <c r="H249" s="566"/>
      <c r="I249" s="566"/>
      <c r="J249" s="566"/>
      <c r="K249" s="566"/>
      <c r="L249" s="566"/>
      <c r="M249" s="566"/>
      <c r="N249" s="566"/>
      <c r="O249" s="566"/>
      <c r="P249" s="566"/>
      <c r="Q249" s="566"/>
      <c r="R249" s="566"/>
      <c r="S249" s="566"/>
      <c r="T249" s="566"/>
      <c r="U249" s="566"/>
      <c r="V249" s="566"/>
      <c r="W249" s="566"/>
      <c r="X249" s="566"/>
      <c r="Y249" s="566"/>
      <c r="Z249" s="566"/>
      <c r="AA249" s="566"/>
      <c r="AB249" s="566"/>
      <c r="AC249" s="566"/>
      <c r="AD249" s="566"/>
      <c r="AE249" s="566"/>
      <c r="AF249" s="566"/>
      <c r="AG249" s="566"/>
      <c r="AH249" s="566"/>
      <c r="AI249" s="566"/>
      <c r="AJ249" s="566"/>
      <c r="AK249" s="566"/>
      <c r="AL249" s="566"/>
      <c r="AM249" s="566"/>
      <c r="AN249" s="566"/>
      <c r="AO249" s="566"/>
    </row>
    <row r="250" spans="2:41" x14ac:dyDescent="0.15">
      <c r="B250" s="567">
        <v>26</v>
      </c>
      <c r="C250" s="566">
        <v>0.99908675799086755</v>
      </c>
      <c r="D250" s="566"/>
      <c r="E250" s="566"/>
      <c r="F250" s="566"/>
      <c r="G250" s="566"/>
      <c r="H250" s="566"/>
      <c r="I250" s="566"/>
      <c r="J250" s="566"/>
      <c r="K250" s="566"/>
      <c r="L250" s="566"/>
      <c r="M250" s="566"/>
      <c r="N250" s="566"/>
      <c r="O250" s="566"/>
      <c r="P250" s="566"/>
      <c r="Q250" s="566"/>
      <c r="R250" s="566"/>
      <c r="S250" s="566"/>
      <c r="T250" s="566"/>
      <c r="U250" s="566"/>
      <c r="V250" s="566"/>
      <c r="W250" s="566"/>
      <c r="X250" s="566"/>
      <c r="Y250" s="566"/>
      <c r="Z250" s="566"/>
      <c r="AA250" s="566"/>
      <c r="AB250" s="566"/>
      <c r="AC250" s="566"/>
      <c r="AD250" s="566"/>
      <c r="AE250" s="566"/>
      <c r="AF250" s="566"/>
      <c r="AG250" s="566"/>
      <c r="AH250" s="566"/>
      <c r="AI250" s="566"/>
      <c r="AJ250" s="566"/>
      <c r="AK250" s="566"/>
      <c r="AL250" s="566"/>
      <c r="AM250" s="566"/>
      <c r="AN250" s="566"/>
      <c r="AO250" s="566"/>
    </row>
    <row r="251" spans="2:41" x14ac:dyDescent="0.15">
      <c r="B251" s="567">
        <v>27</v>
      </c>
      <c r="C251" s="566">
        <v>0.99965753424657533</v>
      </c>
      <c r="D251" s="566"/>
      <c r="E251" s="566"/>
      <c r="F251" s="566"/>
      <c r="G251" s="566"/>
      <c r="H251" s="566"/>
      <c r="I251" s="566"/>
      <c r="J251" s="566"/>
      <c r="K251" s="566"/>
      <c r="L251" s="566"/>
      <c r="M251" s="566"/>
      <c r="N251" s="566"/>
      <c r="O251" s="566"/>
      <c r="P251" s="566"/>
      <c r="Q251" s="566"/>
      <c r="R251" s="566"/>
      <c r="S251" s="566"/>
      <c r="T251" s="566"/>
      <c r="U251" s="566"/>
      <c r="V251" s="566"/>
      <c r="W251" s="566"/>
      <c r="X251" s="566"/>
      <c r="Y251" s="566"/>
      <c r="Z251" s="566"/>
      <c r="AA251" s="566"/>
      <c r="AB251" s="566"/>
      <c r="AC251" s="566"/>
      <c r="AD251" s="566"/>
      <c r="AE251" s="566"/>
      <c r="AF251" s="566"/>
      <c r="AG251" s="566"/>
      <c r="AH251" s="566"/>
      <c r="AI251" s="566"/>
      <c r="AJ251" s="566"/>
      <c r="AK251" s="566"/>
      <c r="AL251" s="566"/>
      <c r="AM251" s="566"/>
      <c r="AN251" s="566"/>
      <c r="AO251" s="566"/>
    </row>
    <row r="252" spans="2:41" x14ac:dyDescent="0.15">
      <c r="B252" s="567">
        <v>28</v>
      </c>
      <c r="C252" s="566">
        <v>1</v>
      </c>
      <c r="D252" s="566"/>
      <c r="E252" s="566"/>
      <c r="F252" s="566"/>
      <c r="G252" s="566"/>
      <c r="H252" s="566"/>
      <c r="I252" s="566"/>
      <c r="J252" s="566"/>
      <c r="K252" s="566"/>
      <c r="L252" s="566"/>
      <c r="M252" s="566"/>
      <c r="N252" s="566"/>
      <c r="O252" s="566"/>
      <c r="P252" s="566"/>
      <c r="Q252" s="566"/>
      <c r="R252" s="566"/>
      <c r="S252" s="566"/>
      <c r="T252" s="566"/>
      <c r="U252" s="566"/>
      <c r="V252" s="566"/>
      <c r="W252" s="566"/>
      <c r="X252" s="566"/>
      <c r="Y252" s="566"/>
      <c r="Z252" s="566"/>
      <c r="AA252" s="566"/>
      <c r="AB252" s="566"/>
      <c r="AC252" s="566"/>
      <c r="AD252" s="566"/>
      <c r="AE252" s="566"/>
      <c r="AF252" s="566"/>
      <c r="AG252" s="566"/>
      <c r="AH252" s="566"/>
      <c r="AI252" s="566"/>
      <c r="AJ252" s="566"/>
      <c r="AK252" s="566"/>
      <c r="AL252" s="566"/>
      <c r="AM252" s="566"/>
      <c r="AN252" s="566"/>
      <c r="AO252" s="566"/>
    </row>
    <row r="253" spans="2:41" x14ac:dyDescent="0.15">
      <c r="B253" s="567">
        <v>29</v>
      </c>
      <c r="C253" s="566">
        <v>1</v>
      </c>
      <c r="D253" s="566"/>
      <c r="E253" s="566"/>
      <c r="F253" s="566"/>
      <c r="G253" s="566"/>
      <c r="H253" s="566"/>
      <c r="I253" s="566"/>
      <c r="J253" s="566"/>
      <c r="K253" s="566"/>
      <c r="L253" s="566"/>
      <c r="M253" s="566"/>
      <c r="N253" s="566"/>
      <c r="O253" s="566"/>
      <c r="P253" s="566"/>
      <c r="Q253" s="566"/>
      <c r="R253" s="566"/>
      <c r="S253" s="566"/>
      <c r="T253" s="566"/>
      <c r="U253" s="566"/>
      <c r="V253" s="566"/>
      <c r="W253" s="566"/>
      <c r="X253" s="566"/>
      <c r="Y253" s="566"/>
      <c r="Z253" s="566"/>
      <c r="AA253" s="566"/>
      <c r="AB253" s="566"/>
      <c r="AC253" s="566"/>
      <c r="AD253" s="566"/>
      <c r="AE253" s="566"/>
      <c r="AF253" s="566"/>
      <c r="AG253" s="566"/>
      <c r="AH253" s="566"/>
      <c r="AI253" s="566"/>
      <c r="AJ253" s="566"/>
      <c r="AK253" s="566"/>
      <c r="AL253" s="566"/>
      <c r="AM253" s="566"/>
      <c r="AN253" s="566"/>
      <c r="AO253" s="566"/>
    </row>
    <row r="254" spans="2:41" x14ac:dyDescent="0.15">
      <c r="B254" s="567">
        <v>30</v>
      </c>
      <c r="C254" s="566">
        <v>1</v>
      </c>
      <c r="D254" s="566"/>
      <c r="E254" s="566"/>
      <c r="F254" s="566"/>
      <c r="G254" s="566"/>
      <c r="H254" s="566"/>
      <c r="I254" s="566"/>
      <c r="J254" s="566"/>
      <c r="K254" s="566"/>
      <c r="L254" s="566"/>
      <c r="M254" s="566"/>
      <c r="N254" s="566"/>
      <c r="O254" s="566"/>
      <c r="P254" s="566"/>
      <c r="Q254" s="566"/>
      <c r="R254" s="566"/>
      <c r="S254" s="566"/>
      <c r="T254" s="566"/>
      <c r="U254" s="566"/>
      <c r="V254" s="566"/>
      <c r="W254" s="566"/>
      <c r="X254" s="566"/>
      <c r="Y254" s="566"/>
      <c r="Z254" s="566"/>
      <c r="AA254" s="566"/>
      <c r="AB254" s="566"/>
      <c r="AC254" s="566"/>
      <c r="AD254" s="566"/>
      <c r="AE254" s="566"/>
      <c r="AF254" s="566"/>
      <c r="AG254" s="566"/>
      <c r="AH254" s="566"/>
      <c r="AI254" s="566"/>
      <c r="AJ254" s="566"/>
      <c r="AK254" s="566"/>
      <c r="AL254" s="566"/>
      <c r="AM254" s="566"/>
      <c r="AN254" s="566"/>
      <c r="AO254" s="566"/>
    </row>
    <row r="255" spans="2:41" x14ac:dyDescent="0.15">
      <c r="B255" s="567">
        <v>31</v>
      </c>
      <c r="C255" s="566">
        <v>1</v>
      </c>
      <c r="D255" s="566"/>
      <c r="E255" s="566"/>
      <c r="F255" s="566"/>
      <c r="G255" s="566"/>
      <c r="H255" s="566"/>
      <c r="I255" s="566"/>
      <c r="J255" s="566"/>
      <c r="K255" s="566"/>
      <c r="L255" s="566"/>
      <c r="M255" s="566"/>
      <c r="N255" s="566"/>
      <c r="O255" s="566"/>
      <c r="P255" s="566"/>
      <c r="Q255" s="566"/>
      <c r="R255" s="566"/>
      <c r="S255" s="566"/>
      <c r="T255" s="566"/>
      <c r="U255" s="566"/>
      <c r="V255" s="566"/>
      <c r="W255" s="566"/>
      <c r="X255" s="566"/>
      <c r="Y255" s="566"/>
      <c r="Z255" s="566"/>
      <c r="AA255" s="566"/>
      <c r="AB255" s="566"/>
      <c r="AC255" s="566"/>
      <c r="AD255" s="566"/>
      <c r="AE255" s="566"/>
      <c r="AF255" s="566"/>
      <c r="AG255" s="566"/>
      <c r="AH255" s="566"/>
      <c r="AI255" s="566"/>
      <c r="AJ255" s="566"/>
      <c r="AK255" s="566"/>
      <c r="AL255" s="566"/>
      <c r="AM255" s="566"/>
      <c r="AN255" s="566"/>
      <c r="AO255" s="566"/>
    </row>
    <row r="256" spans="2:41" x14ac:dyDescent="0.15">
      <c r="B256" s="567">
        <v>32</v>
      </c>
      <c r="C256" s="566">
        <v>1</v>
      </c>
      <c r="D256" s="566"/>
      <c r="E256" s="566"/>
      <c r="F256" s="566"/>
      <c r="G256" s="566"/>
      <c r="H256" s="566"/>
      <c r="I256" s="566"/>
      <c r="J256" s="566"/>
      <c r="K256" s="566"/>
      <c r="L256" s="566"/>
      <c r="M256" s="566"/>
      <c r="N256" s="566"/>
      <c r="O256" s="566"/>
      <c r="P256" s="566"/>
      <c r="Q256" s="566"/>
      <c r="R256" s="566"/>
      <c r="S256" s="566"/>
      <c r="T256" s="566"/>
      <c r="U256" s="566"/>
      <c r="V256" s="566"/>
      <c r="W256" s="566"/>
      <c r="X256" s="566"/>
      <c r="Y256" s="566"/>
      <c r="Z256" s="566"/>
      <c r="AA256" s="566"/>
      <c r="AB256" s="566"/>
      <c r="AC256" s="566"/>
      <c r="AD256" s="566"/>
      <c r="AE256" s="566"/>
      <c r="AF256" s="566"/>
      <c r="AG256" s="566"/>
      <c r="AH256" s="566"/>
      <c r="AI256" s="566"/>
      <c r="AJ256" s="566"/>
      <c r="AK256" s="566"/>
      <c r="AL256" s="566"/>
      <c r="AM256" s="566"/>
      <c r="AN256" s="566"/>
      <c r="AO256" s="566"/>
    </row>
    <row r="257" spans="2:41" x14ac:dyDescent="0.15">
      <c r="B257" s="567">
        <v>33</v>
      </c>
      <c r="C257" s="566">
        <v>1</v>
      </c>
      <c r="D257" s="566"/>
      <c r="E257" s="566"/>
      <c r="F257" s="566"/>
      <c r="G257" s="566"/>
      <c r="H257" s="566"/>
      <c r="I257" s="566"/>
      <c r="J257" s="566"/>
      <c r="K257" s="566"/>
      <c r="L257" s="566"/>
      <c r="M257" s="566"/>
      <c r="N257" s="566"/>
      <c r="O257" s="566"/>
      <c r="P257" s="566"/>
      <c r="Q257" s="566"/>
      <c r="R257" s="566"/>
      <c r="S257" s="566"/>
      <c r="T257" s="566"/>
      <c r="U257" s="566"/>
      <c r="V257" s="566"/>
      <c r="W257" s="566"/>
      <c r="X257" s="566"/>
      <c r="Y257" s="566"/>
      <c r="Z257" s="566"/>
      <c r="AA257" s="566"/>
      <c r="AB257" s="566"/>
      <c r="AC257" s="566"/>
      <c r="AD257" s="566"/>
      <c r="AE257" s="566"/>
      <c r="AF257" s="566"/>
      <c r="AG257" s="566"/>
      <c r="AH257" s="566"/>
      <c r="AI257" s="566"/>
      <c r="AJ257" s="566"/>
      <c r="AK257" s="566"/>
      <c r="AL257" s="566"/>
      <c r="AM257" s="566"/>
      <c r="AN257" s="566"/>
      <c r="AO257" s="566"/>
    </row>
    <row r="258" spans="2:41" x14ac:dyDescent="0.15">
      <c r="B258" s="567">
        <v>34</v>
      </c>
      <c r="C258" s="566">
        <v>1</v>
      </c>
      <c r="D258" s="566"/>
      <c r="E258" s="566"/>
      <c r="F258" s="566"/>
      <c r="G258" s="566"/>
      <c r="H258" s="566"/>
      <c r="I258" s="566"/>
      <c r="J258" s="566"/>
      <c r="K258" s="566"/>
      <c r="L258" s="566"/>
      <c r="M258" s="566"/>
      <c r="N258" s="566"/>
      <c r="O258" s="566"/>
      <c r="P258" s="566"/>
      <c r="Q258" s="566"/>
      <c r="R258" s="566"/>
      <c r="S258" s="566"/>
      <c r="T258" s="566"/>
      <c r="U258" s="566"/>
      <c r="V258" s="566"/>
      <c r="W258" s="566"/>
      <c r="X258" s="566"/>
      <c r="Y258" s="566"/>
      <c r="Z258" s="566"/>
      <c r="AA258" s="566"/>
      <c r="AB258" s="566"/>
      <c r="AC258" s="566"/>
      <c r="AD258" s="566"/>
      <c r="AE258" s="566"/>
      <c r="AF258" s="566"/>
      <c r="AG258" s="566"/>
      <c r="AH258" s="566"/>
      <c r="AI258" s="566"/>
      <c r="AJ258" s="566"/>
      <c r="AK258" s="566"/>
      <c r="AL258" s="566"/>
      <c r="AM258" s="566"/>
      <c r="AN258" s="566"/>
      <c r="AO258" s="566"/>
    </row>
    <row r="259" spans="2:41" x14ac:dyDescent="0.15">
      <c r="B259" s="567">
        <v>35</v>
      </c>
      <c r="C259" s="566">
        <v>1</v>
      </c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66"/>
      <c r="O259" s="566"/>
      <c r="P259" s="566"/>
      <c r="Q259" s="566"/>
      <c r="R259" s="566"/>
      <c r="S259" s="566"/>
      <c r="T259" s="566"/>
      <c r="U259" s="566"/>
      <c r="V259" s="566"/>
      <c r="W259" s="566"/>
      <c r="X259" s="566"/>
      <c r="Y259" s="566"/>
      <c r="Z259" s="566"/>
      <c r="AA259" s="566"/>
      <c r="AB259" s="566"/>
      <c r="AC259" s="566"/>
      <c r="AD259" s="566"/>
      <c r="AE259" s="566"/>
      <c r="AF259" s="566"/>
      <c r="AG259" s="566"/>
      <c r="AH259" s="566"/>
      <c r="AI259" s="566"/>
      <c r="AJ259" s="566"/>
      <c r="AK259" s="566"/>
      <c r="AL259" s="566"/>
      <c r="AM259" s="566"/>
      <c r="AN259" s="566"/>
      <c r="AO259" s="566"/>
    </row>
    <row r="260" spans="2:41" x14ac:dyDescent="0.15">
      <c r="B260" s="567">
        <v>36</v>
      </c>
      <c r="C260" s="566">
        <v>1</v>
      </c>
      <c r="D260" s="566"/>
      <c r="E260" s="566"/>
      <c r="F260" s="566"/>
      <c r="G260" s="566"/>
      <c r="H260" s="566"/>
      <c r="I260" s="566"/>
      <c r="J260" s="566"/>
      <c r="K260" s="566"/>
      <c r="L260" s="566"/>
      <c r="M260" s="566"/>
      <c r="N260" s="566"/>
      <c r="O260" s="566"/>
      <c r="P260" s="566"/>
      <c r="Q260" s="566"/>
      <c r="R260" s="566"/>
      <c r="S260" s="566"/>
      <c r="T260" s="566"/>
      <c r="U260" s="566"/>
      <c r="V260" s="566"/>
      <c r="W260" s="566"/>
      <c r="X260" s="566"/>
      <c r="Y260" s="566"/>
      <c r="Z260" s="566"/>
      <c r="AA260" s="566"/>
      <c r="AB260" s="566"/>
      <c r="AC260" s="566"/>
      <c r="AD260" s="566"/>
      <c r="AE260" s="566"/>
      <c r="AF260" s="566"/>
      <c r="AG260" s="566"/>
      <c r="AH260" s="566"/>
      <c r="AI260" s="566"/>
      <c r="AJ260" s="566"/>
      <c r="AK260" s="566"/>
      <c r="AL260" s="566"/>
      <c r="AM260" s="566"/>
      <c r="AN260" s="566"/>
      <c r="AO260" s="566"/>
    </row>
    <row r="261" spans="2:41" x14ac:dyDescent="0.15">
      <c r="B261" s="567">
        <v>37</v>
      </c>
      <c r="C261" s="566">
        <v>1</v>
      </c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66"/>
      <c r="O261" s="566"/>
      <c r="P261" s="566"/>
      <c r="Q261" s="566"/>
      <c r="R261" s="566"/>
      <c r="S261" s="566"/>
      <c r="T261" s="566"/>
      <c r="U261" s="566"/>
      <c r="V261" s="566"/>
      <c r="W261" s="566"/>
      <c r="X261" s="566"/>
      <c r="Y261" s="566"/>
      <c r="Z261" s="566"/>
      <c r="AA261" s="566"/>
      <c r="AB261" s="566"/>
      <c r="AC261" s="566"/>
      <c r="AD261" s="566"/>
      <c r="AE261" s="566"/>
      <c r="AF261" s="566"/>
      <c r="AG261" s="566"/>
      <c r="AH261" s="566"/>
      <c r="AI261" s="566"/>
      <c r="AJ261" s="566"/>
      <c r="AK261" s="566"/>
      <c r="AL261" s="566"/>
      <c r="AM261" s="566"/>
      <c r="AN261" s="566"/>
      <c r="AO261" s="566"/>
    </row>
    <row r="262" spans="2:41" x14ac:dyDescent="0.15">
      <c r="B262" s="567">
        <v>38</v>
      </c>
      <c r="C262" s="566">
        <v>1</v>
      </c>
      <c r="D262" s="566"/>
      <c r="E262" s="566"/>
      <c r="F262" s="566"/>
      <c r="G262" s="566"/>
      <c r="H262" s="566"/>
      <c r="I262" s="566"/>
      <c r="J262" s="566"/>
      <c r="K262" s="566"/>
      <c r="L262" s="566"/>
      <c r="M262" s="566"/>
      <c r="N262" s="566"/>
      <c r="O262" s="566"/>
      <c r="P262" s="566"/>
      <c r="Q262" s="566"/>
      <c r="R262" s="566"/>
      <c r="S262" s="566"/>
      <c r="T262" s="566"/>
      <c r="U262" s="566"/>
      <c r="V262" s="566"/>
      <c r="W262" s="566"/>
      <c r="X262" s="566"/>
      <c r="Y262" s="566"/>
      <c r="Z262" s="566"/>
      <c r="AA262" s="566"/>
      <c r="AB262" s="566"/>
      <c r="AC262" s="566"/>
      <c r="AD262" s="566"/>
      <c r="AE262" s="566"/>
      <c r="AF262" s="566"/>
      <c r="AG262" s="566"/>
      <c r="AH262" s="566"/>
      <c r="AI262" s="566"/>
      <c r="AJ262" s="566"/>
      <c r="AK262" s="566"/>
      <c r="AL262" s="566"/>
      <c r="AM262" s="566"/>
      <c r="AN262" s="566"/>
      <c r="AO262" s="566"/>
    </row>
    <row r="263" spans="2:41" x14ac:dyDescent="0.15">
      <c r="B263" s="567">
        <v>39</v>
      </c>
      <c r="C263" s="566">
        <v>1</v>
      </c>
      <c r="D263" s="566"/>
      <c r="E263" s="566"/>
      <c r="F263" s="566"/>
      <c r="G263" s="566"/>
      <c r="H263" s="566"/>
      <c r="I263" s="566"/>
      <c r="J263" s="566"/>
      <c r="K263" s="566"/>
      <c r="L263" s="566"/>
      <c r="M263" s="566"/>
      <c r="N263" s="566"/>
      <c r="O263" s="566"/>
      <c r="P263" s="566"/>
      <c r="Q263" s="566"/>
      <c r="R263" s="566"/>
      <c r="S263" s="566"/>
      <c r="T263" s="566"/>
      <c r="U263" s="566"/>
      <c r="V263" s="566"/>
      <c r="W263" s="566"/>
      <c r="X263" s="566"/>
      <c r="Y263" s="566"/>
      <c r="Z263" s="566"/>
      <c r="AA263" s="566"/>
      <c r="AB263" s="566"/>
      <c r="AC263" s="566"/>
      <c r="AD263" s="566"/>
      <c r="AE263" s="566"/>
      <c r="AF263" s="566"/>
      <c r="AG263" s="566"/>
      <c r="AH263" s="566"/>
      <c r="AI263" s="566"/>
      <c r="AJ263" s="566"/>
      <c r="AK263" s="566"/>
      <c r="AL263" s="566"/>
      <c r="AM263" s="566"/>
      <c r="AN263" s="566"/>
      <c r="AO263" s="566"/>
    </row>
    <row r="264" spans="2:41" x14ac:dyDescent="0.15">
      <c r="B264" s="568">
        <v>40</v>
      </c>
      <c r="C264" s="566">
        <v>1</v>
      </c>
      <c r="D264" s="566"/>
      <c r="E264" s="566"/>
      <c r="F264" s="566"/>
      <c r="G264" s="566"/>
      <c r="H264" s="566"/>
      <c r="I264" s="566"/>
      <c r="J264" s="566"/>
      <c r="K264" s="566"/>
      <c r="L264" s="566"/>
      <c r="M264" s="566"/>
      <c r="N264" s="566"/>
      <c r="O264" s="566"/>
      <c r="P264" s="566"/>
      <c r="Q264" s="566"/>
      <c r="R264" s="566"/>
      <c r="S264" s="566"/>
      <c r="T264" s="566"/>
      <c r="U264" s="566"/>
      <c r="V264" s="566"/>
      <c r="W264" s="566"/>
      <c r="X264" s="566"/>
      <c r="Y264" s="566"/>
      <c r="Z264" s="566"/>
      <c r="AA264" s="566"/>
      <c r="AB264" s="566"/>
      <c r="AC264" s="566"/>
      <c r="AD264" s="566"/>
      <c r="AE264" s="566"/>
      <c r="AF264" s="566"/>
      <c r="AG264" s="566"/>
      <c r="AH264" s="566"/>
      <c r="AI264" s="566"/>
      <c r="AJ264" s="566"/>
      <c r="AK264" s="566"/>
      <c r="AL264" s="566"/>
      <c r="AM264" s="566"/>
      <c r="AN264" s="566"/>
      <c r="AO264" s="566"/>
    </row>
    <row r="273" spans="2:41" s="563" customFormat="1" ht="14" x14ac:dyDescent="0.15">
      <c r="B273" s="560" t="str" cm="1">
        <f t="array" ref="B273:AO273">TRANSPOSE('Syötä kaupungit KIRJASTOLINKIT!'!$E$1:$E$40)</f>
        <v>MAA 4</v>
      </c>
      <c r="C273" s="564" t="str">
        <v>EST - Tallinn</v>
      </c>
      <c r="D273" s="564">
        <v>0</v>
      </c>
      <c r="E273" s="564">
        <v>0</v>
      </c>
      <c r="F273" s="564">
        <v>0</v>
      </c>
      <c r="G273" s="564">
        <v>0</v>
      </c>
      <c r="H273" s="564">
        <v>0</v>
      </c>
      <c r="I273" s="564">
        <v>0</v>
      </c>
      <c r="J273" s="564">
        <v>0</v>
      </c>
      <c r="K273" s="564">
        <v>0</v>
      </c>
      <c r="L273" s="564">
        <v>0</v>
      </c>
      <c r="M273" s="564">
        <v>0</v>
      </c>
      <c r="N273" s="564">
        <v>0</v>
      </c>
      <c r="O273" s="564">
        <v>0</v>
      </c>
      <c r="P273" s="564">
        <v>0</v>
      </c>
      <c r="Q273" s="564">
        <v>0</v>
      </c>
      <c r="R273" s="564">
        <v>0</v>
      </c>
      <c r="S273" s="564">
        <v>0</v>
      </c>
      <c r="T273" s="564">
        <v>0</v>
      </c>
      <c r="U273" s="564">
        <v>0</v>
      </c>
      <c r="V273" s="564">
        <v>0</v>
      </c>
      <c r="W273" s="564">
        <v>0</v>
      </c>
      <c r="X273" s="564">
        <v>0</v>
      </c>
      <c r="Y273" s="564">
        <v>0</v>
      </c>
      <c r="Z273" s="564">
        <v>0</v>
      </c>
      <c r="AA273" s="564">
        <v>0</v>
      </c>
      <c r="AB273" s="564">
        <v>0</v>
      </c>
      <c r="AC273" s="564">
        <v>0</v>
      </c>
      <c r="AD273" s="564">
        <v>0</v>
      </c>
      <c r="AE273" s="564">
        <v>0</v>
      </c>
      <c r="AF273" s="564">
        <v>0</v>
      </c>
      <c r="AG273" s="564">
        <v>0</v>
      </c>
      <c r="AH273" s="564">
        <v>0</v>
      </c>
      <c r="AI273" s="564">
        <v>0</v>
      </c>
      <c r="AJ273" s="564">
        <v>0</v>
      </c>
      <c r="AK273" s="564">
        <v>0</v>
      </c>
      <c r="AL273" s="564">
        <v>0</v>
      </c>
      <c r="AM273" s="564">
        <v>0</v>
      </c>
      <c r="AN273" s="564">
        <v>0</v>
      </c>
      <c r="AO273" s="564">
        <v>0</v>
      </c>
    </row>
    <row r="274" spans="2:41" x14ac:dyDescent="0.15">
      <c r="B274" s="565">
        <v>-40</v>
      </c>
      <c r="C274" s="566">
        <v>0</v>
      </c>
      <c r="D274" s="566"/>
      <c r="E274" s="566"/>
      <c r="F274" s="566"/>
      <c r="G274" s="566"/>
      <c r="H274" s="566"/>
      <c r="I274" s="566"/>
      <c r="J274" s="566"/>
      <c r="K274" s="566"/>
      <c r="L274" s="566"/>
      <c r="M274" s="566"/>
      <c r="N274" s="566"/>
      <c r="O274" s="566"/>
      <c r="P274" s="566"/>
      <c r="Q274" s="566"/>
      <c r="R274" s="566"/>
      <c r="S274" s="566"/>
      <c r="T274" s="566"/>
      <c r="U274" s="566"/>
      <c r="V274" s="566"/>
      <c r="W274" s="566"/>
      <c r="X274" s="566"/>
      <c r="Y274" s="566"/>
      <c r="Z274" s="566"/>
      <c r="AA274" s="566"/>
      <c r="AB274" s="566"/>
      <c r="AC274" s="566"/>
      <c r="AD274" s="566"/>
      <c r="AE274" s="566"/>
      <c r="AF274" s="566"/>
      <c r="AG274" s="566"/>
      <c r="AH274" s="566"/>
      <c r="AI274" s="566"/>
      <c r="AJ274" s="566"/>
      <c r="AK274" s="566"/>
      <c r="AL274" s="566"/>
      <c r="AM274" s="566"/>
      <c r="AN274" s="566"/>
      <c r="AO274" s="566"/>
    </row>
    <row r="275" spans="2:41" x14ac:dyDescent="0.15">
      <c r="B275" s="567">
        <v>-39</v>
      </c>
      <c r="C275" s="566">
        <v>0</v>
      </c>
      <c r="D275" s="566"/>
      <c r="E275" s="566"/>
      <c r="F275" s="566"/>
      <c r="G275" s="566"/>
      <c r="H275" s="566"/>
      <c r="I275" s="566"/>
      <c r="J275" s="566"/>
      <c r="K275" s="566"/>
      <c r="L275" s="566"/>
      <c r="M275" s="566"/>
      <c r="N275" s="566"/>
      <c r="O275" s="566"/>
      <c r="P275" s="566"/>
      <c r="Q275" s="566"/>
      <c r="R275" s="566"/>
      <c r="S275" s="566"/>
      <c r="T275" s="566"/>
      <c r="U275" s="566"/>
      <c r="V275" s="566"/>
      <c r="W275" s="566"/>
      <c r="X275" s="566"/>
      <c r="Y275" s="566"/>
      <c r="Z275" s="566"/>
      <c r="AA275" s="566"/>
      <c r="AB275" s="566"/>
      <c r="AC275" s="566"/>
      <c r="AD275" s="566"/>
      <c r="AE275" s="566"/>
      <c r="AF275" s="566"/>
      <c r="AG275" s="566"/>
      <c r="AH275" s="566"/>
      <c r="AI275" s="566"/>
      <c r="AJ275" s="566"/>
      <c r="AK275" s="566"/>
      <c r="AL275" s="566"/>
      <c r="AM275" s="566"/>
      <c r="AN275" s="566"/>
      <c r="AO275" s="566"/>
    </row>
    <row r="276" spans="2:41" x14ac:dyDescent="0.15">
      <c r="B276" s="567">
        <v>-38</v>
      </c>
      <c r="C276" s="566">
        <v>0</v>
      </c>
      <c r="D276" s="566"/>
      <c r="E276" s="566"/>
      <c r="F276" s="566"/>
      <c r="G276" s="566"/>
      <c r="H276" s="566"/>
      <c r="I276" s="566"/>
      <c r="J276" s="566"/>
      <c r="K276" s="566"/>
      <c r="L276" s="566"/>
      <c r="M276" s="566"/>
      <c r="N276" s="566"/>
      <c r="O276" s="566"/>
      <c r="P276" s="566"/>
      <c r="Q276" s="566"/>
      <c r="R276" s="566"/>
      <c r="S276" s="566"/>
      <c r="T276" s="566"/>
      <c r="U276" s="566"/>
      <c r="V276" s="566"/>
      <c r="W276" s="566"/>
      <c r="X276" s="566"/>
      <c r="Y276" s="566"/>
      <c r="Z276" s="566"/>
      <c r="AA276" s="566"/>
      <c r="AB276" s="566"/>
      <c r="AC276" s="566"/>
      <c r="AD276" s="566"/>
      <c r="AE276" s="566"/>
      <c r="AF276" s="566"/>
      <c r="AG276" s="566"/>
      <c r="AH276" s="566"/>
      <c r="AI276" s="566"/>
      <c r="AJ276" s="566"/>
      <c r="AK276" s="566"/>
      <c r="AL276" s="566"/>
      <c r="AM276" s="566"/>
      <c r="AN276" s="566"/>
      <c r="AO276" s="566"/>
    </row>
    <row r="277" spans="2:41" x14ac:dyDescent="0.15">
      <c r="B277" s="567">
        <v>-37</v>
      </c>
      <c r="C277" s="566">
        <v>0</v>
      </c>
      <c r="D277" s="566"/>
      <c r="E277" s="566"/>
      <c r="F277" s="566"/>
      <c r="G277" s="566"/>
      <c r="H277" s="566"/>
      <c r="I277" s="566"/>
      <c r="J277" s="566"/>
      <c r="K277" s="566"/>
      <c r="L277" s="566"/>
      <c r="M277" s="566"/>
      <c r="N277" s="566"/>
      <c r="O277" s="566"/>
      <c r="P277" s="566"/>
      <c r="Q277" s="566"/>
      <c r="R277" s="566"/>
      <c r="S277" s="566"/>
      <c r="T277" s="566"/>
      <c r="U277" s="566"/>
      <c r="V277" s="566"/>
      <c r="W277" s="566"/>
      <c r="X277" s="566"/>
      <c r="Y277" s="566"/>
      <c r="Z277" s="566"/>
      <c r="AA277" s="566"/>
      <c r="AB277" s="566"/>
      <c r="AC277" s="566"/>
      <c r="AD277" s="566"/>
      <c r="AE277" s="566"/>
      <c r="AF277" s="566"/>
      <c r="AG277" s="566"/>
      <c r="AH277" s="566"/>
      <c r="AI277" s="566"/>
      <c r="AJ277" s="566"/>
      <c r="AK277" s="566"/>
      <c r="AL277" s="566"/>
      <c r="AM277" s="566"/>
      <c r="AN277" s="566"/>
      <c r="AO277" s="566"/>
    </row>
    <row r="278" spans="2:41" x14ac:dyDescent="0.15">
      <c r="B278" s="567">
        <v>-36</v>
      </c>
      <c r="C278" s="566">
        <v>0</v>
      </c>
      <c r="D278" s="566"/>
      <c r="E278" s="566"/>
      <c r="F278" s="566"/>
      <c r="G278" s="566"/>
      <c r="H278" s="566"/>
      <c r="I278" s="566"/>
      <c r="J278" s="566"/>
      <c r="K278" s="566"/>
      <c r="L278" s="566"/>
      <c r="M278" s="566"/>
      <c r="N278" s="566"/>
      <c r="O278" s="566"/>
      <c r="P278" s="566"/>
      <c r="Q278" s="566"/>
      <c r="R278" s="566"/>
      <c r="S278" s="566"/>
      <c r="T278" s="566"/>
      <c r="U278" s="566"/>
      <c r="V278" s="566"/>
      <c r="W278" s="566"/>
      <c r="X278" s="566"/>
      <c r="Y278" s="566"/>
      <c r="Z278" s="566"/>
      <c r="AA278" s="566"/>
      <c r="AB278" s="566"/>
      <c r="AC278" s="566"/>
      <c r="AD278" s="566"/>
      <c r="AE278" s="566"/>
      <c r="AF278" s="566"/>
      <c r="AG278" s="566"/>
      <c r="AH278" s="566"/>
      <c r="AI278" s="566"/>
      <c r="AJ278" s="566"/>
      <c r="AK278" s="566"/>
      <c r="AL278" s="566"/>
      <c r="AM278" s="566"/>
      <c r="AN278" s="566"/>
      <c r="AO278" s="566"/>
    </row>
    <row r="279" spans="2:41" x14ac:dyDescent="0.15">
      <c r="B279" s="567">
        <v>-35</v>
      </c>
      <c r="C279" s="566">
        <v>0</v>
      </c>
      <c r="D279" s="566"/>
      <c r="E279" s="566"/>
      <c r="F279" s="566"/>
      <c r="G279" s="566"/>
      <c r="H279" s="566"/>
      <c r="I279" s="566"/>
      <c r="J279" s="566"/>
      <c r="K279" s="566"/>
      <c r="L279" s="566"/>
      <c r="M279" s="566"/>
      <c r="N279" s="566"/>
      <c r="O279" s="566"/>
      <c r="P279" s="566"/>
      <c r="Q279" s="566"/>
      <c r="R279" s="566"/>
      <c r="S279" s="566"/>
      <c r="T279" s="566"/>
      <c r="U279" s="566"/>
      <c r="V279" s="566"/>
      <c r="W279" s="566"/>
      <c r="X279" s="566"/>
      <c r="Y279" s="566"/>
      <c r="Z279" s="566"/>
      <c r="AA279" s="566"/>
      <c r="AB279" s="566"/>
      <c r="AC279" s="566"/>
      <c r="AD279" s="566"/>
      <c r="AE279" s="566"/>
      <c r="AF279" s="566"/>
      <c r="AG279" s="566"/>
      <c r="AH279" s="566"/>
      <c r="AI279" s="566"/>
      <c r="AJ279" s="566"/>
      <c r="AK279" s="566"/>
      <c r="AL279" s="566"/>
      <c r="AM279" s="566"/>
      <c r="AN279" s="566"/>
      <c r="AO279" s="566"/>
    </row>
    <row r="280" spans="2:41" x14ac:dyDescent="0.15">
      <c r="B280" s="567">
        <v>-34</v>
      </c>
      <c r="C280" s="566">
        <v>0</v>
      </c>
      <c r="D280" s="566"/>
      <c r="E280" s="566"/>
      <c r="F280" s="566"/>
      <c r="G280" s="566"/>
      <c r="H280" s="566"/>
      <c r="I280" s="566"/>
      <c r="J280" s="566"/>
      <c r="K280" s="566"/>
      <c r="L280" s="566"/>
      <c r="M280" s="566"/>
      <c r="N280" s="566"/>
      <c r="O280" s="566"/>
      <c r="P280" s="566"/>
      <c r="Q280" s="566"/>
      <c r="R280" s="566"/>
      <c r="S280" s="566"/>
      <c r="T280" s="566"/>
      <c r="U280" s="566"/>
      <c r="V280" s="566"/>
      <c r="W280" s="566"/>
      <c r="X280" s="566"/>
      <c r="Y280" s="566"/>
      <c r="Z280" s="566"/>
      <c r="AA280" s="566"/>
      <c r="AB280" s="566"/>
      <c r="AC280" s="566"/>
      <c r="AD280" s="566"/>
      <c r="AE280" s="566"/>
      <c r="AF280" s="566"/>
      <c r="AG280" s="566"/>
      <c r="AH280" s="566"/>
      <c r="AI280" s="566"/>
      <c r="AJ280" s="566"/>
      <c r="AK280" s="566"/>
      <c r="AL280" s="566"/>
      <c r="AM280" s="566"/>
      <c r="AN280" s="566"/>
      <c r="AO280" s="566"/>
    </row>
    <row r="281" spans="2:41" x14ac:dyDescent="0.15">
      <c r="B281" s="567">
        <v>-33</v>
      </c>
      <c r="C281" s="566">
        <v>0</v>
      </c>
      <c r="D281" s="566"/>
      <c r="E281" s="566"/>
      <c r="F281" s="566"/>
      <c r="G281" s="566"/>
      <c r="H281" s="566"/>
      <c r="I281" s="566"/>
      <c r="J281" s="566"/>
      <c r="K281" s="566"/>
      <c r="L281" s="566"/>
      <c r="M281" s="566"/>
      <c r="N281" s="566"/>
      <c r="O281" s="566"/>
      <c r="P281" s="566"/>
      <c r="Q281" s="566"/>
      <c r="R281" s="566"/>
      <c r="S281" s="566"/>
      <c r="T281" s="566"/>
      <c r="U281" s="566"/>
      <c r="V281" s="566"/>
      <c r="W281" s="566"/>
      <c r="X281" s="566"/>
      <c r="Y281" s="566"/>
      <c r="Z281" s="566"/>
      <c r="AA281" s="566"/>
      <c r="AB281" s="566"/>
      <c r="AC281" s="566"/>
      <c r="AD281" s="566"/>
      <c r="AE281" s="566"/>
      <c r="AF281" s="566"/>
      <c r="AG281" s="566"/>
      <c r="AH281" s="566"/>
      <c r="AI281" s="566"/>
      <c r="AJ281" s="566"/>
      <c r="AK281" s="566"/>
      <c r="AL281" s="566"/>
      <c r="AM281" s="566"/>
      <c r="AN281" s="566"/>
      <c r="AO281" s="566"/>
    </row>
    <row r="282" spans="2:41" x14ac:dyDescent="0.15">
      <c r="B282" s="567">
        <v>-32</v>
      </c>
      <c r="C282" s="566">
        <v>0</v>
      </c>
      <c r="D282" s="566"/>
      <c r="E282" s="566"/>
      <c r="F282" s="566"/>
      <c r="G282" s="566"/>
      <c r="H282" s="566"/>
      <c r="I282" s="566"/>
      <c r="J282" s="566"/>
      <c r="K282" s="566"/>
      <c r="L282" s="566"/>
      <c r="M282" s="566"/>
      <c r="N282" s="566"/>
      <c r="O282" s="566"/>
      <c r="P282" s="566"/>
      <c r="Q282" s="566"/>
      <c r="R282" s="566"/>
      <c r="S282" s="566"/>
      <c r="T282" s="566"/>
      <c r="U282" s="566"/>
      <c r="V282" s="566"/>
      <c r="W282" s="566"/>
      <c r="X282" s="566"/>
      <c r="Y282" s="566"/>
      <c r="Z282" s="566"/>
      <c r="AA282" s="566"/>
      <c r="AB282" s="566"/>
      <c r="AC282" s="566"/>
      <c r="AD282" s="566"/>
      <c r="AE282" s="566"/>
      <c r="AF282" s="566"/>
      <c r="AG282" s="566"/>
      <c r="AH282" s="566"/>
      <c r="AI282" s="566"/>
      <c r="AJ282" s="566"/>
      <c r="AK282" s="566"/>
      <c r="AL282" s="566"/>
      <c r="AM282" s="566"/>
      <c r="AN282" s="566"/>
      <c r="AO282" s="566"/>
    </row>
    <row r="283" spans="2:41" x14ac:dyDescent="0.15">
      <c r="B283" s="567">
        <v>-31</v>
      </c>
      <c r="C283" s="566">
        <v>0</v>
      </c>
      <c r="D283" s="566"/>
      <c r="E283" s="566"/>
      <c r="F283" s="566"/>
      <c r="G283" s="566"/>
      <c r="H283" s="566"/>
      <c r="I283" s="566"/>
      <c r="J283" s="566"/>
      <c r="K283" s="566"/>
      <c r="L283" s="566"/>
      <c r="M283" s="566"/>
      <c r="N283" s="566"/>
      <c r="O283" s="566"/>
      <c r="P283" s="566"/>
      <c r="Q283" s="566"/>
      <c r="R283" s="566"/>
      <c r="S283" s="566"/>
      <c r="T283" s="566"/>
      <c r="U283" s="566"/>
      <c r="V283" s="566"/>
      <c r="W283" s="566"/>
      <c r="X283" s="566"/>
      <c r="Y283" s="566"/>
      <c r="Z283" s="566"/>
      <c r="AA283" s="566"/>
      <c r="AB283" s="566"/>
      <c r="AC283" s="566"/>
      <c r="AD283" s="566"/>
      <c r="AE283" s="566"/>
      <c r="AF283" s="566"/>
      <c r="AG283" s="566"/>
      <c r="AH283" s="566"/>
      <c r="AI283" s="566"/>
      <c r="AJ283" s="566"/>
      <c r="AK283" s="566"/>
      <c r="AL283" s="566"/>
      <c r="AM283" s="566"/>
      <c r="AN283" s="566"/>
      <c r="AO283" s="566"/>
    </row>
    <row r="284" spans="2:41" x14ac:dyDescent="0.15">
      <c r="B284" s="567">
        <v>-30</v>
      </c>
      <c r="C284" s="566">
        <v>0</v>
      </c>
      <c r="D284" s="566"/>
      <c r="E284" s="566"/>
      <c r="F284" s="566"/>
      <c r="G284" s="566"/>
      <c r="H284" s="566"/>
      <c r="I284" s="566"/>
      <c r="J284" s="566"/>
      <c r="K284" s="566"/>
      <c r="L284" s="566"/>
      <c r="M284" s="566"/>
      <c r="N284" s="566"/>
      <c r="O284" s="566"/>
      <c r="P284" s="566"/>
      <c r="Q284" s="566"/>
      <c r="R284" s="566"/>
      <c r="S284" s="566"/>
      <c r="T284" s="566"/>
      <c r="U284" s="566"/>
      <c r="V284" s="566"/>
      <c r="W284" s="566"/>
      <c r="X284" s="566"/>
      <c r="Y284" s="566"/>
      <c r="Z284" s="566"/>
      <c r="AA284" s="566"/>
      <c r="AB284" s="566"/>
      <c r="AC284" s="566"/>
      <c r="AD284" s="566"/>
      <c r="AE284" s="566"/>
      <c r="AF284" s="566"/>
      <c r="AG284" s="566"/>
      <c r="AH284" s="566"/>
      <c r="AI284" s="566"/>
      <c r="AJ284" s="566"/>
      <c r="AK284" s="566"/>
      <c r="AL284" s="566"/>
      <c r="AM284" s="566"/>
      <c r="AN284" s="566"/>
      <c r="AO284" s="566"/>
    </row>
    <row r="285" spans="2:41" x14ac:dyDescent="0.15">
      <c r="B285" s="567">
        <v>-29</v>
      </c>
      <c r="C285" s="566">
        <v>0</v>
      </c>
      <c r="D285" s="566"/>
      <c r="E285" s="566"/>
      <c r="F285" s="566"/>
      <c r="G285" s="566"/>
      <c r="H285" s="566"/>
      <c r="I285" s="566"/>
      <c r="J285" s="566"/>
      <c r="K285" s="566"/>
      <c r="L285" s="566"/>
      <c r="M285" s="566"/>
      <c r="N285" s="566"/>
      <c r="O285" s="566"/>
      <c r="P285" s="566"/>
      <c r="Q285" s="566"/>
      <c r="R285" s="566"/>
      <c r="S285" s="566"/>
      <c r="T285" s="566"/>
      <c r="U285" s="566"/>
      <c r="V285" s="566"/>
      <c r="W285" s="566"/>
      <c r="X285" s="566"/>
      <c r="Y285" s="566"/>
      <c r="Z285" s="566"/>
      <c r="AA285" s="566"/>
      <c r="AB285" s="566"/>
      <c r="AC285" s="566"/>
      <c r="AD285" s="566"/>
      <c r="AE285" s="566"/>
      <c r="AF285" s="566"/>
      <c r="AG285" s="566"/>
      <c r="AH285" s="566"/>
      <c r="AI285" s="566"/>
      <c r="AJ285" s="566"/>
      <c r="AK285" s="566"/>
      <c r="AL285" s="566"/>
      <c r="AM285" s="566"/>
      <c r="AN285" s="566"/>
      <c r="AO285" s="566"/>
    </row>
    <row r="286" spans="2:41" x14ac:dyDescent="0.15">
      <c r="B286" s="567">
        <v>-28</v>
      </c>
      <c r="C286" s="566">
        <v>0</v>
      </c>
      <c r="D286" s="566"/>
      <c r="E286" s="566"/>
      <c r="F286" s="566"/>
      <c r="G286" s="566"/>
      <c r="H286" s="566"/>
      <c r="I286" s="566"/>
      <c r="J286" s="566"/>
      <c r="K286" s="566"/>
      <c r="L286" s="566"/>
      <c r="M286" s="566"/>
      <c r="N286" s="566"/>
      <c r="O286" s="566"/>
      <c r="P286" s="566"/>
      <c r="Q286" s="566"/>
      <c r="R286" s="566"/>
      <c r="S286" s="566"/>
      <c r="T286" s="566"/>
      <c r="U286" s="566"/>
      <c r="V286" s="566"/>
      <c r="W286" s="566"/>
      <c r="X286" s="566"/>
      <c r="Y286" s="566"/>
      <c r="Z286" s="566"/>
      <c r="AA286" s="566"/>
      <c r="AB286" s="566"/>
      <c r="AC286" s="566"/>
      <c r="AD286" s="566"/>
      <c r="AE286" s="566"/>
      <c r="AF286" s="566"/>
      <c r="AG286" s="566"/>
      <c r="AH286" s="566"/>
      <c r="AI286" s="566"/>
      <c r="AJ286" s="566"/>
      <c r="AK286" s="566"/>
      <c r="AL286" s="566"/>
      <c r="AM286" s="566"/>
      <c r="AN286" s="566"/>
      <c r="AO286" s="566"/>
    </row>
    <row r="287" spans="2:41" x14ac:dyDescent="0.15">
      <c r="B287" s="567">
        <v>-27</v>
      </c>
      <c r="C287" s="566">
        <v>0</v>
      </c>
      <c r="D287" s="566"/>
      <c r="E287" s="566"/>
      <c r="F287" s="566"/>
      <c r="G287" s="566"/>
      <c r="H287" s="566"/>
      <c r="I287" s="566"/>
      <c r="J287" s="566"/>
      <c r="K287" s="566"/>
      <c r="L287" s="566"/>
      <c r="M287" s="566"/>
      <c r="N287" s="566"/>
      <c r="O287" s="566"/>
      <c r="P287" s="566"/>
      <c r="Q287" s="566"/>
      <c r="R287" s="566"/>
      <c r="S287" s="566"/>
      <c r="T287" s="566"/>
      <c r="U287" s="566"/>
      <c r="V287" s="566"/>
      <c r="W287" s="566"/>
      <c r="X287" s="566"/>
      <c r="Y287" s="566"/>
      <c r="Z287" s="566"/>
      <c r="AA287" s="566"/>
      <c r="AB287" s="566"/>
      <c r="AC287" s="566"/>
      <c r="AD287" s="566"/>
      <c r="AE287" s="566"/>
      <c r="AF287" s="566"/>
      <c r="AG287" s="566"/>
      <c r="AH287" s="566"/>
      <c r="AI287" s="566"/>
      <c r="AJ287" s="566"/>
      <c r="AK287" s="566"/>
      <c r="AL287" s="566"/>
      <c r="AM287" s="566"/>
      <c r="AN287" s="566"/>
      <c r="AO287" s="566"/>
    </row>
    <row r="288" spans="2:41" x14ac:dyDescent="0.15">
      <c r="B288" s="567">
        <v>-26</v>
      </c>
      <c r="C288" s="566">
        <v>0</v>
      </c>
      <c r="D288" s="566"/>
      <c r="E288" s="566"/>
      <c r="F288" s="566"/>
      <c r="G288" s="566"/>
      <c r="H288" s="566"/>
      <c r="I288" s="566"/>
      <c r="J288" s="566"/>
      <c r="K288" s="566"/>
      <c r="L288" s="566"/>
      <c r="M288" s="566"/>
      <c r="N288" s="566"/>
      <c r="O288" s="566"/>
      <c r="P288" s="566"/>
      <c r="Q288" s="566"/>
      <c r="R288" s="566"/>
      <c r="S288" s="566"/>
      <c r="T288" s="566"/>
      <c r="U288" s="566"/>
      <c r="V288" s="566"/>
      <c r="W288" s="566"/>
      <c r="X288" s="566"/>
      <c r="Y288" s="566"/>
      <c r="Z288" s="566"/>
      <c r="AA288" s="566"/>
      <c r="AB288" s="566"/>
      <c r="AC288" s="566"/>
      <c r="AD288" s="566"/>
      <c r="AE288" s="566"/>
      <c r="AF288" s="566"/>
      <c r="AG288" s="566"/>
      <c r="AH288" s="566"/>
      <c r="AI288" s="566"/>
      <c r="AJ288" s="566"/>
      <c r="AK288" s="566"/>
      <c r="AL288" s="566"/>
      <c r="AM288" s="566"/>
      <c r="AN288" s="566"/>
      <c r="AO288" s="566"/>
    </row>
    <row r="289" spans="2:41" x14ac:dyDescent="0.15">
      <c r="B289" s="567">
        <v>-25</v>
      </c>
      <c r="C289" s="566">
        <v>0</v>
      </c>
      <c r="D289" s="566"/>
      <c r="E289" s="566"/>
      <c r="F289" s="566"/>
      <c r="G289" s="566"/>
      <c r="H289" s="566"/>
      <c r="I289" s="566"/>
      <c r="J289" s="566"/>
      <c r="K289" s="566"/>
      <c r="L289" s="566"/>
      <c r="M289" s="566"/>
      <c r="N289" s="566"/>
      <c r="O289" s="566"/>
      <c r="P289" s="566"/>
      <c r="Q289" s="566"/>
      <c r="R289" s="566"/>
      <c r="S289" s="566"/>
      <c r="T289" s="566"/>
      <c r="U289" s="566"/>
      <c r="V289" s="566"/>
      <c r="W289" s="566"/>
      <c r="X289" s="566"/>
      <c r="Y289" s="566"/>
      <c r="Z289" s="566"/>
      <c r="AA289" s="566"/>
      <c r="AB289" s="566"/>
      <c r="AC289" s="566"/>
      <c r="AD289" s="566"/>
      <c r="AE289" s="566"/>
      <c r="AF289" s="566"/>
      <c r="AG289" s="566"/>
      <c r="AH289" s="566"/>
      <c r="AI289" s="566"/>
      <c r="AJ289" s="566"/>
      <c r="AK289" s="566"/>
      <c r="AL289" s="566"/>
      <c r="AM289" s="566"/>
      <c r="AN289" s="566"/>
      <c r="AO289" s="566"/>
    </row>
    <row r="290" spans="2:41" x14ac:dyDescent="0.15">
      <c r="B290" s="567">
        <v>-24</v>
      </c>
      <c r="C290" s="566">
        <v>0</v>
      </c>
      <c r="D290" s="566"/>
      <c r="E290" s="566"/>
      <c r="F290" s="566"/>
      <c r="G290" s="566"/>
      <c r="H290" s="566"/>
      <c r="I290" s="566"/>
      <c r="J290" s="566"/>
      <c r="K290" s="566"/>
      <c r="L290" s="566"/>
      <c r="M290" s="566"/>
      <c r="N290" s="566"/>
      <c r="O290" s="566"/>
      <c r="P290" s="566"/>
      <c r="Q290" s="566"/>
      <c r="R290" s="566"/>
      <c r="S290" s="566"/>
      <c r="T290" s="566"/>
      <c r="U290" s="566"/>
      <c r="V290" s="566"/>
      <c r="W290" s="566"/>
      <c r="X290" s="566"/>
      <c r="Y290" s="566"/>
      <c r="Z290" s="566"/>
      <c r="AA290" s="566"/>
      <c r="AB290" s="566"/>
      <c r="AC290" s="566"/>
      <c r="AD290" s="566"/>
      <c r="AE290" s="566"/>
      <c r="AF290" s="566"/>
      <c r="AG290" s="566"/>
      <c r="AH290" s="566"/>
      <c r="AI290" s="566"/>
      <c r="AJ290" s="566"/>
      <c r="AK290" s="566"/>
      <c r="AL290" s="566"/>
      <c r="AM290" s="566"/>
      <c r="AN290" s="566"/>
      <c r="AO290" s="566"/>
    </row>
    <row r="291" spans="2:41" x14ac:dyDescent="0.15">
      <c r="B291" s="567">
        <v>-23</v>
      </c>
      <c r="C291" s="566">
        <v>0</v>
      </c>
      <c r="D291" s="566"/>
      <c r="E291" s="566"/>
      <c r="F291" s="566"/>
      <c r="G291" s="566"/>
      <c r="H291" s="566"/>
      <c r="I291" s="566"/>
      <c r="J291" s="566"/>
      <c r="K291" s="566"/>
      <c r="L291" s="566"/>
      <c r="M291" s="566"/>
      <c r="N291" s="566"/>
      <c r="O291" s="566"/>
      <c r="P291" s="566"/>
      <c r="Q291" s="566"/>
      <c r="R291" s="566"/>
      <c r="S291" s="566"/>
      <c r="T291" s="566"/>
      <c r="U291" s="566"/>
      <c r="V291" s="566"/>
      <c r="W291" s="566"/>
      <c r="X291" s="566"/>
      <c r="Y291" s="566"/>
      <c r="Z291" s="566"/>
      <c r="AA291" s="566"/>
      <c r="AB291" s="566"/>
      <c r="AC291" s="566"/>
      <c r="AD291" s="566"/>
      <c r="AE291" s="566"/>
      <c r="AF291" s="566"/>
      <c r="AG291" s="566"/>
      <c r="AH291" s="566"/>
      <c r="AI291" s="566"/>
      <c r="AJ291" s="566"/>
      <c r="AK291" s="566"/>
      <c r="AL291" s="566"/>
      <c r="AM291" s="566"/>
      <c r="AN291" s="566"/>
      <c r="AO291" s="566"/>
    </row>
    <row r="292" spans="2:41" x14ac:dyDescent="0.15">
      <c r="B292" s="567">
        <v>-22</v>
      </c>
      <c r="C292" s="566">
        <v>0</v>
      </c>
      <c r="D292" s="566"/>
      <c r="E292" s="566"/>
      <c r="F292" s="566"/>
      <c r="G292" s="566"/>
      <c r="H292" s="566"/>
      <c r="I292" s="566"/>
      <c r="J292" s="566"/>
      <c r="K292" s="566"/>
      <c r="L292" s="566"/>
      <c r="M292" s="566"/>
      <c r="N292" s="566"/>
      <c r="O292" s="566"/>
      <c r="P292" s="566"/>
      <c r="Q292" s="566"/>
      <c r="R292" s="566"/>
      <c r="S292" s="566"/>
      <c r="T292" s="566"/>
      <c r="U292" s="566"/>
      <c r="V292" s="566"/>
      <c r="W292" s="566"/>
      <c r="X292" s="566"/>
      <c r="Y292" s="566"/>
      <c r="Z292" s="566"/>
      <c r="AA292" s="566"/>
      <c r="AB292" s="566"/>
      <c r="AC292" s="566"/>
      <c r="AD292" s="566"/>
      <c r="AE292" s="566"/>
      <c r="AF292" s="566"/>
      <c r="AG292" s="566"/>
      <c r="AH292" s="566"/>
      <c r="AI292" s="566"/>
      <c r="AJ292" s="566"/>
      <c r="AK292" s="566"/>
      <c r="AL292" s="566"/>
      <c r="AM292" s="566"/>
      <c r="AN292" s="566"/>
      <c r="AO292" s="566"/>
    </row>
    <row r="293" spans="2:41" x14ac:dyDescent="0.15">
      <c r="B293" s="567">
        <v>-21</v>
      </c>
      <c r="C293" s="566">
        <v>0</v>
      </c>
      <c r="D293" s="566"/>
      <c r="E293" s="566"/>
      <c r="F293" s="566"/>
      <c r="G293" s="566"/>
      <c r="H293" s="566"/>
      <c r="I293" s="566"/>
      <c r="J293" s="566"/>
      <c r="K293" s="566"/>
      <c r="L293" s="566"/>
      <c r="M293" s="566"/>
      <c r="N293" s="566"/>
      <c r="O293" s="566"/>
      <c r="P293" s="566"/>
      <c r="Q293" s="566"/>
      <c r="R293" s="566"/>
      <c r="S293" s="566"/>
      <c r="T293" s="566"/>
      <c r="U293" s="566"/>
      <c r="V293" s="566"/>
      <c r="W293" s="566"/>
      <c r="X293" s="566"/>
      <c r="Y293" s="566"/>
      <c r="Z293" s="566"/>
      <c r="AA293" s="566"/>
      <c r="AB293" s="566"/>
      <c r="AC293" s="566"/>
      <c r="AD293" s="566"/>
      <c r="AE293" s="566"/>
      <c r="AF293" s="566"/>
      <c r="AG293" s="566"/>
      <c r="AH293" s="566"/>
      <c r="AI293" s="566"/>
      <c r="AJ293" s="566"/>
      <c r="AK293" s="566"/>
      <c r="AL293" s="566"/>
      <c r="AM293" s="566"/>
      <c r="AN293" s="566"/>
      <c r="AO293" s="566"/>
    </row>
    <row r="294" spans="2:41" x14ac:dyDescent="0.15">
      <c r="B294" s="567">
        <v>-20</v>
      </c>
      <c r="C294" s="566">
        <v>0</v>
      </c>
      <c r="D294" s="566"/>
      <c r="E294" s="566"/>
      <c r="F294" s="566"/>
      <c r="G294" s="566"/>
      <c r="H294" s="566"/>
      <c r="I294" s="566"/>
      <c r="J294" s="566"/>
      <c r="K294" s="566"/>
      <c r="L294" s="566"/>
      <c r="M294" s="566"/>
      <c r="N294" s="566"/>
      <c r="O294" s="566"/>
      <c r="P294" s="566"/>
      <c r="Q294" s="566"/>
      <c r="R294" s="566"/>
      <c r="S294" s="566"/>
      <c r="T294" s="566"/>
      <c r="U294" s="566"/>
      <c r="V294" s="566"/>
      <c r="W294" s="566"/>
      <c r="X294" s="566"/>
      <c r="Y294" s="566"/>
      <c r="Z294" s="566"/>
      <c r="AA294" s="566"/>
      <c r="AB294" s="566"/>
      <c r="AC294" s="566"/>
      <c r="AD294" s="566"/>
      <c r="AE294" s="566"/>
      <c r="AF294" s="566"/>
      <c r="AG294" s="566"/>
      <c r="AH294" s="566"/>
      <c r="AI294" s="566"/>
      <c r="AJ294" s="566"/>
      <c r="AK294" s="566"/>
      <c r="AL294" s="566"/>
      <c r="AM294" s="566"/>
      <c r="AN294" s="566"/>
      <c r="AO294" s="566"/>
    </row>
    <row r="295" spans="2:41" x14ac:dyDescent="0.15">
      <c r="B295" s="567">
        <v>-19</v>
      </c>
      <c r="C295" s="566">
        <v>0</v>
      </c>
      <c r="D295" s="566"/>
      <c r="E295" s="566"/>
      <c r="F295" s="566"/>
      <c r="G295" s="566"/>
      <c r="H295" s="566"/>
      <c r="I295" s="566"/>
      <c r="J295" s="566"/>
      <c r="K295" s="566"/>
      <c r="L295" s="566"/>
      <c r="M295" s="566"/>
      <c r="N295" s="566"/>
      <c r="O295" s="566"/>
      <c r="P295" s="566"/>
      <c r="Q295" s="566"/>
      <c r="R295" s="566"/>
      <c r="S295" s="566"/>
      <c r="T295" s="566"/>
      <c r="U295" s="566"/>
      <c r="V295" s="566"/>
      <c r="W295" s="566"/>
      <c r="X295" s="566"/>
      <c r="Y295" s="566"/>
      <c r="Z295" s="566"/>
      <c r="AA295" s="566"/>
      <c r="AB295" s="566"/>
      <c r="AC295" s="566"/>
      <c r="AD295" s="566"/>
      <c r="AE295" s="566"/>
      <c r="AF295" s="566"/>
      <c r="AG295" s="566"/>
      <c r="AH295" s="566"/>
      <c r="AI295" s="566"/>
      <c r="AJ295" s="566"/>
      <c r="AK295" s="566"/>
      <c r="AL295" s="566"/>
      <c r="AM295" s="566"/>
      <c r="AN295" s="566"/>
      <c r="AO295" s="566"/>
    </row>
    <row r="296" spans="2:41" x14ac:dyDescent="0.15">
      <c r="B296" s="567">
        <v>-18</v>
      </c>
      <c r="C296" s="566">
        <v>0</v>
      </c>
      <c r="D296" s="566"/>
      <c r="E296" s="566"/>
      <c r="F296" s="566"/>
      <c r="G296" s="566"/>
      <c r="H296" s="566"/>
      <c r="I296" s="566"/>
      <c r="J296" s="566"/>
      <c r="K296" s="566"/>
      <c r="L296" s="566"/>
      <c r="M296" s="566"/>
      <c r="N296" s="566"/>
      <c r="O296" s="566"/>
      <c r="P296" s="566"/>
      <c r="Q296" s="566"/>
      <c r="R296" s="566"/>
      <c r="S296" s="566"/>
      <c r="T296" s="566"/>
      <c r="U296" s="566"/>
      <c r="V296" s="566"/>
      <c r="W296" s="566"/>
      <c r="X296" s="566"/>
      <c r="Y296" s="566"/>
      <c r="Z296" s="566"/>
      <c r="AA296" s="566"/>
      <c r="AB296" s="566"/>
      <c r="AC296" s="566"/>
      <c r="AD296" s="566"/>
      <c r="AE296" s="566"/>
      <c r="AF296" s="566"/>
      <c r="AG296" s="566"/>
      <c r="AH296" s="566"/>
      <c r="AI296" s="566"/>
      <c r="AJ296" s="566"/>
      <c r="AK296" s="566"/>
      <c r="AL296" s="566"/>
      <c r="AM296" s="566"/>
      <c r="AN296" s="566"/>
      <c r="AO296" s="566"/>
    </row>
    <row r="297" spans="2:41" x14ac:dyDescent="0.15">
      <c r="B297" s="567">
        <v>-17</v>
      </c>
      <c r="C297" s="566">
        <v>0</v>
      </c>
      <c r="D297" s="566"/>
      <c r="E297" s="566"/>
      <c r="F297" s="566"/>
      <c r="G297" s="566"/>
      <c r="H297" s="566"/>
      <c r="I297" s="566"/>
      <c r="J297" s="566"/>
      <c r="K297" s="566"/>
      <c r="L297" s="566"/>
      <c r="M297" s="566"/>
      <c r="N297" s="566"/>
      <c r="O297" s="566"/>
      <c r="P297" s="566"/>
      <c r="Q297" s="566"/>
      <c r="R297" s="566"/>
      <c r="S297" s="566"/>
      <c r="T297" s="566"/>
      <c r="U297" s="566"/>
      <c r="V297" s="566"/>
      <c r="W297" s="566"/>
      <c r="X297" s="566"/>
      <c r="Y297" s="566"/>
      <c r="Z297" s="566"/>
      <c r="AA297" s="566"/>
      <c r="AB297" s="566"/>
      <c r="AC297" s="566"/>
      <c r="AD297" s="566"/>
      <c r="AE297" s="566"/>
      <c r="AF297" s="566"/>
      <c r="AG297" s="566"/>
      <c r="AH297" s="566"/>
      <c r="AI297" s="566"/>
      <c r="AJ297" s="566"/>
      <c r="AK297" s="566"/>
      <c r="AL297" s="566"/>
      <c r="AM297" s="566"/>
      <c r="AN297" s="566"/>
      <c r="AO297" s="566"/>
    </row>
    <row r="298" spans="2:41" x14ac:dyDescent="0.15">
      <c r="B298" s="567">
        <v>-16</v>
      </c>
      <c r="C298" s="566">
        <v>0</v>
      </c>
      <c r="D298" s="566"/>
      <c r="E298" s="566"/>
      <c r="F298" s="566"/>
      <c r="G298" s="566"/>
      <c r="H298" s="566"/>
      <c r="I298" s="566"/>
      <c r="J298" s="566"/>
      <c r="K298" s="566"/>
      <c r="L298" s="566"/>
      <c r="M298" s="566"/>
      <c r="N298" s="566"/>
      <c r="O298" s="566"/>
      <c r="P298" s="566"/>
      <c r="Q298" s="566"/>
      <c r="R298" s="566"/>
      <c r="S298" s="566"/>
      <c r="T298" s="566"/>
      <c r="U298" s="566"/>
      <c r="V298" s="566"/>
      <c r="W298" s="566"/>
      <c r="X298" s="566"/>
      <c r="Y298" s="566"/>
      <c r="Z298" s="566"/>
      <c r="AA298" s="566"/>
      <c r="AB298" s="566"/>
      <c r="AC298" s="566"/>
      <c r="AD298" s="566"/>
      <c r="AE298" s="566"/>
      <c r="AF298" s="566"/>
      <c r="AG298" s="566"/>
      <c r="AH298" s="566"/>
      <c r="AI298" s="566"/>
      <c r="AJ298" s="566"/>
      <c r="AK298" s="566"/>
      <c r="AL298" s="566"/>
      <c r="AM298" s="566"/>
      <c r="AN298" s="566"/>
      <c r="AO298" s="566"/>
    </row>
    <row r="299" spans="2:41" x14ac:dyDescent="0.15">
      <c r="B299" s="567">
        <v>-15</v>
      </c>
      <c r="C299" s="566">
        <v>0</v>
      </c>
      <c r="D299" s="566"/>
      <c r="E299" s="566"/>
      <c r="F299" s="566"/>
      <c r="G299" s="566"/>
      <c r="H299" s="566"/>
      <c r="I299" s="566"/>
      <c r="J299" s="566"/>
      <c r="K299" s="566"/>
      <c r="L299" s="566"/>
      <c r="M299" s="566"/>
      <c r="N299" s="566"/>
      <c r="O299" s="566"/>
      <c r="P299" s="566"/>
      <c r="Q299" s="566"/>
      <c r="R299" s="566"/>
      <c r="S299" s="566"/>
      <c r="T299" s="566"/>
      <c r="U299" s="566"/>
      <c r="V299" s="566"/>
      <c r="W299" s="566"/>
      <c r="X299" s="566"/>
      <c r="Y299" s="566"/>
      <c r="Z299" s="566"/>
      <c r="AA299" s="566"/>
      <c r="AB299" s="566"/>
      <c r="AC299" s="566"/>
      <c r="AD299" s="566"/>
      <c r="AE299" s="566"/>
      <c r="AF299" s="566"/>
      <c r="AG299" s="566"/>
      <c r="AH299" s="566"/>
      <c r="AI299" s="566"/>
      <c r="AJ299" s="566"/>
      <c r="AK299" s="566"/>
      <c r="AL299" s="566"/>
      <c r="AM299" s="566"/>
      <c r="AN299" s="566"/>
      <c r="AO299" s="566"/>
    </row>
    <row r="300" spans="2:41" x14ac:dyDescent="0.15">
      <c r="B300" s="567">
        <v>-14</v>
      </c>
      <c r="C300" s="566">
        <v>0</v>
      </c>
      <c r="D300" s="566"/>
      <c r="E300" s="566"/>
      <c r="F300" s="566"/>
      <c r="G300" s="566"/>
      <c r="H300" s="566"/>
      <c r="I300" s="566"/>
      <c r="J300" s="566"/>
      <c r="K300" s="566"/>
      <c r="L300" s="566"/>
      <c r="M300" s="566"/>
      <c r="N300" s="566"/>
      <c r="O300" s="566"/>
      <c r="P300" s="566"/>
      <c r="Q300" s="566"/>
      <c r="R300" s="566"/>
      <c r="S300" s="566"/>
      <c r="T300" s="566"/>
      <c r="U300" s="566"/>
      <c r="V300" s="566"/>
      <c r="W300" s="566"/>
      <c r="X300" s="566"/>
      <c r="Y300" s="566"/>
      <c r="Z300" s="566"/>
      <c r="AA300" s="566"/>
      <c r="AB300" s="566"/>
      <c r="AC300" s="566"/>
      <c r="AD300" s="566"/>
      <c r="AE300" s="566"/>
      <c r="AF300" s="566"/>
      <c r="AG300" s="566"/>
      <c r="AH300" s="566"/>
      <c r="AI300" s="566"/>
      <c r="AJ300" s="566"/>
      <c r="AK300" s="566"/>
      <c r="AL300" s="566"/>
      <c r="AM300" s="566"/>
      <c r="AN300" s="566"/>
      <c r="AO300" s="566"/>
    </row>
    <row r="301" spans="2:41" x14ac:dyDescent="0.15">
      <c r="B301" s="567">
        <v>-13</v>
      </c>
      <c r="C301" s="566">
        <v>0</v>
      </c>
      <c r="D301" s="566"/>
      <c r="E301" s="566"/>
      <c r="F301" s="566"/>
      <c r="G301" s="566"/>
      <c r="H301" s="566"/>
      <c r="I301" s="566"/>
      <c r="J301" s="566"/>
      <c r="K301" s="566"/>
      <c r="L301" s="566"/>
      <c r="M301" s="566"/>
      <c r="N301" s="566"/>
      <c r="O301" s="566"/>
      <c r="P301" s="566"/>
      <c r="Q301" s="566"/>
      <c r="R301" s="566"/>
      <c r="S301" s="566"/>
      <c r="T301" s="566"/>
      <c r="U301" s="566"/>
      <c r="V301" s="566"/>
      <c r="W301" s="566"/>
      <c r="X301" s="566"/>
      <c r="Y301" s="566"/>
      <c r="Z301" s="566"/>
      <c r="AA301" s="566"/>
      <c r="AB301" s="566"/>
      <c r="AC301" s="566"/>
      <c r="AD301" s="566"/>
      <c r="AE301" s="566"/>
      <c r="AF301" s="566"/>
      <c r="AG301" s="566"/>
      <c r="AH301" s="566"/>
      <c r="AI301" s="566"/>
      <c r="AJ301" s="566"/>
      <c r="AK301" s="566"/>
      <c r="AL301" s="566"/>
      <c r="AM301" s="566"/>
      <c r="AN301" s="566"/>
      <c r="AO301" s="566"/>
    </row>
    <row r="302" spans="2:41" x14ac:dyDescent="0.15">
      <c r="B302" s="567">
        <v>-12</v>
      </c>
      <c r="C302" s="566">
        <v>0</v>
      </c>
      <c r="D302" s="566"/>
      <c r="E302" s="566"/>
      <c r="F302" s="566"/>
      <c r="G302" s="566"/>
      <c r="H302" s="566"/>
      <c r="I302" s="566"/>
      <c r="J302" s="566"/>
      <c r="K302" s="566"/>
      <c r="L302" s="566"/>
      <c r="M302" s="566"/>
      <c r="N302" s="566"/>
      <c r="O302" s="566"/>
      <c r="P302" s="566"/>
      <c r="Q302" s="566"/>
      <c r="R302" s="566"/>
      <c r="S302" s="566"/>
      <c r="T302" s="566"/>
      <c r="U302" s="566"/>
      <c r="V302" s="566"/>
      <c r="W302" s="566"/>
      <c r="X302" s="566"/>
      <c r="Y302" s="566"/>
      <c r="Z302" s="566"/>
      <c r="AA302" s="566"/>
      <c r="AB302" s="566"/>
      <c r="AC302" s="566"/>
      <c r="AD302" s="566"/>
      <c r="AE302" s="566"/>
      <c r="AF302" s="566"/>
      <c r="AG302" s="566"/>
      <c r="AH302" s="566"/>
      <c r="AI302" s="566"/>
      <c r="AJ302" s="566"/>
      <c r="AK302" s="566"/>
      <c r="AL302" s="566"/>
      <c r="AM302" s="566"/>
      <c r="AN302" s="566"/>
      <c r="AO302" s="566"/>
    </row>
    <row r="303" spans="2:41" x14ac:dyDescent="0.15">
      <c r="B303" s="567">
        <v>-11</v>
      </c>
      <c r="C303" s="566">
        <v>0</v>
      </c>
      <c r="D303" s="566"/>
      <c r="E303" s="566"/>
      <c r="F303" s="566"/>
      <c r="G303" s="566"/>
      <c r="H303" s="566"/>
      <c r="I303" s="566"/>
      <c r="J303" s="566"/>
      <c r="K303" s="566"/>
      <c r="L303" s="566"/>
      <c r="M303" s="566"/>
      <c r="N303" s="566"/>
      <c r="O303" s="566"/>
      <c r="P303" s="566"/>
      <c r="Q303" s="566"/>
      <c r="R303" s="566"/>
      <c r="S303" s="566"/>
      <c r="T303" s="566"/>
      <c r="U303" s="566"/>
      <c r="V303" s="566"/>
      <c r="W303" s="566"/>
      <c r="X303" s="566"/>
      <c r="Y303" s="566"/>
      <c r="Z303" s="566"/>
      <c r="AA303" s="566"/>
      <c r="AB303" s="566"/>
      <c r="AC303" s="566"/>
      <c r="AD303" s="566"/>
      <c r="AE303" s="566"/>
      <c r="AF303" s="566"/>
      <c r="AG303" s="566"/>
      <c r="AH303" s="566"/>
      <c r="AI303" s="566"/>
      <c r="AJ303" s="566"/>
      <c r="AK303" s="566"/>
      <c r="AL303" s="566"/>
      <c r="AM303" s="566"/>
      <c r="AN303" s="566"/>
      <c r="AO303" s="566"/>
    </row>
    <row r="304" spans="2:41" x14ac:dyDescent="0.15">
      <c r="B304" s="567">
        <v>-10</v>
      </c>
      <c r="C304" s="566">
        <v>2.5114155251141552E-3</v>
      </c>
      <c r="D304" s="566"/>
      <c r="E304" s="566"/>
      <c r="F304" s="566"/>
      <c r="G304" s="566"/>
      <c r="H304" s="566"/>
      <c r="I304" s="566"/>
      <c r="J304" s="566"/>
      <c r="K304" s="566"/>
      <c r="L304" s="566"/>
      <c r="M304" s="566"/>
      <c r="N304" s="566"/>
      <c r="O304" s="566"/>
      <c r="P304" s="566"/>
      <c r="Q304" s="566"/>
      <c r="R304" s="566"/>
      <c r="S304" s="566"/>
      <c r="T304" s="566"/>
      <c r="U304" s="566"/>
      <c r="V304" s="566"/>
      <c r="W304" s="566"/>
      <c r="X304" s="566"/>
      <c r="Y304" s="566"/>
      <c r="Z304" s="566"/>
      <c r="AA304" s="566"/>
      <c r="AB304" s="566"/>
      <c r="AC304" s="566"/>
      <c r="AD304" s="566"/>
      <c r="AE304" s="566"/>
      <c r="AF304" s="566"/>
      <c r="AG304" s="566"/>
      <c r="AH304" s="566"/>
      <c r="AI304" s="566"/>
      <c r="AJ304" s="566"/>
      <c r="AK304" s="566"/>
      <c r="AL304" s="566"/>
      <c r="AM304" s="566"/>
      <c r="AN304" s="566"/>
      <c r="AO304" s="566"/>
    </row>
    <row r="305" spans="2:41" x14ac:dyDescent="0.15">
      <c r="B305" s="567">
        <v>-9</v>
      </c>
      <c r="C305" s="566">
        <v>3.0821917808219177E-3</v>
      </c>
      <c r="D305" s="566"/>
      <c r="E305" s="566"/>
      <c r="F305" s="566"/>
      <c r="G305" s="566"/>
      <c r="H305" s="566"/>
      <c r="I305" s="566"/>
      <c r="J305" s="566"/>
      <c r="K305" s="566"/>
      <c r="L305" s="566"/>
      <c r="M305" s="566"/>
      <c r="N305" s="566"/>
      <c r="O305" s="566"/>
      <c r="P305" s="566"/>
      <c r="Q305" s="566"/>
      <c r="R305" s="566"/>
      <c r="S305" s="566"/>
      <c r="T305" s="566"/>
      <c r="U305" s="566"/>
      <c r="V305" s="566"/>
      <c r="W305" s="566"/>
      <c r="X305" s="566"/>
      <c r="Y305" s="566"/>
      <c r="Z305" s="566"/>
      <c r="AA305" s="566"/>
      <c r="AB305" s="566"/>
      <c r="AC305" s="566"/>
      <c r="AD305" s="566"/>
      <c r="AE305" s="566"/>
      <c r="AF305" s="566"/>
      <c r="AG305" s="566"/>
      <c r="AH305" s="566"/>
      <c r="AI305" s="566"/>
      <c r="AJ305" s="566"/>
      <c r="AK305" s="566"/>
      <c r="AL305" s="566"/>
      <c r="AM305" s="566"/>
      <c r="AN305" s="566"/>
      <c r="AO305" s="566"/>
    </row>
    <row r="306" spans="2:41" x14ac:dyDescent="0.15">
      <c r="B306" s="567">
        <v>-8</v>
      </c>
      <c r="C306" s="566">
        <v>5.0228310502283104E-3</v>
      </c>
      <c r="D306" s="566"/>
      <c r="E306" s="566"/>
      <c r="F306" s="566"/>
      <c r="G306" s="566"/>
      <c r="H306" s="566"/>
      <c r="I306" s="566"/>
      <c r="J306" s="566"/>
      <c r="K306" s="566"/>
      <c r="L306" s="566"/>
      <c r="M306" s="566"/>
      <c r="N306" s="566"/>
      <c r="O306" s="566"/>
      <c r="P306" s="566"/>
      <c r="Q306" s="566"/>
      <c r="R306" s="566"/>
      <c r="S306" s="566"/>
      <c r="T306" s="566"/>
      <c r="U306" s="566"/>
      <c r="V306" s="566"/>
      <c r="W306" s="566"/>
      <c r="X306" s="566"/>
      <c r="Y306" s="566"/>
      <c r="Z306" s="566"/>
      <c r="AA306" s="566"/>
      <c r="AB306" s="566"/>
      <c r="AC306" s="566"/>
      <c r="AD306" s="566"/>
      <c r="AE306" s="566"/>
      <c r="AF306" s="566"/>
      <c r="AG306" s="566"/>
      <c r="AH306" s="566"/>
      <c r="AI306" s="566"/>
      <c r="AJ306" s="566"/>
      <c r="AK306" s="566"/>
      <c r="AL306" s="566"/>
      <c r="AM306" s="566"/>
      <c r="AN306" s="566"/>
      <c r="AO306" s="566"/>
    </row>
    <row r="307" spans="2:41" x14ac:dyDescent="0.15">
      <c r="B307" s="567">
        <v>-7</v>
      </c>
      <c r="C307" s="566">
        <v>8.6757990867579911E-3</v>
      </c>
      <c r="D307" s="566"/>
      <c r="E307" s="566"/>
      <c r="F307" s="566"/>
      <c r="G307" s="566"/>
      <c r="H307" s="566"/>
      <c r="I307" s="566"/>
      <c r="J307" s="566"/>
      <c r="K307" s="566"/>
      <c r="L307" s="566"/>
      <c r="M307" s="566"/>
      <c r="N307" s="566"/>
      <c r="O307" s="566"/>
      <c r="P307" s="566"/>
      <c r="Q307" s="566"/>
      <c r="R307" s="566"/>
      <c r="S307" s="566"/>
      <c r="T307" s="566"/>
      <c r="U307" s="566"/>
      <c r="V307" s="566"/>
      <c r="W307" s="566"/>
      <c r="X307" s="566"/>
      <c r="Y307" s="566"/>
      <c r="Z307" s="566"/>
      <c r="AA307" s="566"/>
      <c r="AB307" s="566"/>
      <c r="AC307" s="566"/>
      <c r="AD307" s="566"/>
      <c r="AE307" s="566"/>
      <c r="AF307" s="566"/>
      <c r="AG307" s="566"/>
      <c r="AH307" s="566"/>
      <c r="AI307" s="566"/>
      <c r="AJ307" s="566"/>
      <c r="AK307" s="566"/>
      <c r="AL307" s="566"/>
      <c r="AM307" s="566"/>
      <c r="AN307" s="566"/>
      <c r="AO307" s="566"/>
    </row>
    <row r="308" spans="2:41" x14ac:dyDescent="0.15">
      <c r="B308" s="567">
        <v>-6</v>
      </c>
      <c r="C308" s="566">
        <v>1.4041095890410958E-2</v>
      </c>
      <c r="D308" s="566"/>
      <c r="E308" s="566"/>
      <c r="F308" s="566"/>
      <c r="G308" s="566"/>
      <c r="H308" s="566"/>
      <c r="I308" s="566"/>
      <c r="J308" s="566"/>
      <c r="K308" s="566"/>
      <c r="L308" s="566"/>
      <c r="M308" s="566"/>
      <c r="N308" s="566"/>
      <c r="O308" s="566"/>
      <c r="P308" s="566"/>
      <c r="Q308" s="566"/>
      <c r="R308" s="566"/>
      <c r="S308" s="566"/>
      <c r="T308" s="566"/>
      <c r="U308" s="566"/>
      <c r="V308" s="566"/>
      <c r="W308" s="566"/>
      <c r="X308" s="566"/>
      <c r="Y308" s="566"/>
      <c r="Z308" s="566"/>
      <c r="AA308" s="566"/>
      <c r="AB308" s="566"/>
      <c r="AC308" s="566"/>
      <c r="AD308" s="566"/>
      <c r="AE308" s="566"/>
      <c r="AF308" s="566"/>
      <c r="AG308" s="566"/>
      <c r="AH308" s="566"/>
      <c r="AI308" s="566"/>
      <c r="AJ308" s="566"/>
      <c r="AK308" s="566"/>
      <c r="AL308" s="566"/>
      <c r="AM308" s="566"/>
      <c r="AN308" s="566"/>
      <c r="AO308" s="566"/>
    </row>
    <row r="309" spans="2:41" x14ac:dyDescent="0.15">
      <c r="B309" s="567">
        <v>-5</v>
      </c>
      <c r="C309" s="566">
        <v>2.0662100456621004E-2</v>
      </c>
      <c r="D309" s="566"/>
      <c r="E309" s="566"/>
      <c r="F309" s="566"/>
      <c r="G309" s="566"/>
      <c r="H309" s="566"/>
      <c r="I309" s="566"/>
      <c r="J309" s="566"/>
      <c r="K309" s="566"/>
      <c r="L309" s="566"/>
      <c r="M309" s="566"/>
      <c r="N309" s="566"/>
      <c r="O309" s="566"/>
      <c r="P309" s="566"/>
      <c r="Q309" s="566"/>
      <c r="R309" s="566"/>
      <c r="S309" s="566"/>
      <c r="T309" s="566"/>
      <c r="U309" s="566"/>
      <c r="V309" s="566"/>
      <c r="W309" s="566"/>
      <c r="X309" s="566"/>
      <c r="Y309" s="566"/>
      <c r="Z309" s="566"/>
      <c r="AA309" s="566"/>
      <c r="AB309" s="566"/>
      <c r="AC309" s="566"/>
      <c r="AD309" s="566"/>
      <c r="AE309" s="566"/>
      <c r="AF309" s="566"/>
      <c r="AG309" s="566"/>
      <c r="AH309" s="566"/>
      <c r="AI309" s="566"/>
      <c r="AJ309" s="566"/>
      <c r="AK309" s="566"/>
      <c r="AL309" s="566"/>
      <c r="AM309" s="566"/>
      <c r="AN309" s="566"/>
      <c r="AO309" s="566"/>
    </row>
    <row r="310" spans="2:41" x14ac:dyDescent="0.15">
      <c r="B310" s="567">
        <v>-4</v>
      </c>
      <c r="C310" s="566">
        <v>2.8767123287671233E-2</v>
      </c>
      <c r="D310" s="566"/>
      <c r="E310" s="566"/>
      <c r="F310" s="566"/>
      <c r="G310" s="566"/>
      <c r="H310" s="566"/>
      <c r="I310" s="566"/>
      <c r="J310" s="566"/>
      <c r="K310" s="566"/>
      <c r="L310" s="566"/>
      <c r="M310" s="566"/>
      <c r="N310" s="566"/>
      <c r="O310" s="566"/>
      <c r="P310" s="566"/>
      <c r="Q310" s="566"/>
      <c r="R310" s="566"/>
      <c r="S310" s="566"/>
      <c r="T310" s="566"/>
      <c r="U310" s="566"/>
      <c r="V310" s="566"/>
      <c r="W310" s="566"/>
      <c r="X310" s="566"/>
      <c r="Y310" s="566"/>
      <c r="Z310" s="566"/>
      <c r="AA310" s="566"/>
      <c r="AB310" s="566"/>
      <c r="AC310" s="566"/>
      <c r="AD310" s="566"/>
      <c r="AE310" s="566"/>
      <c r="AF310" s="566"/>
      <c r="AG310" s="566"/>
      <c r="AH310" s="566"/>
      <c r="AI310" s="566"/>
      <c r="AJ310" s="566"/>
      <c r="AK310" s="566"/>
      <c r="AL310" s="566"/>
      <c r="AM310" s="566"/>
      <c r="AN310" s="566"/>
      <c r="AO310" s="566"/>
    </row>
    <row r="311" spans="2:41" x14ac:dyDescent="0.15">
      <c r="B311" s="567">
        <v>-3</v>
      </c>
      <c r="C311" s="566">
        <v>4.4292237442922378E-2</v>
      </c>
      <c r="D311" s="566"/>
      <c r="E311" s="566"/>
      <c r="F311" s="566"/>
      <c r="G311" s="566"/>
      <c r="H311" s="566"/>
      <c r="I311" s="566"/>
      <c r="J311" s="566"/>
      <c r="K311" s="566"/>
      <c r="L311" s="566"/>
      <c r="M311" s="566"/>
      <c r="N311" s="566"/>
      <c r="O311" s="566"/>
      <c r="P311" s="566"/>
      <c r="Q311" s="566"/>
      <c r="R311" s="566"/>
      <c r="S311" s="566"/>
      <c r="T311" s="566"/>
      <c r="U311" s="566"/>
      <c r="V311" s="566"/>
      <c r="W311" s="566"/>
      <c r="X311" s="566"/>
      <c r="Y311" s="566"/>
      <c r="Z311" s="566"/>
      <c r="AA311" s="566"/>
      <c r="AB311" s="566"/>
      <c r="AC311" s="566"/>
      <c r="AD311" s="566"/>
      <c r="AE311" s="566"/>
      <c r="AF311" s="566"/>
      <c r="AG311" s="566"/>
      <c r="AH311" s="566"/>
      <c r="AI311" s="566"/>
      <c r="AJ311" s="566"/>
      <c r="AK311" s="566"/>
      <c r="AL311" s="566"/>
      <c r="AM311" s="566"/>
      <c r="AN311" s="566"/>
      <c r="AO311" s="566"/>
    </row>
    <row r="312" spans="2:41" x14ac:dyDescent="0.15">
      <c r="B312" s="567">
        <v>-2</v>
      </c>
      <c r="C312" s="566">
        <v>7.1689497716894979E-2</v>
      </c>
      <c r="D312" s="566"/>
      <c r="E312" s="566"/>
      <c r="F312" s="566"/>
      <c r="G312" s="566"/>
      <c r="H312" s="566"/>
      <c r="I312" s="566"/>
      <c r="J312" s="566"/>
      <c r="K312" s="566"/>
      <c r="L312" s="566"/>
      <c r="M312" s="566"/>
      <c r="N312" s="566"/>
      <c r="O312" s="566"/>
      <c r="P312" s="566"/>
      <c r="Q312" s="566"/>
      <c r="R312" s="566"/>
      <c r="S312" s="566"/>
      <c r="T312" s="566"/>
      <c r="U312" s="566"/>
      <c r="V312" s="566"/>
      <c r="W312" s="566"/>
      <c r="X312" s="566"/>
      <c r="Y312" s="566"/>
      <c r="Z312" s="566"/>
      <c r="AA312" s="566"/>
      <c r="AB312" s="566"/>
      <c r="AC312" s="566"/>
      <c r="AD312" s="566"/>
      <c r="AE312" s="566"/>
      <c r="AF312" s="566"/>
      <c r="AG312" s="566"/>
      <c r="AH312" s="566"/>
      <c r="AI312" s="566"/>
      <c r="AJ312" s="566"/>
      <c r="AK312" s="566"/>
      <c r="AL312" s="566"/>
      <c r="AM312" s="566"/>
      <c r="AN312" s="566"/>
      <c r="AO312" s="566"/>
    </row>
    <row r="313" spans="2:41" x14ac:dyDescent="0.15">
      <c r="B313" s="567">
        <v>-1</v>
      </c>
      <c r="C313" s="566">
        <v>0.10148401826484019</v>
      </c>
      <c r="D313" s="566"/>
      <c r="E313" s="566"/>
      <c r="F313" s="566"/>
      <c r="G313" s="566"/>
      <c r="H313" s="566"/>
      <c r="I313" s="566"/>
      <c r="J313" s="566"/>
      <c r="K313" s="566"/>
      <c r="L313" s="566"/>
      <c r="M313" s="566"/>
      <c r="N313" s="566"/>
      <c r="O313" s="566"/>
      <c r="P313" s="566"/>
      <c r="Q313" s="566"/>
      <c r="R313" s="566"/>
      <c r="S313" s="566"/>
      <c r="T313" s="566"/>
      <c r="U313" s="566"/>
      <c r="V313" s="566"/>
      <c r="W313" s="566"/>
      <c r="X313" s="566"/>
      <c r="Y313" s="566"/>
      <c r="Z313" s="566"/>
      <c r="AA313" s="566"/>
      <c r="AB313" s="566"/>
      <c r="AC313" s="566"/>
      <c r="AD313" s="566"/>
      <c r="AE313" s="566"/>
      <c r="AF313" s="566"/>
      <c r="AG313" s="566"/>
      <c r="AH313" s="566"/>
      <c r="AI313" s="566"/>
      <c r="AJ313" s="566"/>
      <c r="AK313" s="566"/>
      <c r="AL313" s="566"/>
      <c r="AM313" s="566"/>
      <c r="AN313" s="566"/>
      <c r="AO313" s="566"/>
    </row>
    <row r="314" spans="2:41" x14ac:dyDescent="0.15">
      <c r="B314" s="567">
        <v>0</v>
      </c>
      <c r="C314" s="566">
        <v>0.14212328767123289</v>
      </c>
      <c r="D314" s="566"/>
      <c r="E314" s="566"/>
      <c r="F314" s="566"/>
      <c r="G314" s="566"/>
      <c r="H314" s="566"/>
      <c r="I314" s="566"/>
      <c r="J314" s="566"/>
      <c r="K314" s="566"/>
      <c r="L314" s="566"/>
      <c r="M314" s="566"/>
      <c r="N314" s="566"/>
      <c r="O314" s="566"/>
      <c r="P314" s="566"/>
      <c r="Q314" s="566"/>
      <c r="R314" s="566"/>
      <c r="S314" s="566"/>
      <c r="T314" s="566"/>
      <c r="U314" s="566"/>
      <c r="V314" s="566"/>
      <c r="W314" s="566"/>
      <c r="X314" s="566"/>
      <c r="Y314" s="566"/>
      <c r="Z314" s="566"/>
      <c r="AA314" s="566"/>
      <c r="AB314" s="566"/>
      <c r="AC314" s="566"/>
      <c r="AD314" s="566"/>
      <c r="AE314" s="566"/>
      <c r="AF314" s="566"/>
      <c r="AG314" s="566"/>
      <c r="AH314" s="566"/>
      <c r="AI314" s="566"/>
      <c r="AJ314" s="566"/>
      <c r="AK314" s="566"/>
      <c r="AL314" s="566"/>
      <c r="AM314" s="566"/>
      <c r="AN314" s="566"/>
      <c r="AO314" s="566"/>
    </row>
    <row r="315" spans="2:41" x14ac:dyDescent="0.15">
      <c r="B315" s="567">
        <v>1</v>
      </c>
      <c r="C315" s="566">
        <v>0.1636986301369863</v>
      </c>
      <c r="D315" s="566"/>
      <c r="E315" s="566"/>
      <c r="F315" s="566"/>
      <c r="G315" s="566"/>
      <c r="H315" s="566"/>
      <c r="I315" s="566"/>
      <c r="J315" s="566"/>
      <c r="K315" s="566"/>
      <c r="L315" s="566"/>
      <c r="M315" s="566"/>
      <c r="N315" s="566"/>
      <c r="O315" s="566"/>
      <c r="P315" s="566"/>
      <c r="Q315" s="566"/>
      <c r="R315" s="566"/>
      <c r="S315" s="566"/>
      <c r="T315" s="566"/>
      <c r="U315" s="566"/>
      <c r="V315" s="566"/>
      <c r="W315" s="566"/>
      <c r="X315" s="566"/>
      <c r="Y315" s="566"/>
      <c r="Z315" s="566"/>
      <c r="AA315" s="566"/>
      <c r="AB315" s="566"/>
      <c r="AC315" s="566"/>
      <c r="AD315" s="566"/>
      <c r="AE315" s="566"/>
      <c r="AF315" s="566"/>
      <c r="AG315" s="566"/>
      <c r="AH315" s="566"/>
      <c r="AI315" s="566"/>
      <c r="AJ315" s="566"/>
      <c r="AK315" s="566"/>
      <c r="AL315" s="566"/>
      <c r="AM315" s="566"/>
      <c r="AN315" s="566"/>
      <c r="AO315" s="566"/>
    </row>
    <row r="316" spans="2:41" x14ac:dyDescent="0.15">
      <c r="B316" s="567">
        <v>2</v>
      </c>
      <c r="C316" s="566">
        <v>0.20742009132420092</v>
      </c>
      <c r="D316" s="566"/>
      <c r="E316" s="566"/>
      <c r="F316" s="566"/>
      <c r="G316" s="566"/>
      <c r="H316" s="566"/>
      <c r="I316" s="566"/>
      <c r="J316" s="566"/>
      <c r="K316" s="566"/>
      <c r="L316" s="566"/>
      <c r="M316" s="566"/>
      <c r="N316" s="566"/>
      <c r="O316" s="566"/>
      <c r="P316" s="566"/>
      <c r="Q316" s="566"/>
      <c r="R316" s="566"/>
      <c r="S316" s="566"/>
      <c r="T316" s="566"/>
      <c r="U316" s="566"/>
      <c r="V316" s="566"/>
      <c r="W316" s="566"/>
      <c r="X316" s="566"/>
      <c r="Y316" s="566"/>
      <c r="Z316" s="566"/>
      <c r="AA316" s="566"/>
      <c r="AB316" s="566"/>
      <c r="AC316" s="566"/>
      <c r="AD316" s="566"/>
      <c r="AE316" s="566"/>
      <c r="AF316" s="566"/>
      <c r="AG316" s="566"/>
      <c r="AH316" s="566"/>
      <c r="AI316" s="566"/>
      <c r="AJ316" s="566"/>
      <c r="AK316" s="566"/>
      <c r="AL316" s="566"/>
      <c r="AM316" s="566"/>
      <c r="AN316" s="566"/>
      <c r="AO316" s="566"/>
    </row>
    <row r="317" spans="2:41" x14ac:dyDescent="0.15">
      <c r="B317" s="567">
        <v>3</v>
      </c>
      <c r="C317" s="566">
        <v>0.26221461187214612</v>
      </c>
      <c r="D317" s="566"/>
      <c r="E317" s="566"/>
      <c r="F317" s="566"/>
      <c r="G317" s="566"/>
      <c r="H317" s="566"/>
      <c r="I317" s="566"/>
      <c r="J317" s="566"/>
      <c r="K317" s="566"/>
      <c r="L317" s="566"/>
      <c r="M317" s="566"/>
      <c r="N317" s="566"/>
      <c r="O317" s="566"/>
      <c r="P317" s="566"/>
      <c r="Q317" s="566"/>
      <c r="R317" s="566"/>
      <c r="S317" s="566"/>
      <c r="T317" s="566"/>
      <c r="U317" s="566"/>
      <c r="V317" s="566"/>
      <c r="W317" s="566"/>
      <c r="X317" s="566"/>
      <c r="Y317" s="566"/>
      <c r="Z317" s="566"/>
      <c r="AA317" s="566"/>
      <c r="AB317" s="566"/>
      <c r="AC317" s="566"/>
      <c r="AD317" s="566"/>
      <c r="AE317" s="566"/>
      <c r="AF317" s="566"/>
      <c r="AG317" s="566"/>
      <c r="AH317" s="566"/>
      <c r="AI317" s="566"/>
      <c r="AJ317" s="566"/>
      <c r="AK317" s="566"/>
      <c r="AL317" s="566"/>
      <c r="AM317" s="566"/>
      <c r="AN317" s="566"/>
      <c r="AO317" s="566"/>
    </row>
    <row r="318" spans="2:41" x14ac:dyDescent="0.15">
      <c r="B318" s="567">
        <v>4</v>
      </c>
      <c r="C318" s="566">
        <v>0.31358447488584473</v>
      </c>
      <c r="D318" s="566"/>
      <c r="E318" s="566"/>
      <c r="F318" s="566"/>
      <c r="G318" s="566"/>
      <c r="H318" s="566"/>
      <c r="I318" s="566"/>
      <c r="J318" s="566"/>
      <c r="K318" s="566"/>
      <c r="L318" s="566"/>
      <c r="M318" s="566"/>
      <c r="N318" s="566"/>
      <c r="O318" s="566"/>
      <c r="P318" s="566"/>
      <c r="Q318" s="566"/>
      <c r="R318" s="566"/>
      <c r="S318" s="566"/>
      <c r="T318" s="566"/>
      <c r="U318" s="566"/>
      <c r="V318" s="566"/>
      <c r="W318" s="566"/>
      <c r="X318" s="566"/>
      <c r="Y318" s="566"/>
      <c r="Z318" s="566"/>
      <c r="AA318" s="566"/>
      <c r="AB318" s="566"/>
      <c r="AC318" s="566"/>
      <c r="AD318" s="566"/>
      <c r="AE318" s="566"/>
      <c r="AF318" s="566"/>
      <c r="AG318" s="566"/>
      <c r="AH318" s="566"/>
      <c r="AI318" s="566"/>
      <c r="AJ318" s="566"/>
      <c r="AK318" s="566"/>
      <c r="AL318" s="566"/>
      <c r="AM318" s="566"/>
      <c r="AN318" s="566"/>
      <c r="AO318" s="566"/>
    </row>
    <row r="319" spans="2:41" x14ac:dyDescent="0.15">
      <c r="B319" s="567">
        <v>5</v>
      </c>
      <c r="C319" s="566">
        <v>0.36598173515981736</v>
      </c>
      <c r="D319" s="566"/>
      <c r="E319" s="566"/>
      <c r="F319" s="566"/>
      <c r="G319" s="566"/>
      <c r="H319" s="566"/>
      <c r="I319" s="566"/>
      <c r="J319" s="566"/>
      <c r="K319" s="566"/>
      <c r="L319" s="566"/>
      <c r="M319" s="566"/>
      <c r="N319" s="566"/>
      <c r="O319" s="566"/>
      <c r="P319" s="566"/>
      <c r="Q319" s="566"/>
      <c r="R319" s="566"/>
      <c r="S319" s="566"/>
      <c r="T319" s="566"/>
      <c r="U319" s="566"/>
      <c r="V319" s="566"/>
      <c r="W319" s="566"/>
      <c r="X319" s="566"/>
      <c r="Y319" s="566"/>
      <c r="Z319" s="566"/>
      <c r="AA319" s="566"/>
      <c r="AB319" s="566"/>
      <c r="AC319" s="566"/>
      <c r="AD319" s="566"/>
      <c r="AE319" s="566"/>
      <c r="AF319" s="566"/>
      <c r="AG319" s="566"/>
      <c r="AH319" s="566"/>
      <c r="AI319" s="566"/>
      <c r="AJ319" s="566"/>
      <c r="AK319" s="566"/>
      <c r="AL319" s="566"/>
      <c r="AM319" s="566"/>
      <c r="AN319" s="566"/>
      <c r="AO319" s="566"/>
    </row>
    <row r="320" spans="2:41" x14ac:dyDescent="0.15">
      <c r="B320" s="567">
        <v>6</v>
      </c>
      <c r="C320" s="566">
        <v>0.39086757990867582</v>
      </c>
      <c r="D320" s="566"/>
      <c r="E320" s="566"/>
      <c r="F320" s="566"/>
      <c r="G320" s="566"/>
      <c r="H320" s="566"/>
      <c r="I320" s="566"/>
      <c r="J320" s="566"/>
      <c r="K320" s="566"/>
      <c r="L320" s="566"/>
      <c r="M320" s="566"/>
      <c r="N320" s="566"/>
      <c r="O320" s="566"/>
      <c r="P320" s="566"/>
      <c r="Q320" s="566"/>
      <c r="R320" s="566"/>
      <c r="S320" s="566"/>
      <c r="T320" s="566"/>
      <c r="U320" s="566"/>
      <c r="V320" s="566"/>
      <c r="W320" s="566"/>
      <c r="X320" s="566"/>
      <c r="Y320" s="566"/>
      <c r="Z320" s="566"/>
      <c r="AA320" s="566"/>
      <c r="AB320" s="566"/>
      <c r="AC320" s="566"/>
      <c r="AD320" s="566"/>
      <c r="AE320" s="566"/>
      <c r="AF320" s="566"/>
      <c r="AG320" s="566"/>
      <c r="AH320" s="566"/>
      <c r="AI320" s="566"/>
      <c r="AJ320" s="566"/>
      <c r="AK320" s="566"/>
      <c r="AL320" s="566"/>
      <c r="AM320" s="566"/>
      <c r="AN320" s="566"/>
      <c r="AO320" s="566"/>
    </row>
    <row r="321" spans="2:41" x14ac:dyDescent="0.15">
      <c r="B321" s="567">
        <v>7</v>
      </c>
      <c r="C321" s="566">
        <v>0.44315068493150683</v>
      </c>
      <c r="D321" s="566"/>
      <c r="E321" s="566"/>
      <c r="F321" s="566"/>
      <c r="G321" s="566"/>
      <c r="H321" s="566"/>
      <c r="I321" s="566"/>
      <c r="J321" s="566"/>
      <c r="K321" s="566"/>
      <c r="L321" s="566"/>
      <c r="M321" s="566"/>
      <c r="N321" s="566"/>
      <c r="O321" s="566"/>
      <c r="P321" s="566"/>
      <c r="Q321" s="566"/>
      <c r="R321" s="566"/>
      <c r="S321" s="566"/>
      <c r="T321" s="566"/>
      <c r="U321" s="566"/>
      <c r="V321" s="566"/>
      <c r="W321" s="566"/>
      <c r="X321" s="566"/>
      <c r="Y321" s="566"/>
      <c r="Z321" s="566"/>
      <c r="AA321" s="566"/>
      <c r="AB321" s="566"/>
      <c r="AC321" s="566"/>
      <c r="AD321" s="566"/>
      <c r="AE321" s="566"/>
      <c r="AF321" s="566"/>
      <c r="AG321" s="566"/>
      <c r="AH321" s="566"/>
      <c r="AI321" s="566"/>
      <c r="AJ321" s="566"/>
      <c r="AK321" s="566"/>
      <c r="AL321" s="566"/>
      <c r="AM321" s="566"/>
      <c r="AN321" s="566"/>
      <c r="AO321" s="566"/>
    </row>
    <row r="322" spans="2:41" x14ac:dyDescent="0.15">
      <c r="B322" s="567">
        <v>8</v>
      </c>
      <c r="C322" s="566">
        <v>0.49166666666666664</v>
      </c>
      <c r="D322" s="566"/>
      <c r="E322" s="566"/>
      <c r="F322" s="566"/>
      <c r="G322" s="566"/>
      <c r="H322" s="566"/>
      <c r="I322" s="566"/>
      <c r="J322" s="566"/>
      <c r="K322" s="566"/>
      <c r="L322" s="566"/>
      <c r="M322" s="566"/>
      <c r="N322" s="566"/>
      <c r="O322" s="566"/>
      <c r="P322" s="566"/>
      <c r="Q322" s="566"/>
      <c r="R322" s="566"/>
      <c r="S322" s="566"/>
      <c r="T322" s="566"/>
      <c r="U322" s="566"/>
      <c r="V322" s="566"/>
      <c r="W322" s="566"/>
      <c r="X322" s="566"/>
      <c r="Y322" s="566"/>
      <c r="Z322" s="566"/>
      <c r="AA322" s="566"/>
      <c r="AB322" s="566"/>
      <c r="AC322" s="566"/>
      <c r="AD322" s="566"/>
      <c r="AE322" s="566"/>
      <c r="AF322" s="566"/>
      <c r="AG322" s="566"/>
      <c r="AH322" s="566"/>
      <c r="AI322" s="566"/>
      <c r="AJ322" s="566"/>
      <c r="AK322" s="566"/>
      <c r="AL322" s="566"/>
      <c r="AM322" s="566"/>
      <c r="AN322" s="566"/>
      <c r="AO322" s="566"/>
    </row>
    <row r="323" spans="2:41" x14ac:dyDescent="0.15">
      <c r="B323" s="567">
        <v>9</v>
      </c>
      <c r="C323" s="566">
        <v>0.54166666666666663</v>
      </c>
      <c r="D323" s="566"/>
      <c r="E323" s="566"/>
      <c r="F323" s="566"/>
      <c r="G323" s="566"/>
      <c r="H323" s="566"/>
      <c r="I323" s="566"/>
      <c r="J323" s="566"/>
      <c r="K323" s="566"/>
      <c r="L323" s="566"/>
      <c r="M323" s="566"/>
      <c r="N323" s="566"/>
      <c r="O323" s="566"/>
      <c r="P323" s="566"/>
      <c r="Q323" s="566"/>
      <c r="R323" s="566"/>
      <c r="S323" s="566"/>
      <c r="T323" s="566"/>
      <c r="U323" s="566"/>
      <c r="V323" s="566"/>
      <c r="W323" s="566"/>
      <c r="X323" s="566"/>
      <c r="Y323" s="566"/>
      <c r="Z323" s="566"/>
      <c r="AA323" s="566"/>
      <c r="AB323" s="566"/>
      <c r="AC323" s="566"/>
      <c r="AD323" s="566"/>
      <c r="AE323" s="566"/>
      <c r="AF323" s="566"/>
      <c r="AG323" s="566"/>
      <c r="AH323" s="566"/>
      <c r="AI323" s="566"/>
      <c r="AJ323" s="566"/>
      <c r="AK323" s="566"/>
      <c r="AL323" s="566"/>
      <c r="AM323" s="566"/>
      <c r="AN323" s="566"/>
      <c r="AO323" s="566"/>
    </row>
    <row r="324" spans="2:41" x14ac:dyDescent="0.15">
      <c r="B324" s="567">
        <v>10</v>
      </c>
      <c r="C324" s="566">
        <v>0.59041095890410955</v>
      </c>
      <c r="D324" s="566"/>
      <c r="E324" s="566"/>
      <c r="F324" s="566"/>
      <c r="G324" s="566"/>
      <c r="H324" s="566"/>
      <c r="I324" s="566"/>
      <c r="J324" s="566"/>
      <c r="K324" s="566"/>
      <c r="L324" s="566"/>
      <c r="M324" s="566"/>
      <c r="N324" s="566"/>
      <c r="O324" s="566"/>
      <c r="P324" s="566"/>
      <c r="Q324" s="566"/>
      <c r="R324" s="566"/>
      <c r="S324" s="566"/>
      <c r="T324" s="566"/>
      <c r="U324" s="566"/>
      <c r="V324" s="566"/>
      <c r="W324" s="566"/>
      <c r="X324" s="566"/>
      <c r="Y324" s="566"/>
      <c r="Z324" s="566"/>
      <c r="AA324" s="566"/>
      <c r="AB324" s="566"/>
      <c r="AC324" s="566"/>
      <c r="AD324" s="566"/>
      <c r="AE324" s="566"/>
      <c r="AF324" s="566"/>
      <c r="AG324" s="566"/>
      <c r="AH324" s="566"/>
      <c r="AI324" s="566"/>
      <c r="AJ324" s="566"/>
      <c r="AK324" s="566"/>
      <c r="AL324" s="566"/>
      <c r="AM324" s="566"/>
      <c r="AN324" s="566"/>
      <c r="AO324" s="566"/>
    </row>
    <row r="325" spans="2:41" x14ac:dyDescent="0.15">
      <c r="B325" s="567">
        <v>11</v>
      </c>
      <c r="C325" s="566">
        <v>0.61289954337899544</v>
      </c>
      <c r="D325" s="566"/>
      <c r="E325" s="566"/>
      <c r="F325" s="566"/>
      <c r="G325" s="566"/>
      <c r="H325" s="566"/>
      <c r="I325" s="566"/>
      <c r="J325" s="566"/>
      <c r="K325" s="566"/>
      <c r="L325" s="566"/>
      <c r="M325" s="566"/>
      <c r="N325" s="566"/>
      <c r="O325" s="566"/>
      <c r="P325" s="566"/>
      <c r="Q325" s="566"/>
      <c r="R325" s="566"/>
      <c r="S325" s="566"/>
      <c r="T325" s="566"/>
      <c r="U325" s="566"/>
      <c r="V325" s="566"/>
      <c r="W325" s="566"/>
      <c r="X325" s="566"/>
      <c r="Y325" s="566"/>
      <c r="Z325" s="566"/>
      <c r="AA325" s="566"/>
      <c r="AB325" s="566"/>
      <c r="AC325" s="566"/>
      <c r="AD325" s="566"/>
      <c r="AE325" s="566"/>
      <c r="AF325" s="566"/>
      <c r="AG325" s="566"/>
      <c r="AH325" s="566"/>
      <c r="AI325" s="566"/>
      <c r="AJ325" s="566"/>
      <c r="AK325" s="566"/>
      <c r="AL325" s="566"/>
      <c r="AM325" s="566"/>
      <c r="AN325" s="566"/>
      <c r="AO325" s="566"/>
    </row>
    <row r="326" spans="2:41" x14ac:dyDescent="0.15">
      <c r="B326" s="567">
        <v>12</v>
      </c>
      <c r="C326" s="566">
        <v>0.65890410958904111</v>
      </c>
      <c r="D326" s="566"/>
      <c r="E326" s="566"/>
      <c r="F326" s="566"/>
      <c r="G326" s="566"/>
      <c r="H326" s="566"/>
      <c r="I326" s="566"/>
      <c r="J326" s="566"/>
      <c r="K326" s="566"/>
      <c r="L326" s="566"/>
      <c r="M326" s="566"/>
      <c r="N326" s="566"/>
      <c r="O326" s="566"/>
      <c r="P326" s="566"/>
      <c r="Q326" s="566"/>
      <c r="R326" s="566"/>
      <c r="S326" s="566"/>
      <c r="T326" s="566"/>
      <c r="U326" s="566"/>
      <c r="V326" s="566"/>
      <c r="W326" s="566"/>
      <c r="X326" s="566"/>
      <c r="Y326" s="566"/>
      <c r="Z326" s="566"/>
      <c r="AA326" s="566"/>
      <c r="AB326" s="566"/>
      <c r="AC326" s="566"/>
      <c r="AD326" s="566"/>
      <c r="AE326" s="566"/>
      <c r="AF326" s="566"/>
      <c r="AG326" s="566"/>
      <c r="AH326" s="566"/>
      <c r="AI326" s="566"/>
      <c r="AJ326" s="566"/>
      <c r="AK326" s="566"/>
      <c r="AL326" s="566"/>
      <c r="AM326" s="566"/>
      <c r="AN326" s="566"/>
      <c r="AO326" s="566"/>
    </row>
    <row r="327" spans="2:41" x14ac:dyDescent="0.15">
      <c r="B327" s="567">
        <v>13</v>
      </c>
      <c r="C327" s="566">
        <v>0.70742009132420092</v>
      </c>
      <c r="D327" s="566"/>
      <c r="E327" s="566"/>
      <c r="F327" s="566"/>
      <c r="G327" s="566"/>
      <c r="H327" s="566"/>
      <c r="I327" s="566"/>
      <c r="J327" s="566"/>
      <c r="K327" s="566"/>
      <c r="L327" s="566"/>
      <c r="M327" s="566"/>
      <c r="N327" s="566"/>
      <c r="O327" s="566"/>
      <c r="P327" s="566"/>
      <c r="Q327" s="566"/>
      <c r="R327" s="566"/>
      <c r="S327" s="566"/>
      <c r="T327" s="566"/>
      <c r="U327" s="566"/>
      <c r="V327" s="566"/>
      <c r="W327" s="566"/>
      <c r="X327" s="566"/>
      <c r="Y327" s="566"/>
      <c r="Z327" s="566"/>
      <c r="AA327" s="566"/>
      <c r="AB327" s="566"/>
      <c r="AC327" s="566"/>
      <c r="AD327" s="566"/>
      <c r="AE327" s="566"/>
      <c r="AF327" s="566"/>
      <c r="AG327" s="566"/>
      <c r="AH327" s="566"/>
      <c r="AI327" s="566"/>
      <c r="AJ327" s="566"/>
      <c r="AK327" s="566"/>
      <c r="AL327" s="566"/>
      <c r="AM327" s="566"/>
      <c r="AN327" s="566"/>
      <c r="AO327" s="566"/>
    </row>
    <row r="328" spans="2:41" x14ac:dyDescent="0.15">
      <c r="B328" s="567">
        <v>14</v>
      </c>
      <c r="C328" s="566">
        <v>0.75582191780821917</v>
      </c>
      <c r="D328" s="566"/>
      <c r="E328" s="566"/>
      <c r="F328" s="566"/>
      <c r="G328" s="566"/>
      <c r="H328" s="566"/>
      <c r="I328" s="566"/>
      <c r="J328" s="566"/>
      <c r="K328" s="566"/>
      <c r="L328" s="566"/>
      <c r="M328" s="566"/>
      <c r="N328" s="566"/>
      <c r="O328" s="566"/>
      <c r="P328" s="566"/>
      <c r="Q328" s="566"/>
      <c r="R328" s="566"/>
      <c r="S328" s="566"/>
      <c r="T328" s="566"/>
      <c r="U328" s="566"/>
      <c r="V328" s="566"/>
      <c r="W328" s="566"/>
      <c r="X328" s="566"/>
      <c r="Y328" s="566"/>
      <c r="Z328" s="566"/>
      <c r="AA328" s="566"/>
      <c r="AB328" s="566"/>
      <c r="AC328" s="566"/>
      <c r="AD328" s="566"/>
      <c r="AE328" s="566"/>
      <c r="AF328" s="566"/>
      <c r="AG328" s="566"/>
      <c r="AH328" s="566"/>
      <c r="AI328" s="566"/>
      <c r="AJ328" s="566"/>
      <c r="AK328" s="566"/>
      <c r="AL328" s="566"/>
      <c r="AM328" s="566"/>
      <c r="AN328" s="566"/>
      <c r="AO328" s="566"/>
    </row>
    <row r="329" spans="2:41" x14ac:dyDescent="0.15">
      <c r="B329" s="567">
        <v>15</v>
      </c>
      <c r="C329" s="566">
        <v>0.79965753424657537</v>
      </c>
      <c r="D329" s="566"/>
      <c r="E329" s="566"/>
      <c r="F329" s="566"/>
      <c r="G329" s="566"/>
      <c r="H329" s="566"/>
      <c r="I329" s="566"/>
      <c r="J329" s="566"/>
      <c r="K329" s="566"/>
      <c r="L329" s="566"/>
      <c r="M329" s="566"/>
      <c r="N329" s="566"/>
      <c r="O329" s="566"/>
      <c r="P329" s="566"/>
      <c r="Q329" s="566"/>
      <c r="R329" s="566"/>
      <c r="S329" s="566"/>
      <c r="T329" s="566"/>
      <c r="U329" s="566"/>
      <c r="V329" s="566"/>
      <c r="W329" s="566"/>
      <c r="X329" s="566"/>
      <c r="Y329" s="566"/>
      <c r="Z329" s="566"/>
      <c r="AA329" s="566"/>
      <c r="AB329" s="566"/>
      <c r="AC329" s="566"/>
      <c r="AD329" s="566"/>
      <c r="AE329" s="566"/>
      <c r="AF329" s="566"/>
      <c r="AG329" s="566"/>
      <c r="AH329" s="566"/>
      <c r="AI329" s="566"/>
      <c r="AJ329" s="566"/>
      <c r="AK329" s="566"/>
      <c r="AL329" s="566"/>
      <c r="AM329" s="566"/>
      <c r="AN329" s="566"/>
      <c r="AO329" s="566"/>
    </row>
    <row r="330" spans="2:41" x14ac:dyDescent="0.15">
      <c r="B330" s="567">
        <v>16</v>
      </c>
      <c r="C330" s="566">
        <v>0.8238584474885845</v>
      </c>
      <c r="D330" s="566"/>
      <c r="E330" s="566"/>
      <c r="F330" s="566"/>
      <c r="G330" s="566"/>
      <c r="H330" s="566"/>
      <c r="I330" s="566"/>
      <c r="J330" s="566"/>
      <c r="K330" s="566"/>
      <c r="L330" s="566"/>
      <c r="M330" s="566"/>
      <c r="N330" s="566"/>
      <c r="O330" s="566"/>
      <c r="P330" s="566"/>
      <c r="Q330" s="566"/>
      <c r="R330" s="566"/>
      <c r="S330" s="566"/>
      <c r="T330" s="566"/>
      <c r="U330" s="566"/>
      <c r="V330" s="566"/>
      <c r="W330" s="566"/>
      <c r="X330" s="566"/>
      <c r="Y330" s="566"/>
      <c r="Z330" s="566"/>
      <c r="AA330" s="566"/>
      <c r="AB330" s="566"/>
      <c r="AC330" s="566"/>
      <c r="AD330" s="566"/>
      <c r="AE330" s="566"/>
      <c r="AF330" s="566"/>
      <c r="AG330" s="566"/>
      <c r="AH330" s="566"/>
      <c r="AI330" s="566"/>
      <c r="AJ330" s="566"/>
      <c r="AK330" s="566"/>
      <c r="AL330" s="566"/>
      <c r="AM330" s="566"/>
      <c r="AN330" s="566"/>
      <c r="AO330" s="566"/>
    </row>
    <row r="331" spans="2:41" x14ac:dyDescent="0.15">
      <c r="B331" s="567">
        <v>17</v>
      </c>
      <c r="C331" s="566">
        <v>0.86335616438356166</v>
      </c>
      <c r="D331" s="566"/>
      <c r="E331" s="566"/>
      <c r="F331" s="566"/>
      <c r="G331" s="566"/>
      <c r="H331" s="566"/>
      <c r="I331" s="566"/>
      <c r="J331" s="566"/>
      <c r="K331" s="566"/>
      <c r="L331" s="566"/>
      <c r="M331" s="566"/>
      <c r="N331" s="566"/>
      <c r="O331" s="566"/>
      <c r="P331" s="566"/>
      <c r="Q331" s="566"/>
      <c r="R331" s="566"/>
      <c r="S331" s="566"/>
      <c r="T331" s="566"/>
      <c r="U331" s="566"/>
      <c r="V331" s="566"/>
      <c r="W331" s="566"/>
      <c r="X331" s="566"/>
      <c r="Y331" s="566"/>
      <c r="Z331" s="566"/>
      <c r="AA331" s="566"/>
      <c r="AB331" s="566"/>
      <c r="AC331" s="566"/>
      <c r="AD331" s="566"/>
      <c r="AE331" s="566"/>
      <c r="AF331" s="566"/>
      <c r="AG331" s="566"/>
      <c r="AH331" s="566"/>
      <c r="AI331" s="566"/>
      <c r="AJ331" s="566"/>
      <c r="AK331" s="566"/>
      <c r="AL331" s="566"/>
      <c r="AM331" s="566"/>
      <c r="AN331" s="566"/>
      <c r="AO331" s="566"/>
    </row>
    <row r="332" spans="2:41" x14ac:dyDescent="0.15">
      <c r="B332" s="567">
        <v>18</v>
      </c>
      <c r="C332" s="566">
        <v>0.8987442922374429</v>
      </c>
      <c r="D332" s="566"/>
      <c r="E332" s="566"/>
      <c r="F332" s="566"/>
      <c r="G332" s="566"/>
      <c r="H332" s="566"/>
      <c r="I332" s="566"/>
      <c r="J332" s="566"/>
      <c r="K332" s="566"/>
      <c r="L332" s="566"/>
      <c r="M332" s="566"/>
      <c r="N332" s="566"/>
      <c r="O332" s="566"/>
      <c r="P332" s="566"/>
      <c r="Q332" s="566"/>
      <c r="R332" s="566"/>
      <c r="S332" s="566"/>
      <c r="T332" s="566"/>
      <c r="U332" s="566"/>
      <c r="V332" s="566"/>
      <c r="W332" s="566"/>
      <c r="X332" s="566"/>
      <c r="Y332" s="566"/>
      <c r="Z332" s="566"/>
      <c r="AA332" s="566"/>
      <c r="AB332" s="566"/>
      <c r="AC332" s="566"/>
      <c r="AD332" s="566"/>
      <c r="AE332" s="566"/>
      <c r="AF332" s="566"/>
      <c r="AG332" s="566"/>
      <c r="AH332" s="566"/>
      <c r="AI332" s="566"/>
      <c r="AJ332" s="566"/>
      <c r="AK332" s="566"/>
      <c r="AL332" s="566"/>
      <c r="AM332" s="566"/>
      <c r="AN332" s="566"/>
      <c r="AO332" s="566"/>
    </row>
    <row r="333" spans="2:41" x14ac:dyDescent="0.15">
      <c r="B333" s="567">
        <v>19</v>
      </c>
      <c r="C333" s="566">
        <v>0.92625570776255706</v>
      </c>
      <c r="D333" s="566"/>
      <c r="E333" s="566"/>
      <c r="F333" s="566"/>
      <c r="G333" s="566"/>
      <c r="H333" s="566"/>
      <c r="I333" s="566"/>
      <c r="J333" s="566"/>
      <c r="K333" s="566"/>
      <c r="L333" s="566"/>
      <c r="M333" s="566"/>
      <c r="N333" s="566"/>
      <c r="O333" s="566"/>
      <c r="P333" s="566"/>
      <c r="Q333" s="566"/>
      <c r="R333" s="566"/>
      <c r="S333" s="566"/>
      <c r="T333" s="566"/>
      <c r="U333" s="566"/>
      <c r="V333" s="566"/>
      <c r="W333" s="566"/>
      <c r="X333" s="566"/>
      <c r="Y333" s="566"/>
      <c r="Z333" s="566"/>
      <c r="AA333" s="566"/>
      <c r="AB333" s="566"/>
      <c r="AC333" s="566"/>
      <c r="AD333" s="566"/>
      <c r="AE333" s="566"/>
      <c r="AF333" s="566"/>
      <c r="AG333" s="566"/>
      <c r="AH333" s="566"/>
      <c r="AI333" s="566"/>
      <c r="AJ333" s="566"/>
      <c r="AK333" s="566"/>
      <c r="AL333" s="566"/>
      <c r="AM333" s="566"/>
      <c r="AN333" s="566"/>
      <c r="AO333" s="566"/>
    </row>
    <row r="334" spans="2:41" x14ac:dyDescent="0.15">
      <c r="B334" s="567">
        <v>20</v>
      </c>
      <c r="C334" s="566">
        <v>0.9480593607305936</v>
      </c>
      <c r="D334" s="566"/>
      <c r="E334" s="566"/>
      <c r="F334" s="566"/>
      <c r="G334" s="566"/>
      <c r="H334" s="566"/>
      <c r="I334" s="566"/>
      <c r="J334" s="566"/>
      <c r="K334" s="566"/>
      <c r="L334" s="566"/>
      <c r="M334" s="566"/>
      <c r="N334" s="566"/>
      <c r="O334" s="566"/>
      <c r="P334" s="566"/>
      <c r="Q334" s="566"/>
      <c r="R334" s="566"/>
      <c r="S334" s="566"/>
      <c r="T334" s="566"/>
      <c r="U334" s="566"/>
      <c r="V334" s="566"/>
      <c r="W334" s="566"/>
      <c r="X334" s="566"/>
      <c r="Y334" s="566"/>
      <c r="Z334" s="566"/>
      <c r="AA334" s="566"/>
      <c r="AB334" s="566"/>
      <c r="AC334" s="566"/>
      <c r="AD334" s="566"/>
      <c r="AE334" s="566"/>
      <c r="AF334" s="566"/>
      <c r="AG334" s="566"/>
      <c r="AH334" s="566"/>
      <c r="AI334" s="566"/>
      <c r="AJ334" s="566"/>
      <c r="AK334" s="566"/>
      <c r="AL334" s="566"/>
      <c r="AM334" s="566"/>
      <c r="AN334" s="566"/>
      <c r="AO334" s="566"/>
    </row>
    <row r="335" spans="2:41" x14ac:dyDescent="0.15">
      <c r="B335" s="567">
        <v>21</v>
      </c>
      <c r="C335" s="566">
        <v>0.95913242009132416</v>
      </c>
      <c r="D335" s="566"/>
      <c r="E335" s="566"/>
      <c r="F335" s="566"/>
      <c r="G335" s="566"/>
      <c r="H335" s="566"/>
      <c r="I335" s="566"/>
      <c r="J335" s="566"/>
      <c r="K335" s="566"/>
      <c r="L335" s="566"/>
      <c r="M335" s="566"/>
      <c r="N335" s="566"/>
      <c r="O335" s="566"/>
      <c r="P335" s="566"/>
      <c r="Q335" s="566"/>
      <c r="R335" s="566"/>
      <c r="S335" s="566"/>
      <c r="T335" s="566"/>
      <c r="U335" s="566"/>
      <c r="V335" s="566"/>
      <c r="W335" s="566"/>
      <c r="X335" s="566"/>
      <c r="Y335" s="566"/>
      <c r="Z335" s="566"/>
      <c r="AA335" s="566"/>
      <c r="AB335" s="566"/>
      <c r="AC335" s="566"/>
      <c r="AD335" s="566"/>
      <c r="AE335" s="566"/>
      <c r="AF335" s="566"/>
      <c r="AG335" s="566"/>
      <c r="AH335" s="566"/>
      <c r="AI335" s="566"/>
      <c r="AJ335" s="566"/>
      <c r="AK335" s="566"/>
      <c r="AL335" s="566"/>
      <c r="AM335" s="566"/>
      <c r="AN335" s="566"/>
      <c r="AO335" s="566"/>
    </row>
    <row r="336" spans="2:41" x14ac:dyDescent="0.15">
      <c r="B336" s="567">
        <v>22</v>
      </c>
      <c r="C336" s="566">
        <v>0.97454337899543375</v>
      </c>
      <c r="D336" s="566"/>
      <c r="E336" s="566"/>
      <c r="F336" s="566"/>
      <c r="G336" s="566"/>
      <c r="H336" s="566"/>
      <c r="I336" s="566"/>
      <c r="J336" s="566"/>
      <c r="K336" s="566"/>
      <c r="L336" s="566"/>
      <c r="M336" s="566"/>
      <c r="N336" s="566"/>
      <c r="O336" s="566"/>
      <c r="P336" s="566"/>
      <c r="Q336" s="566"/>
      <c r="R336" s="566"/>
      <c r="S336" s="566"/>
      <c r="T336" s="566"/>
      <c r="U336" s="566"/>
      <c r="V336" s="566"/>
      <c r="W336" s="566"/>
      <c r="X336" s="566"/>
      <c r="Y336" s="566"/>
      <c r="Z336" s="566"/>
      <c r="AA336" s="566"/>
      <c r="AB336" s="566"/>
      <c r="AC336" s="566"/>
      <c r="AD336" s="566"/>
      <c r="AE336" s="566"/>
      <c r="AF336" s="566"/>
      <c r="AG336" s="566"/>
      <c r="AH336" s="566"/>
      <c r="AI336" s="566"/>
      <c r="AJ336" s="566"/>
      <c r="AK336" s="566"/>
      <c r="AL336" s="566"/>
      <c r="AM336" s="566"/>
      <c r="AN336" s="566"/>
      <c r="AO336" s="566"/>
    </row>
    <row r="337" spans="2:41" x14ac:dyDescent="0.15">
      <c r="B337" s="567">
        <v>23</v>
      </c>
      <c r="C337" s="566">
        <v>0.98561643835616441</v>
      </c>
      <c r="D337" s="566"/>
      <c r="E337" s="566"/>
      <c r="F337" s="566"/>
      <c r="G337" s="566"/>
      <c r="H337" s="566"/>
      <c r="I337" s="566"/>
      <c r="J337" s="566"/>
      <c r="K337" s="566"/>
      <c r="L337" s="566"/>
      <c r="M337" s="566"/>
      <c r="N337" s="566"/>
      <c r="O337" s="566"/>
      <c r="P337" s="566"/>
      <c r="Q337" s="566"/>
      <c r="R337" s="566"/>
      <c r="S337" s="566"/>
      <c r="T337" s="566"/>
      <c r="U337" s="566"/>
      <c r="V337" s="566"/>
      <c r="W337" s="566"/>
      <c r="X337" s="566"/>
      <c r="Y337" s="566"/>
      <c r="Z337" s="566"/>
      <c r="AA337" s="566"/>
      <c r="AB337" s="566"/>
      <c r="AC337" s="566"/>
      <c r="AD337" s="566"/>
      <c r="AE337" s="566"/>
      <c r="AF337" s="566"/>
      <c r="AG337" s="566"/>
      <c r="AH337" s="566"/>
      <c r="AI337" s="566"/>
      <c r="AJ337" s="566"/>
      <c r="AK337" s="566"/>
      <c r="AL337" s="566"/>
      <c r="AM337" s="566"/>
      <c r="AN337" s="566"/>
      <c r="AO337" s="566"/>
    </row>
    <row r="338" spans="2:41" x14ac:dyDescent="0.15">
      <c r="B338" s="567">
        <v>24</v>
      </c>
      <c r="C338" s="566">
        <v>0.99257990867579904</v>
      </c>
      <c r="D338" s="566"/>
      <c r="E338" s="566"/>
      <c r="F338" s="566"/>
      <c r="G338" s="566"/>
      <c r="H338" s="566"/>
      <c r="I338" s="566"/>
      <c r="J338" s="566"/>
      <c r="K338" s="566"/>
      <c r="L338" s="566"/>
      <c r="M338" s="566"/>
      <c r="N338" s="566"/>
      <c r="O338" s="566"/>
      <c r="P338" s="566"/>
      <c r="Q338" s="566"/>
      <c r="R338" s="566"/>
      <c r="S338" s="566"/>
      <c r="T338" s="566"/>
      <c r="U338" s="566"/>
      <c r="V338" s="566"/>
      <c r="W338" s="566"/>
      <c r="X338" s="566"/>
      <c r="Y338" s="566"/>
      <c r="Z338" s="566"/>
      <c r="AA338" s="566"/>
      <c r="AB338" s="566"/>
      <c r="AC338" s="566"/>
      <c r="AD338" s="566"/>
      <c r="AE338" s="566"/>
      <c r="AF338" s="566"/>
      <c r="AG338" s="566"/>
      <c r="AH338" s="566"/>
      <c r="AI338" s="566"/>
      <c r="AJ338" s="566"/>
      <c r="AK338" s="566"/>
      <c r="AL338" s="566"/>
      <c r="AM338" s="566"/>
      <c r="AN338" s="566"/>
      <c r="AO338" s="566"/>
    </row>
    <row r="339" spans="2:41" x14ac:dyDescent="0.15">
      <c r="B339" s="567">
        <v>25</v>
      </c>
      <c r="C339" s="566">
        <v>0.99589041095890407</v>
      </c>
      <c r="D339" s="566"/>
      <c r="E339" s="566"/>
      <c r="F339" s="566"/>
      <c r="G339" s="566"/>
      <c r="H339" s="566"/>
      <c r="I339" s="566"/>
      <c r="J339" s="566"/>
      <c r="K339" s="566"/>
      <c r="L339" s="566"/>
      <c r="M339" s="566"/>
      <c r="N339" s="566"/>
      <c r="O339" s="566"/>
      <c r="P339" s="566"/>
      <c r="Q339" s="566"/>
      <c r="R339" s="566"/>
      <c r="S339" s="566"/>
      <c r="T339" s="566"/>
      <c r="U339" s="566"/>
      <c r="V339" s="566"/>
      <c r="W339" s="566"/>
      <c r="X339" s="566"/>
      <c r="Y339" s="566"/>
      <c r="Z339" s="566"/>
      <c r="AA339" s="566"/>
      <c r="AB339" s="566"/>
      <c r="AC339" s="566"/>
      <c r="AD339" s="566"/>
      <c r="AE339" s="566"/>
      <c r="AF339" s="566"/>
      <c r="AG339" s="566"/>
      <c r="AH339" s="566"/>
      <c r="AI339" s="566"/>
      <c r="AJ339" s="566"/>
      <c r="AK339" s="566"/>
      <c r="AL339" s="566"/>
      <c r="AM339" s="566"/>
      <c r="AN339" s="566"/>
      <c r="AO339" s="566"/>
    </row>
    <row r="340" spans="2:41" x14ac:dyDescent="0.15">
      <c r="B340" s="567">
        <v>26</v>
      </c>
      <c r="C340" s="566">
        <v>0.99714611872146119</v>
      </c>
      <c r="D340" s="566"/>
      <c r="E340" s="566"/>
      <c r="F340" s="566"/>
      <c r="G340" s="566"/>
      <c r="H340" s="566"/>
      <c r="I340" s="566"/>
      <c r="J340" s="566"/>
      <c r="K340" s="566"/>
      <c r="L340" s="566"/>
      <c r="M340" s="566"/>
      <c r="N340" s="566"/>
      <c r="O340" s="566"/>
      <c r="P340" s="566"/>
      <c r="Q340" s="566"/>
      <c r="R340" s="566"/>
      <c r="S340" s="566"/>
      <c r="T340" s="566"/>
      <c r="U340" s="566"/>
      <c r="V340" s="566"/>
      <c r="W340" s="566"/>
      <c r="X340" s="566"/>
      <c r="Y340" s="566"/>
      <c r="Z340" s="566"/>
      <c r="AA340" s="566"/>
      <c r="AB340" s="566"/>
      <c r="AC340" s="566"/>
      <c r="AD340" s="566"/>
      <c r="AE340" s="566"/>
      <c r="AF340" s="566"/>
      <c r="AG340" s="566"/>
      <c r="AH340" s="566"/>
      <c r="AI340" s="566"/>
      <c r="AJ340" s="566"/>
      <c r="AK340" s="566"/>
      <c r="AL340" s="566"/>
      <c r="AM340" s="566"/>
      <c r="AN340" s="566"/>
      <c r="AO340" s="566"/>
    </row>
    <row r="341" spans="2:41" x14ac:dyDescent="0.15">
      <c r="B341" s="567">
        <v>27</v>
      </c>
      <c r="C341" s="566">
        <v>0.99885844748858443</v>
      </c>
      <c r="D341" s="566"/>
      <c r="E341" s="566"/>
      <c r="F341" s="566"/>
      <c r="G341" s="566"/>
      <c r="H341" s="566"/>
      <c r="I341" s="566"/>
      <c r="J341" s="566"/>
      <c r="K341" s="566"/>
      <c r="L341" s="566"/>
      <c r="M341" s="566"/>
      <c r="N341" s="566"/>
      <c r="O341" s="566"/>
      <c r="P341" s="566"/>
      <c r="Q341" s="566"/>
      <c r="R341" s="566"/>
      <c r="S341" s="566"/>
      <c r="T341" s="566"/>
      <c r="U341" s="566"/>
      <c r="V341" s="566"/>
      <c r="W341" s="566"/>
      <c r="X341" s="566"/>
      <c r="Y341" s="566"/>
      <c r="Z341" s="566"/>
      <c r="AA341" s="566"/>
      <c r="AB341" s="566"/>
      <c r="AC341" s="566"/>
      <c r="AD341" s="566"/>
      <c r="AE341" s="566"/>
      <c r="AF341" s="566"/>
      <c r="AG341" s="566"/>
      <c r="AH341" s="566"/>
      <c r="AI341" s="566"/>
      <c r="AJ341" s="566"/>
      <c r="AK341" s="566"/>
      <c r="AL341" s="566"/>
      <c r="AM341" s="566"/>
      <c r="AN341" s="566"/>
      <c r="AO341" s="566"/>
    </row>
    <row r="342" spans="2:41" x14ac:dyDescent="0.15">
      <c r="B342" s="567">
        <v>28</v>
      </c>
      <c r="C342" s="566">
        <v>0.99965753424657533</v>
      </c>
      <c r="D342" s="566"/>
      <c r="E342" s="566"/>
      <c r="F342" s="566"/>
      <c r="G342" s="566"/>
      <c r="H342" s="566"/>
      <c r="I342" s="566"/>
      <c r="J342" s="566"/>
      <c r="K342" s="566"/>
      <c r="L342" s="566"/>
      <c r="M342" s="566"/>
      <c r="N342" s="566"/>
      <c r="O342" s="566"/>
      <c r="P342" s="566"/>
      <c r="Q342" s="566"/>
      <c r="R342" s="566"/>
      <c r="S342" s="566"/>
      <c r="T342" s="566"/>
      <c r="U342" s="566"/>
      <c r="V342" s="566"/>
      <c r="W342" s="566"/>
      <c r="X342" s="566"/>
      <c r="Y342" s="566"/>
      <c r="Z342" s="566"/>
      <c r="AA342" s="566"/>
      <c r="AB342" s="566"/>
      <c r="AC342" s="566"/>
      <c r="AD342" s="566"/>
      <c r="AE342" s="566"/>
      <c r="AF342" s="566"/>
      <c r="AG342" s="566"/>
      <c r="AH342" s="566"/>
      <c r="AI342" s="566"/>
      <c r="AJ342" s="566"/>
      <c r="AK342" s="566"/>
      <c r="AL342" s="566"/>
      <c r="AM342" s="566"/>
      <c r="AN342" s="566"/>
      <c r="AO342" s="566"/>
    </row>
    <row r="343" spans="2:41" x14ac:dyDescent="0.15">
      <c r="B343" s="567">
        <v>29</v>
      </c>
      <c r="C343" s="566">
        <v>1</v>
      </c>
      <c r="D343" s="566"/>
      <c r="E343" s="566"/>
      <c r="F343" s="566"/>
      <c r="G343" s="566"/>
      <c r="H343" s="566"/>
      <c r="I343" s="566"/>
      <c r="J343" s="566"/>
      <c r="K343" s="566"/>
      <c r="L343" s="566"/>
      <c r="M343" s="566"/>
      <c r="N343" s="566"/>
      <c r="O343" s="566"/>
      <c r="P343" s="566"/>
      <c r="Q343" s="566"/>
      <c r="R343" s="566"/>
      <c r="S343" s="566"/>
      <c r="T343" s="566"/>
      <c r="U343" s="566"/>
      <c r="V343" s="566"/>
      <c r="W343" s="566"/>
      <c r="X343" s="566"/>
      <c r="Y343" s="566"/>
      <c r="Z343" s="566"/>
      <c r="AA343" s="566"/>
      <c r="AB343" s="566"/>
      <c r="AC343" s="566"/>
      <c r="AD343" s="566"/>
      <c r="AE343" s="566"/>
      <c r="AF343" s="566"/>
      <c r="AG343" s="566"/>
      <c r="AH343" s="566"/>
      <c r="AI343" s="566"/>
      <c r="AJ343" s="566"/>
      <c r="AK343" s="566"/>
      <c r="AL343" s="566"/>
      <c r="AM343" s="566"/>
      <c r="AN343" s="566"/>
      <c r="AO343" s="566"/>
    </row>
    <row r="344" spans="2:41" x14ac:dyDescent="0.15">
      <c r="B344" s="567">
        <v>30</v>
      </c>
      <c r="C344" s="566">
        <v>1</v>
      </c>
      <c r="D344" s="566"/>
      <c r="E344" s="566"/>
      <c r="F344" s="566"/>
      <c r="G344" s="566"/>
      <c r="H344" s="566"/>
      <c r="I344" s="566"/>
      <c r="J344" s="566"/>
      <c r="K344" s="566"/>
      <c r="L344" s="566"/>
      <c r="M344" s="566"/>
      <c r="N344" s="566"/>
      <c r="O344" s="566"/>
      <c r="P344" s="566"/>
      <c r="Q344" s="566"/>
      <c r="R344" s="566"/>
      <c r="S344" s="566"/>
      <c r="T344" s="566"/>
      <c r="U344" s="566"/>
      <c r="V344" s="566"/>
      <c r="W344" s="566"/>
      <c r="X344" s="566"/>
      <c r="Y344" s="566"/>
      <c r="Z344" s="566"/>
      <c r="AA344" s="566"/>
      <c r="AB344" s="566"/>
      <c r="AC344" s="566"/>
      <c r="AD344" s="566"/>
      <c r="AE344" s="566"/>
      <c r="AF344" s="566"/>
      <c r="AG344" s="566"/>
      <c r="AH344" s="566"/>
      <c r="AI344" s="566"/>
      <c r="AJ344" s="566"/>
      <c r="AK344" s="566"/>
      <c r="AL344" s="566"/>
      <c r="AM344" s="566"/>
      <c r="AN344" s="566"/>
      <c r="AO344" s="566"/>
    </row>
    <row r="345" spans="2:41" x14ac:dyDescent="0.15">
      <c r="B345" s="567">
        <v>31</v>
      </c>
      <c r="C345" s="566">
        <v>1</v>
      </c>
      <c r="D345" s="566"/>
      <c r="E345" s="566"/>
      <c r="F345" s="566"/>
      <c r="G345" s="566"/>
      <c r="H345" s="566"/>
      <c r="I345" s="566"/>
      <c r="J345" s="566"/>
      <c r="K345" s="566"/>
      <c r="L345" s="566"/>
      <c r="M345" s="566"/>
      <c r="N345" s="566"/>
      <c r="O345" s="566"/>
      <c r="P345" s="566"/>
      <c r="Q345" s="566"/>
      <c r="R345" s="566"/>
      <c r="S345" s="566"/>
      <c r="T345" s="566"/>
      <c r="U345" s="566"/>
      <c r="V345" s="566"/>
      <c r="W345" s="566"/>
      <c r="X345" s="566"/>
      <c r="Y345" s="566"/>
      <c r="Z345" s="566"/>
      <c r="AA345" s="566"/>
      <c r="AB345" s="566"/>
      <c r="AC345" s="566"/>
      <c r="AD345" s="566"/>
      <c r="AE345" s="566"/>
      <c r="AF345" s="566"/>
      <c r="AG345" s="566"/>
      <c r="AH345" s="566"/>
      <c r="AI345" s="566"/>
      <c r="AJ345" s="566"/>
      <c r="AK345" s="566"/>
      <c r="AL345" s="566"/>
      <c r="AM345" s="566"/>
      <c r="AN345" s="566"/>
      <c r="AO345" s="566"/>
    </row>
    <row r="346" spans="2:41" x14ac:dyDescent="0.15">
      <c r="B346" s="567">
        <v>32</v>
      </c>
      <c r="C346" s="566">
        <v>1</v>
      </c>
      <c r="D346" s="566"/>
      <c r="E346" s="566"/>
      <c r="F346" s="566"/>
      <c r="G346" s="566"/>
      <c r="H346" s="566"/>
      <c r="I346" s="566"/>
      <c r="J346" s="566"/>
      <c r="K346" s="566"/>
      <c r="L346" s="566"/>
      <c r="M346" s="566"/>
      <c r="N346" s="566"/>
      <c r="O346" s="566"/>
      <c r="P346" s="566"/>
      <c r="Q346" s="566"/>
      <c r="R346" s="566"/>
      <c r="S346" s="566"/>
      <c r="T346" s="566"/>
      <c r="U346" s="566"/>
      <c r="V346" s="566"/>
      <c r="W346" s="566"/>
      <c r="X346" s="566"/>
      <c r="Y346" s="566"/>
      <c r="Z346" s="566"/>
      <c r="AA346" s="566"/>
      <c r="AB346" s="566"/>
      <c r="AC346" s="566"/>
      <c r="AD346" s="566"/>
      <c r="AE346" s="566"/>
      <c r="AF346" s="566"/>
      <c r="AG346" s="566"/>
      <c r="AH346" s="566"/>
      <c r="AI346" s="566"/>
      <c r="AJ346" s="566"/>
      <c r="AK346" s="566"/>
      <c r="AL346" s="566"/>
      <c r="AM346" s="566"/>
      <c r="AN346" s="566"/>
      <c r="AO346" s="566"/>
    </row>
    <row r="347" spans="2:41" x14ac:dyDescent="0.15">
      <c r="B347" s="567">
        <v>33</v>
      </c>
      <c r="C347" s="566">
        <v>1</v>
      </c>
      <c r="D347" s="566"/>
      <c r="E347" s="566"/>
      <c r="F347" s="566"/>
      <c r="G347" s="566"/>
      <c r="H347" s="566"/>
      <c r="I347" s="566"/>
      <c r="J347" s="566"/>
      <c r="K347" s="566"/>
      <c r="L347" s="566"/>
      <c r="M347" s="566"/>
      <c r="N347" s="566"/>
      <c r="O347" s="566"/>
      <c r="P347" s="566"/>
      <c r="Q347" s="566"/>
      <c r="R347" s="566"/>
      <c r="S347" s="566"/>
      <c r="T347" s="566"/>
      <c r="U347" s="566"/>
      <c r="V347" s="566"/>
      <c r="W347" s="566"/>
      <c r="X347" s="566"/>
      <c r="Y347" s="566"/>
      <c r="Z347" s="566"/>
      <c r="AA347" s="566"/>
      <c r="AB347" s="566"/>
      <c r="AC347" s="566"/>
      <c r="AD347" s="566"/>
      <c r="AE347" s="566"/>
      <c r="AF347" s="566"/>
      <c r="AG347" s="566"/>
      <c r="AH347" s="566"/>
      <c r="AI347" s="566"/>
      <c r="AJ347" s="566"/>
      <c r="AK347" s="566"/>
      <c r="AL347" s="566"/>
      <c r="AM347" s="566"/>
      <c r="AN347" s="566"/>
      <c r="AO347" s="566"/>
    </row>
    <row r="348" spans="2:41" x14ac:dyDescent="0.15">
      <c r="B348" s="567">
        <v>34</v>
      </c>
      <c r="C348" s="566">
        <v>1</v>
      </c>
      <c r="D348" s="566"/>
      <c r="E348" s="566"/>
      <c r="F348" s="566"/>
      <c r="G348" s="566"/>
      <c r="H348" s="566"/>
      <c r="I348" s="566"/>
      <c r="J348" s="566"/>
      <c r="K348" s="566"/>
      <c r="L348" s="566"/>
      <c r="M348" s="566"/>
      <c r="N348" s="566"/>
      <c r="O348" s="566"/>
      <c r="P348" s="566"/>
      <c r="Q348" s="566"/>
      <c r="R348" s="566"/>
      <c r="S348" s="566"/>
      <c r="T348" s="566"/>
      <c r="U348" s="566"/>
      <c r="V348" s="566"/>
      <c r="W348" s="566"/>
      <c r="X348" s="566"/>
      <c r="Y348" s="566"/>
      <c r="Z348" s="566"/>
      <c r="AA348" s="566"/>
      <c r="AB348" s="566"/>
      <c r="AC348" s="566"/>
      <c r="AD348" s="566"/>
      <c r="AE348" s="566"/>
      <c r="AF348" s="566"/>
      <c r="AG348" s="566"/>
      <c r="AH348" s="566"/>
      <c r="AI348" s="566"/>
      <c r="AJ348" s="566"/>
      <c r="AK348" s="566"/>
      <c r="AL348" s="566"/>
      <c r="AM348" s="566"/>
      <c r="AN348" s="566"/>
      <c r="AO348" s="566"/>
    </row>
    <row r="349" spans="2:41" x14ac:dyDescent="0.15">
      <c r="B349" s="567">
        <v>35</v>
      </c>
      <c r="C349" s="566">
        <v>1</v>
      </c>
      <c r="D349" s="566"/>
      <c r="E349" s="566"/>
      <c r="F349" s="566"/>
      <c r="G349" s="566"/>
      <c r="H349" s="566"/>
      <c r="I349" s="566"/>
      <c r="J349" s="566"/>
      <c r="K349" s="566"/>
      <c r="L349" s="566"/>
      <c r="M349" s="566"/>
      <c r="N349" s="566"/>
      <c r="O349" s="566"/>
      <c r="P349" s="566"/>
      <c r="Q349" s="566"/>
      <c r="R349" s="566"/>
      <c r="S349" s="566"/>
      <c r="T349" s="566"/>
      <c r="U349" s="566"/>
      <c r="V349" s="566"/>
      <c r="W349" s="566"/>
      <c r="X349" s="566"/>
      <c r="Y349" s="566"/>
      <c r="Z349" s="566"/>
      <c r="AA349" s="566"/>
      <c r="AB349" s="566"/>
      <c r="AC349" s="566"/>
      <c r="AD349" s="566"/>
      <c r="AE349" s="566"/>
      <c r="AF349" s="566"/>
      <c r="AG349" s="566"/>
      <c r="AH349" s="566"/>
      <c r="AI349" s="566"/>
      <c r="AJ349" s="566"/>
      <c r="AK349" s="566"/>
      <c r="AL349" s="566"/>
      <c r="AM349" s="566"/>
      <c r="AN349" s="566"/>
      <c r="AO349" s="566"/>
    </row>
    <row r="350" spans="2:41" x14ac:dyDescent="0.15">
      <c r="B350" s="567">
        <v>36</v>
      </c>
      <c r="C350" s="566">
        <v>1</v>
      </c>
      <c r="D350" s="566"/>
      <c r="E350" s="566"/>
      <c r="F350" s="566"/>
      <c r="G350" s="566"/>
      <c r="H350" s="566"/>
      <c r="I350" s="566"/>
      <c r="J350" s="566"/>
      <c r="K350" s="566"/>
      <c r="L350" s="566"/>
      <c r="M350" s="566"/>
      <c r="N350" s="566"/>
      <c r="O350" s="566"/>
      <c r="P350" s="566"/>
      <c r="Q350" s="566"/>
      <c r="R350" s="566"/>
      <c r="S350" s="566"/>
      <c r="T350" s="566"/>
      <c r="U350" s="566"/>
      <c r="V350" s="566"/>
      <c r="W350" s="566"/>
      <c r="X350" s="566"/>
      <c r="Y350" s="566"/>
      <c r="Z350" s="566"/>
      <c r="AA350" s="566"/>
      <c r="AB350" s="566"/>
      <c r="AC350" s="566"/>
      <c r="AD350" s="566"/>
      <c r="AE350" s="566"/>
      <c r="AF350" s="566"/>
      <c r="AG350" s="566"/>
      <c r="AH350" s="566"/>
      <c r="AI350" s="566"/>
      <c r="AJ350" s="566"/>
      <c r="AK350" s="566"/>
      <c r="AL350" s="566"/>
      <c r="AM350" s="566"/>
      <c r="AN350" s="566"/>
      <c r="AO350" s="566"/>
    </row>
    <row r="351" spans="2:41" x14ac:dyDescent="0.15">
      <c r="B351" s="567">
        <v>37</v>
      </c>
      <c r="C351" s="566">
        <v>1</v>
      </c>
      <c r="D351" s="566"/>
      <c r="E351" s="566"/>
      <c r="F351" s="566"/>
      <c r="G351" s="566"/>
      <c r="H351" s="566"/>
      <c r="I351" s="566"/>
      <c r="J351" s="566"/>
      <c r="K351" s="566"/>
      <c r="L351" s="566"/>
      <c r="M351" s="566"/>
      <c r="N351" s="566"/>
      <c r="O351" s="566"/>
      <c r="P351" s="566"/>
      <c r="Q351" s="566"/>
      <c r="R351" s="566"/>
      <c r="S351" s="566"/>
      <c r="T351" s="566"/>
      <c r="U351" s="566"/>
      <c r="V351" s="566"/>
      <c r="W351" s="566"/>
      <c r="X351" s="566"/>
      <c r="Y351" s="566"/>
      <c r="Z351" s="566"/>
      <c r="AA351" s="566"/>
      <c r="AB351" s="566"/>
      <c r="AC351" s="566"/>
      <c r="AD351" s="566"/>
      <c r="AE351" s="566"/>
      <c r="AF351" s="566"/>
      <c r="AG351" s="566"/>
      <c r="AH351" s="566"/>
      <c r="AI351" s="566"/>
      <c r="AJ351" s="566"/>
      <c r="AK351" s="566"/>
      <c r="AL351" s="566"/>
      <c r="AM351" s="566"/>
      <c r="AN351" s="566"/>
      <c r="AO351" s="566"/>
    </row>
    <row r="352" spans="2:41" x14ac:dyDescent="0.15">
      <c r="B352" s="567">
        <v>38</v>
      </c>
      <c r="C352" s="566">
        <v>1</v>
      </c>
      <c r="D352" s="566"/>
      <c r="E352" s="566"/>
      <c r="F352" s="566"/>
      <c r="G352" s="566"/>
      <c r="H352" s="566"/>
      <c r="I352" s="566"/>
      <c r="J352" s="566"/>
      <c r="K352" s="566"/>
      <c r="L352" s="566"/>
      <c r="M352" s="566"/>
      <c r="N352" s="566"/>
      <c r="O352" s="566"/>
      <c r="P352" s="566"/>
      <c r="Q352" s="566"/>
      <c r="R352" s="566"/>
      <c r="S352" s="566"/>
      <c r="T352" s="566"/>
      <c r="U352" s="566"/>
      <c r="V352" s="566"/>
      <c r="W352" s="566"/>
      <c r="X352" s="566"/>
      <c r="Y352" s="566"/>
      <c r="Z352" s="566"/>
      <c r="AA352" s="566"/>
      <c r="AB352" s="566"/>
      <c r="AC352" s="566"/>
      <c r="AD352" s="566"/>
      <c r="AE352" s="566"/>
      <c r="AF352" s="566"/>
      <c r="AG352" s="566"/>
      <c r="AH352" s="566"/>
      <c r="AI352" s="566"/>
      <c r="AJ352" s="566"/>
      <c r="AK352" s="566"/>
      <c r="AL352" s="566"/>
      <c r="AM352" s="566"/>
      <c r="AN352" s="566"/>
      <c r="AO352" s="566"/>
    </row>
    <row r="353" spans="2:41" x14ac:dyDescent="0.15">
      <c r="B353" s="567">
        <v>39</v>
      </c>
      <c r="C353" s="566">
        <v>1</v>
      </c>
      <c r="D353" s="566"/>
      <c r="E353" s="566"/>
      <c r="F353" s="566"/>
      <c r="G353" s="566"/>
      <c r="H353" s="566"/>
      <c r="I353" s="566"/>
      <c r="J353" s="566"/>
      <c r="K353" s="566"/>
      <c r="L353" s="566"/>
      <c r="M353" s="566"/>
      <c r="N353" s="566"/>
      <c r="O353" s="566"/>
      <c r="P353" s="566"/>
      <c r="Q353" s="566"/>
      <c r="R353" s="566"/>
      <c r="S353" s="566"/>
      <c r="T353" s="566"/>
      <c r="U353" s="566"/>
      <c r="V353" s="566"/>
      <c r="W353" s="566"/>
      <c r="X353" s="566"/>
      <c r="Y353" s="566"/>
      <c r="Z353" s="566"/>
      <c r="AA353" s="566"/>
      <c r="AB353" s="566"/>
      <c r="AC353" s="566"/>
      <c r="AD353" s="566"/>
      <c r="AE353" s="566"/>
      <c r="AF353" s="566"/>
      <c r="AG353" s="566"/>
      <c r="AH353" s="566"/>
      <c r="AI353" s="566"/>
      <c r="AJ353" s="566"/>
      <c r="AK353" s="566"/>
      <c r="AL353" s="566"/>
      <c r="AM353" s="566"/>
      <c r="AN353" s="566"/>
      <c r="AO353" s="566"/>
    </row>
    <row r="354" spans="2:41" x14ac:dyDescent="0.15">
      <c r="B354" s="568">
        <v>40</v>
      </c>
      <c r="C354" s="566">
        <v>1</v>
      </c>
      <c r="D354" s="566"/>
      <c r="E354" s="566"/>
      <c r="F354" s="566"/>
      <c r="G354" s="566"/>
      <c r="H354" s="566"/>
      <c r="I354" s="566"/>
      <c r="J354" s="566"/>
      <c r="K354" s="566"/>
      <c r="L354" s="566"/>
      <c r="M354" s="566"/>
      <c r="N354" s="566"/>
      <c r="O354" s="566"/>
      <c r="P354" s="566"/>
      <c r="Q354" s="566"/>
      <c r="R354" s="566"/>
      <c r="S354" s="566"/>
      <c r="T354" s="566"/>
      <c r="U354" s="566"/>
      <c r="V354" s="566"/>
      <c r="W354" s="566"/>
      <c r="X354" s="566"/>
      <c r="Y354" s="566"/>
      <c r="Z354" s="566"/>
      <c r="AA354" s="566"/>
      <c r="AB354" s="566"/>
      <c r="AC354" s="566"/>
      <c r="AD354" s="566"/>
      <c r="AE354" s="566"/>
      <c r="AF354" s="566"/>
      <c r="AG354" s="566"/>
      <c r="AH354" s="566"/>
      <c r="AI354" s="566"/>
      <c r="AJ354" s="566"/>
      <c r="AK354" s="566"/>
      <c r="AL354" s="566"/>
      <c r="AM354" s="566"/>
      <c r="AN354" s="566"/>
      <c r="AO354" s="566"/>
    </row>
    <row r="363" spans="2:41" s="563" customFormat="1" ht="14" x14ac:dyDescent="0.15">
      <c r="B363" s="560" t="str" cm="1">
        <f t="array" ref="B363:AO363">TRANSPOSE('Syötä kaupungit KIRJASTOLINKIT!'!$F$1:$F$40)</f>
        <v>MAA 5</v>
      </c>
      <c r="C363" s="564" t="str">
        <v>LAT - Riga</v>
      </c>
      <c r="D363" s="564">
        <v>0</v>
      </c>
      <c r="E363" s="564">
        <v>0</v>
      </c>
      <c r="F363" s="564">
        <v>0</v>
      </c>
      <c r="G363" s="564">
        <v>0</v>
      </c>
      <c r="H363" s="564">
        <v>0</v>
      </c>
      <c r="I363" s="564">
        <v>0</v>
      </c>
      <c r="J363" s="564">
        <v>0</v>
      </c>
      <c r="K363" s="564">
        <v>0</v>
      </c>
      <c r="L363" s="564">
        <v>0</v>
      </c>
      <c r="M363" s="564">
        <v>0</v>
      </c>
      <c r="N363" s="564">
        <v>0</v>
      </c>
      <c r="O363" s="564">
        <v>0</v>
      </c>
      <c r="P363" s="564">
        <v>0</v>
      </c>
      <c r="Q363" s="564">
        <v>0</v>
      </c>
      <c r="R363" s="564">
        <v>0</v>
      </c>
      <c r="S363" s="564">
        <v>0</v>
      </c>
      <c r="T363" s="564">
        <v>0</v>
      </c>
      <c r="U363" s="564">
        <v>0</v>
      </c>
      <c r="V363" s="564">
        <v>0</v>
      </c>
      <c r="W363" s="564">
        <v>0</v>
      </c>
      <c r="X363" s="564">
        <v>0</v>
      </c>
      <c r="Y363" s="564">
        <v>0</v>
      </c>
      <c r="Z363" s="564">
        <v>0</v>
      </c>
      <c r="AA363" s="564">
        <v>0</v>
      </c>
      <c r="AB363" s="564">
        <v>0</v>
      </c>
      <c r="AC363" s="564">
        <v>0</v>
      </c>
      <c r="AD363" s="564">
        <v>0</v>
      </c>
      <c r="AE363" s="564">
        <v>0</v>
      </c>
      <c r="AF363" s="564">
        <v>0</v>
      </c>
      <c r="AG363" s="564">
        <v>0</v>
      </c>
      <c r="AH363" s="564">
        <v>0</v>
      </c>
      <c r="AI363" s="564">
        <v>0</v>
      </c>
      <c r="AJ363" s="564">
        <v>0</v>
      </c>
      <c r="AK363" s="564">
        <v>0</v>
      </c>
      <c r="AL363" s="564">
        <v>0</v>
      </c>
      <c r="AM363" s="564">
        <v>0</v>
      </c>
      <c r="AN363" s="564">
        <v>0</v>
      </c>
      <c r="AO363" s="564">
        <v>0</v>
      </c>
    </row>
    <row r="364" spans="2:41" x14ac:dyDescent="0.15">
      <c r="B364" s="565">
        <v>-40</v>
      </c>
      <c r="C364" s="566">
        <v>0</v>
      </c>
      <c r="D364" s="566"/>
      <c r="E364" s="566"/>
      <c r="F364" s="566"/>
      <c r="G364" s="566"/>
      <c r="H364" s="566"/>
      <c r="I364" s="566"/>
      <c r="J364" s="566"/>
      <c r="K364" s="566"/>
      <c r="L364" s="566"/>
      <c r="M364" s="566"/>
      <c r="N364" s="566"/>
      <c r="O364" s="566"/>
      <c r="P364" s="566"/>
      <c r="Q364" s="566"/>
      <c r="R364" s="566"/>
      <c r="S364" s="566"/>
      <c r="T364" s="566"/>
      <c r="U364" s="566"/>
      <c r="V364" s="566"/>
      <c r="W364" s="566"/>
      <c r="X364" s="566"/>
      <c r="Y364" s="566"/>
      <c r="Z364" s="566"/>
      <c r="AA364" s="566"/>
      <c r="AB364" s="566"/>
      <c r="AC364" s="566"/>
      <c r="AD364" s="566"/>
      <c r="AE364" s="566"/>
      <c r="AF364" s="566"/>
      <c r="AG364" s="566"/>
      <c r="AH364" s="566"/>
      <c r="AI364" s="566"/>
      <c r="AJ364" s="566"/>
      <c r="AK364" s="566"/>
      <c r="AL364" s="566"/>
      <c r="AM364" s="566"/>
      <c r="AN364" s="566"/>
      <c r="AO364" s="566"/>
    </row>
    <row r="365" spans="2:41" x14ac:dyDescent="0.15">
      <c r="B365" s="567">
        <v>-39</v>
      </c>
      <c r="C365" s="566">
        <v>0</v>
      </c>
      <c r="D365" s="566"/>
      <c r="E365" s="566"/>
      <c r="F365" s="566"/>
      <c r="G365" s="566"/>
      <c r="H365" s="566"/>
      <c r="I365" s="566"/>
      <c r="J365" s="566"/>
      <c r="K365" s="566"/>
      <c r="L365" s="566"/>
      <c r="M365" s="566"/>
      <c r="N365" s="566"/>
      <c r="O365" s="566"/>
      <c r="P365" s="566"/>
      <c r="Q365" s="566"/>
      <c r="R365" s="566"/>
      <c r="S365" s="566"/>
      <c r="T365" s="566"/>
      <c r="U365" s="566"/>
      <c r="V365" s="566"/>
      <c r="W365" s="566"/>
      <c r="X365" s="566"/>
      <c r="Y365" s="566"/>
      <c r="Z365" s="566"/>
      <c r="AA365" s="566"/>
      <c r="AB365" s="566"/>
      <c r="AC365" s="566"/>
      <c r="AD365" s="566"/>
      <c r="AE365" s="566"/>
      <c r="AF365" s="566"/>
      <c r="AG365" s="566"/>
      <c r="AH365" s="566"/>
      <c r="AI365" s="566"/>
      <c r="AJ365" s="566"/>
      <c r="AK365" s="566"/>
      <c r="AL365" s="566"/>
      <c r="AM365" s="566"/>
      <c r="AN365" s="566"/>
      <c r="AO365" s="566"/>
    </row>
    <row r="366" spans="2:41" x14ac:dyDescent="0.15">
      <c r="B366" s="567">
        <v>-38</v>
      </c>
      <c r="C366" s="566">
        <v>0</v>
      </c>
      <c r="D366" s="566"/>
      <c r="E366" s="566"/>
      <c r="F366" s="566"/>
      <c r="G366" s="566"/>
      <c r="H366" s="566"/>
      <c r="I366" s="566"/>
      <c r="J366" s="566"/>
      <c r="K366" s="566"/>
      <c r="L366" s="566"/>
      <c r="M366" s="566"/>
      <c r="N366" s="566"/>
      <c r="O366" s="566"/>
      <c r="P366" s="566"/>
      <c r="Q366" s="566"/>
      <c r="R366" s="566"/>
      <c r="S366" s="566"/>
      <c r="T366" s="566"/>
      <c r="U366" s="566"/>
      <c r="V366" s="566"/>
      <c r="W366" s="566"/>
      <c r="X366" s="566"/>
      <c r="Y366" s="566"/>
      <c r="Z366" s="566"/>
      <c r="AA366" s="566"/>
      <c r="AB366" s="566"/>
      <c r="AC366" s="566"/>
      <c r="AD366" s="566"/>
      <c r="AE366" s="566"/>
      <c r="AF366" s="566"/>
      <c r="AG366" s="566"/>
      <c r="AH366" s="566"/>
      <c r="AI366" s="566"/>
      <c r="AJ366" s="566"/>
      <c r="AK366" s="566"/>
      <c r="AL366" s="566"/>
      <c r="AM366" s="566"/>
      <c r="AN366" s="566"/>
      <c r="AO366" s="566"/>
    </row>
    <row r="367" spans="2:41" x14ac:dyDescent="0.15">
      <c r="B367" s="567">
        <v>-37</v>
      </c>
      <c r="C367" s="566">
        <v>0</v>
      </c>
      <c r="D367" s="566"/>
      <c r="E367" s="566"/>
      <c r="F367" s="566"/>
      <c r="G367" s="566"/>
      <c r="H367" s="566"/>
      <c r="I367" s="566"/>
      <c r="J367" s="566"/>
      <c r="K367" s="566"/>
      <c r="L367" s="566"/>
      <c r="M367" s="566"/>
      <c r="N367" s="566"/>
      <c r="O367" s="566"/>
      <c r="P367" s="566"/>
      <c r="Q367" s="566"/>
      <c r="R367" s="566"/>
      <c r="S367" s="566"/>
      <c r="T367" s="566"/>
      <c r="U367" s="566"/>
      <c r="V367" s="566"/>
      <c r="W367" s="566"/>
      <c r="X367" s="566"/>
      <c r="Y367" s="566"/>
      <c r="Z367" s="566"/>
      <c r="AA367" s="566"/>
      <c r="AB367" s="566"/>
      <c r="AC367" s="566"/>
      <c r="AD367" s="566"/>
      <c r="AE367" s="566"/>
      <c r="AF367" s="566"/>
      <c r="AG367" s="566"/>
      <c r="AH367" s="566"/>
      <c r="AI367" s="566"/>
      <c r="AJ367" s="566"/>
      <c r="AK367" s="566"/>
      <c r="AL367" s="566"/>
      <c r="AM367" s="566"/>
      <c r="AN367" s="566"/>
      <c r="AO367" s="566"/>
    </row>
    <row r="368" spans="2:41" x14ac:dyDescent="0.15">
      <c r="B368" s="567">
        <v>-36</v>
      </c>
      <c r="C368" s="566">
        <v>0</v>
      </c>
      <c r="D368" s="566"/>
      <c r="E368" s="566"/>
      <c r="F368" s="566"/>
      <c r="G368" s="566"/>
      <c r="H368" s="566"/>
      <c r="I368" s="566"/>
      <c r="J368" s="566"/>
      <c r="K368" s="566"/>
      <c r="L368" s="566"/>
      <c r="M368" s="566"/>
      <c r="N368" s="566"/>
      <c r="O368" s="566"/>
      <c r="P368" s="566"/>
      <c r="Q368" s="566"/>
      <c r="R368" s="566"/>
      <c r="S368" s="566"/>
      <c r="T368" s="566"/>
      <c r="U368" s="566"/>
      <c r="V368" s="566"/>
      <c r="W368" s="566"/>
      <c r="X368" s="566"/>
      <c r="Y368" s="566"/>
      <c r="Z368" s="566"/>
      <c r="AA368" s="566"/>
      <c r="AB368" s="566"/>
      <c r="AC368" s="566"/>
      <c r="AD368" s="566"/>
      <c r="AE368" s="566"/>
      <c r="AF368" s="566"/>
      <c r="AG368" s="566"/>
      <c r="AH368" s="566"/>
      <c r="AI368" s="566"/>
      <c r="AJ368" s="566"/>
      <c r="AK368" s="566"/>
      <c r="AL368" s="566"/>
      <c r="AM368" s="566"/>
      <c r="AN368" s="566"/>
      <c r="AO368" s="566"/>
    </row>
    <row r="369" spans="2:41" x14ac:dyDescent="0.15">
      <c r="B369" s="567">
        <v>-35</v>
      </c>
      <c r="C369" s="566">
        <v>0</v>
      </c>
      <c r="D369" s="566"/>
      <c r="E369" s="566"/>
      <c r="F369" s="566"/>
      <c r="G369" s="566"/>
      <c r="H369" s="566"/>
      <c r="I369" s="566"/>
      <c r="J369" s="566"/>
      <c r="K369" s="566"/>
      <c r="L369" s="566"/>
      <c r="M369" s="566"/>
      <c r="N369" s="566"/>
      <c r="O369" s="566"/>
      <c r="P369" s="566"/>
      <c r="Q369" s="566"/>
      <c r="R369" s="566"/>
      <c r="S369" s="566"/>
      <c r="T369" s="566"/>
      <c r="U369" s="566"/>
      <c r="V369" s="566"/>
      <c r="W369" s="566"/>
      <c r="X369" s="566"/>
      <c r="Y369" s="566"/>
      <c r="Z369" s="566"/>
      <c r="AA369" s="566"/>
      <c r="AB369" s="566"/>
      <c r="AC369" s="566"/>
      <c r="AD369" s="566"/>
      <c r="AE369" s="566"/>
      <c r="AF369" s="566"/>
      <c r="AG369" s="566"/>
      <c r="AH369" s="566"/>
      <c r="AI369" s="566"/>
      <c r="AJ369" s="566"/>
      <c r="AK369" s="566"/>
      <c r="AL369" s="566"/>
      <c r="AM369" s="566"/>
      <c r="AN369" s="566"/>
      <c r="AO369" s="566"/>
    </row>
    <row r="370" spans="2:41" x14ac:dyDescent="0.15">
      <c r="B370" s="567">
        <v>-34</v>
      </c>
      <c r="C370" s="566">
        <v>0</v>
      </c>
      <c r="D370" s="566"/>
      <c r="E370" s="566"/>
      <c r="F370" s="566"/>
      <c r="G370" s="566"/>
      <c r="H370" s="566"/>
      <c r="I370" s="566"/>
      <c r="J370" s="566"/>
      <c r="K370" s="566"/>
      <c r="L370" s="566"/>
      <c r="M370" s="566"/>
      <c r="N370" s="566"/>
      <c r="O370" s="566"/>
      <c r="P370" s="566"/>
      <c r="Q370" s="566"/>
      <c r="R370" s="566"/>
      <c r="S370" s="566"/>
      <c r="T370" s="566"/>
      <c r="U370" s="566"/>
      <c r="V370" s="566"/>
      <c r="W370" s="566"/>
      <c r="X370" s="566"/>
      <c r="Y370" s="566"/>
      <c r="Z370" s="566"/>
      <c r="AA370" s="566"/>
      <c r="AB370" s="566"/>
      <c r="AC370" s="566"/>
      <c r="AD370" s="566"/>
      <c r="AE370" s="566"/>
      <c r="AF370" s="566"/>
      <c r="AG370" s="566"/>
      <c r="AH370" s="566"/>
      <c r="AI370" s="566"/>
      <c r="AJ370" s="566"/>
      <c r="AK370" s="566"/>
      <c r="AL370" s="566"/>
      <c r="AM370" s="566"/>
      <c r="AN370" s="566"/>
      <c r="AO370" s="566"/>
    </row>
    <row r="371" spans="2:41" x14ac:dyDescent="0.15">
      <c r="B371" s="567">
        <v>-33</v>
      </c>
      <c r="C371" s="566">
        <v>0</v>
      </c>
      <c r="D371" s="566"/>
      <c r="E371" s="566"/>
      <c r="F371" s="566"/>
      <c r="G371" s="566"/>
      <c r="H371" s="566"/>
      <c r="I371" s="566"/>
      <c r="J371" s="566"/>
      <c r="K371" s="566"/>
      <c r="L371" s="566"/>
      <c r="M371" s="566"/>
      <c r="N371" s="566"/>
      <c r="O371" s="566"/>
      <c r="P371" s="566"/>
      <c r="Q371" s="566"/>
      <c r="R371" s="566"/>
      <c r="S371" s="566"/>
      <c r="T371" s="566"/>
      <c r="U371" s="566"/>
      <c r="V371" s="566"/>
      <c r="W371" s="566"/>
      <c r="X371" s="566"/>
      <c r="Y371" s="566"/>
      <c r="Z371" s="566"/>
      <c r="AA371" s="566"/>
      <c r="AB371" s="566"/>
      <c r="AC371" s="566"/>
      <c r="AD371" s="566"/>
      <c r="AE371" s="566"/>
      <c r="AF371" s="566"/>
      <c r="AG371" s="566"/>
      <c r="AH371" s="566"/>
      <c r="AI371" s="566"/>
      <c r="AJ371" s="566"/>
      <c r="AK371" s="566"/>
      <c r="AL371" s="566"/>
      <c r="AM371" s="566"/>
      <c r="AN371" s="566"/>
      <c r="AO371" s="566"/>
    </row>
    <row r="372" spans="2:41" x14ac:dyDescent="0.15">
      <c r="B372" s="567">
        <v>-32</v>
      </c>
      <c r="C372" s="566">
        <v>0</v>
      </c>
      <c r="D372" s="566"/>
      <c r="E372" s="566"/>
      <c r="F372" s="566"/>
      <c r="G372" s="566"/>
      <c r="H372" s="566"/>
      <c r="I372" s="566"/>
      <c r="J372" s="566"/>
      <c r="K372" s="566"/>
      <c r="L372" s="566"/>
      <c r="M372" s="566"/>
      <c r="N372" s="566"/>
      <c r="O372" s="566"/>
      <c r="P372" s="566"/>
      <c r="Q372" s="566"/>
      <c r="R372" s="566"/>
      <c r="S372" s="566"/>
      <c r="T372" s="566"/>
      <c r="U372" s="566"/>
      <c r="V372" s="566"/>
      <c r="W372" s="566"/>
      <c r="X372" s="566"/>
      <c r="Y372" s="566"/>
      <c r="Z372" s="566"/>
      <c r="AA372" s="566"/>
      <c r="AB372" s="566"/>
      <c r="AC372" s="566"/>
      <c r="AD372" s="566"/>
      <c r="AE372" s="566"/>
      <c r="AF372" s="566"/>
      <c r="AG372" s="566"/>
      <c r="AH372" s="566"/>
      <c r="AI372" s="566"/>
      <c r="AJ372" s="566"/>
      <c r="AK372" s="566"/>
      <c r="AL372" s="566"/>
      <c r="AM372" s="566"/>
      <c r="AN372" s="566"/>
      <c r="AO372" s="566"/>
    </row>
    <row r="373" spans="2:41" x14ac:dyDescent="0.15">
      <c r="B373" s="567">
        <v>-31</v>
      </c>
      <c r="C373" s="566">
        <v>0</v>
      </c>
      <c r="D373" s="566"/>
      <c r="E373" s="566"/>
      <c r="F373" s="566"/>
      <c r="G373" s="566"/>
      <c r="H373" s="566"/>
      <c r="I373" s="566"/>
      <c r="J373" s="566"/>
      <c r="K373" s="566"/>
      <c r="L373" s="566"/>
      <c r="M373" s="566"/>
      <c r="N373" s="566"/>
      <c r="O373" s="566"/>
      <c r="P373" s="566"/>
      <c r="Q373" s="566"/>
      <c r="R373" s="566"/>
      <c r="S373" s="566"/>
      <c r="T373" s="566"/>
      <c r="U373" s="566"/>
      <c r="V373" s="566"/>
      <c r="W373" s="566"/>
      <c r="X373" s="566"/>
      <c r="Y373" s="566"/>
      <c r="Z373" s="566"/>
      <c r="AA373" s="566"/>
      <c r="AB373" s="566"/>
      <c r="AC373" s="566"/>
      <c r="AD373" s="566"/>
      <c r="AE373" s="566"/>
      <c r="AF373" s="566"/>
      <c r="AG373" s="566"/>
      <c r="AH373" s="566"/>
      <c r="AI373" s="566"/>
      <c r="AJ373" s="566"/>
      <c r="AK373" s="566"/>
      <c r="AL373" s="566"/>
      <c r="AM373" s="566"/>
      <c r="AN373" s="566"/>
      <c r="AO373" s="566"/>
    </row>
    <row r="374" spans="2:41" x14ac:dyDescent="0.15">
      <c r="B374" s="567">
        <v>-30</v>
      </c>
      <c r="C374" s="566">
        <v>0</v>
      </c>
      <c r="D374" s="566"/>
      <c r="E374" s="566"/>
      <c r="F374" s="566"/>
      <c r="G374" s="566"/>
      <c r="H374" s="566"/>
      <c r="I374" s="566"/>
      <c r="J374" s="566"/>
      <c r="K374" s="566"/>
      <c r="L374" s="566"/>
      <c r="M374" s="566"/>
      <c r="N374" s="566"/>
      <c r="O374" s="566"/>
      <c r="P374" s="566"/>
      <c r="Q374" s="566"/>
      <c r="R374" s="566"/>
      <c r="S374" s="566"/>
      <c r="T374" s="566"/>
      <c r="U374" s="566"/>
      <c r="V374" s="566"/>
      <c r="W374" s="566"/>
      <c r="X374" s="566"/>
      <c r="Y374" s="566"/>
      <c r="Z374" s="566"/>
      <c r="AA374" s="566"/>
      <c r="AB374" s="566"/>
      <c r="AC374" s="566"/>
      <c r="AD374" s="566"/>
      <c r="AE374" s="566"/>
      <c r="AF374" s="566"/>
      <c r="AG374" s="566"/>
      <c r="AH374" s="566"/>
      <c r="AI374" s="566"/>
      <c r="AJ374" s="566"/>
      <c r="AK374" s="566"/>
      <c r="AL374" s="566"/>
      <c r="AM374" s="566"/>
      <c r="AN374" s="566"/>
      <c r="AO374" s="566"/>
    </row>
    <row r="375" spans="2:41" x14ac:dyDescent="0.15">
      <c r="B375" s="567">
        <v>-29</v>
      </c>
      <c r="C375" s="566">
        <v>0</v>
      </c>
      <c r="D375" s="566"/>
      <c r="E375" s="566"/>
      <c r="F375" s="566"/>
      <c r="G375" s="566"/>
      <c r="H375" s="566"/>
      <c r="I375" s="566"/>
      <c r="J375" s="566"/>
      <c r="K375" s="566"/>
      <c r="L375" s="566"/>
      <c r="M375" s="566"/>
      <c r="N375" s="566"/>
      <c r="O375" s="566"/>
      <c r="P375" s="566"/>
      <c r="Q375" s="566"/>
      <c r="R375" s="566"/>
      <c r="S375" s="566"/>
      <c r="T375" s="566"/>
      <c r="U375" s="566"/>
      <c r="V375" s="566"/>
      <c r="W375" s="566"/>
      <c r="X375" s="566"/>
      <c r="Y375" s="566"/>
      <c r="Z375" s="566"/>
      <c r="AA375" s="566"/>
      <c r="AB375" s="566"/>
      <c r="AC375" s="566"/>
      <c r="AD375" s="566"/>
      <c r="AE375" s="566"/>
      <c r="AF375" s="566"/>
      <c r="AG375" s="566"/>
      <c r="AH375" s="566"/>
      <c r="AI375" s="566"/>
      <c r="AJ375" s="566"/>
      <c r="AK375" s="566"/>
      <c r="AL375" s="566"/>
      <c r="AM375" s="566"/>
      <c r="AN375" s="566"/>
      <c r="AO375" s="566"/>
    </row>
    <row r="376" spans="2:41" x14ac:dyDescent="0.15">
      <c r="B376" s="567">
        <v>-28</v>
      </c>
      <c r="C376" s="566">
        <v>0</v>
      </c>
      <c r="D376" s="566"/>
      <c r="E376" s="566"/>
      <c r="F376" s="566"/>
      <c r="G376" s="566"/>
      <c r="H376" s="566"/>
      <c r="I376" s="566"/>
      <c r="J376" s="566"/>
      <c r="K376" s="566"/>
      <c r="L376" s="566"/>
      <c r="M376" s="566"/>
      <c r="N376" s="566"/>
      <c r="O376" s="566"/>
      <c r="P376" s="566"/>
      <c r="Q376" s="566"/>
      <c r="R376" s="566"/>
      <c r="S376" s="566"/>
      <c r="T376" s="566"/>
      <c r="U376" s="566"/>
      <c r="V376" s="566"/>
      <c r="W376" s="566"/>
      <c r="X376" s="566"/>
      <c r="Y376" s="566"/>
      <c r="Z376" s="566"/>
      <c r="AA376" s="566"/>
      <c r="AB376" s="566"/>
      <c r="AC376" s="566"/>
      <c r="AD376" s="566"/>
      <c r="AE376" s="566"/>
      <c r="AF376" s="566"/>
      <c r="AG376" s="566"/>
      <c r="AH376" s="566"/>
      <c r="AI376" s="566"/>
      <c r="AJ376" s="566"/>
      <c r="AK376" s="566"/>
      <c r="AL376" s="566"/>
      <c r="AM376" s="566"/>
      <c r="AN376" s="566"/>
      <c r="AO376" s="566"/>
    </row>
    <row r="377" spans="2:41" x14ac:dyDescent="0.15">
      <c r="B377" s="567">
        <v>-27</v>
      </c>
      <c r="C377" s="566">
        <v>0</v>
      </c>
      <c r="D377" s="566"/>
      <c r="E377" s="566"/>
      <c r="F377" s="566"/>
      <c r="G377" s="566"/>
      <c r="H377" s="566"/>
      <c r="I377" s="566"/>
      <c r="J377" s="566"/>
      <c r="K377" s="566"/>
      <c r="L377" s="566"/>
      <c r="M377" s="566"/>
      <c r="N377" s="566"/>
      <c r="O377" s="566"/>
      <c r="P377" s="566"/>
      <c r="Q377" s="566"/>
      <c r="R377" s="566"/>
      <c r="S377" s="566"/>
      <c r="T377" s="566"/>
      <c r="U377" s="566"/>
      <c r="V377" s="566"/>
      <c r="W377" s="566"/>
      <c r="X377" s="566"/>
      <c r="Y377" s="566"/>
      <c r="Z377" s="566"/>
      <c r="AA377" s="566"/>
      <c r="AB377" s="566"/>
      <c r="AC377" s="566"/>
      <c r="AD377" s="566"/>
      <c r="AE377" s="566"/>
      <c r="AF377" s="566"/>
      <c r="AG377" s="566"/>
      <c r="AH377" s="566"/>
      <c r="AI377" s="566"/>
      <c r="AJ377" s="566"/>
      <c r="AK377" s="566"/>
      <c r="AL377" s="566"/>
      <c r="AM377" s="566"/>
      <c r="AN377" s="566"/>
      <c r="AO377" s="566"/>
    </row>
    <row r="378" spans="2:41" x14ac:dyDescent="0.15">
      <c r="B378" s="567">
        <v>-26</v>
      </c>
      <c r="C378" s="566">
        <v>0</v>
      </c>
      <c r="D378" s="566"/>
      <c r="E378" s="566"/>
      <c r="F378" s="566"/>
      <c r="G378" s="566"/>
      <c r="H378" s="566"/>
      <c r="I378" s="566"/>
      <c r="J378" s="566"/>
      <c r="K378" s="566"/>
      <c r="L378" s="566"/>
      <c r="M378" s="566"/>
      <c r="N378" s="566"/>
      <c r="O378" s="566"/>
      <c r="P378" s="566"/>
      <c r="Q378" s="566"/>
      <c r="R378" s="566"/>
      <c r="S378" s="566"/>
      <c r="T378" s="566"/>
      <c r="U378" s="566"/>
      <c r="V378" s="566"/>
      <c r="W378" s="566"/>
      <c r="X378" s="566"/>
      <c r="Y378" s="566"/>
      <c r="Z378" s="566"/>
      <c r="AA378" s="566"/>
      <c r="AB378" s="566"/>
      <c r="AC378" s="566"/>
      <c r="AD378" s="566"/>
      <c r="AE378" s="566"/>
      <c r="AF378" s="566"/>
      <c r="AG378" s="566"/>
      <c r="AH378" s="566"/>
      <c r="AI378" s="566"/>
      <c r="AJ378" s="566"/>
      <c r="AK378" s="566"/>
      <c r="AL378" s="566"/>
      <c r="AM378" s="566"/>
      <c r="AN378" s="566"/>
      <c r="AO378" s="566"/>
    </row>
    <row r="379" spans="2:41" x14ac:dyDescent="0.15">
      <c r="B379" s="567">
        <v>-25</v>
      </c>
      <c r="C379" s="566">
        <v>0</v>
      </c>
      <c r="D379" s="566"/>
      <c r="E379" s="566"/>
      <c r="F379" s="566"/>
      <c r="G379" s="566"/>
      <c r="H379" s="566"/>
      <c r="I379" s="566"/>
      <c r="J379" s="566"/>
      <c r="K379" s="566"/>
      <c r="L379" s="566"/>
      <c r="M379" s="566"/>
      <c r="N379" s="566"/>
      <c r="O379" s="566"/>
      <c r="P379" s="566"/>
      <c r="Q379" s="566"/>
      <c r="R379" s="566"/>
      <c r="S379" s="566"/>
      <c r="T379" s="566"/>
      <c r="U379" s="566"/>
      <c r="V379" s="566"/>
      <c r="W379" s="566"/>
      <c r="X379" s="566"/>
      <c r="Y379" s="566"/>
      <c r="Z379" s="566"/>
      <c r="AA379" s="566"/>
      <c r="AB379" s="566"/>
      <c r="AC379" s="566"/>
      <c r="AD379" s="566"/>
      <c r="AE379" s="566"/>
      <c r="AF379" s="566"/>
      <c r="AG379" s="566"/>
      <c r="AH379" s="566"/>
      <c r="AI379" s="566"/>
      <c r="AJ379" s="566"/>
      <c r="AK379" s="566"/>
      <c r="AL379" s="566"/>
      <c r="AM379" s="566"/>
      <c r="AN379" s="566"/>
      <c r="AO379" s="566"/>
    </row>
    <row r="380" spans="2:41" x14ac:dyDescent="0.15">
      <c r="B380" s="567">
        <v>-24</v>
      </c>
      <c r="C380" s="566">
        <v>0</v>
      </c>
      <c r="D380" s="566"/>
      <c r="E380" s="566"/>
      <c r="F380" s="566"/>
      <c r="G380" s="566"/>
      <c r="H380" s="566"/>
      <c r="I380" s="566"/>
      <c r="J380" s="566"/>
      <c r="K380" s="566"/>
      <c r="L380" s="566"/>
      <c r="M380" s="566"/>
      <c r="N380" s="566"/>
      <c r="O380" s="566"/>
      <c r="P380" s="566"/>
      <c r="Q380" s="566"/>
      <c r="R380" s="566"/>
      <c r="S380" s="566"/>
      <c r="T380" s="566"/>
      <c r="U380" s="566"/>
      <c r="V380" s="566"/>
      <c r="W380" s="566"/>
      <c r="X380" s="566"/>
      <c r="Y380" s="566"/>
      <c r="Z380" s="566"/>
      <c r="AA380" s="566"/>
      <c r="AB380" s="566"/>
      <c r="AC380" s="566"/>
      <c r="AD380" s="566"/>
      <c r="AE380" s="566"/>
      <c r="AF380" s="566"/>
      <c r="AG380" s="566"/>
      <c r="AH380" s="566"/>
      <c r="AI380" s="566"/>
      <c r="AJ380" s="566"/>
      <c r="AK380" s="566"/>
      <c r="AL380" s="566"/>
      <c r="AM380" s="566"/>
      <c r="AN380" s="566"/>
      <c r="AO380" s="566"/>
    </row>
    <row r="381" spans="2:41" x14ac:dyDescent="0.15">
      <c r="B381" s="567">
        <v>-23</v>
      </c>
      <c r="C381" s="566">
        <v>0</v>
      </c>
      <c r="D381" s="566"/>
      <c r="E381" s="566"/>
      <c r="F381" s="566"/>
      <c r="G381" s="566"/>
      <c r="H381" s="566"/>
      <c r="I381" s="566"/>
      <c r="J381" s="566"/>
      <c r="K381" s="566"/>
      <c r="L381" s="566"/>
      <c r="M381" s="566"/>
      <c r="N381" s="566"/>
      <c r="O381" s="566"/>
      <c r="P381" s="566"/>
      <c r="Q381" s="566"/>
      <c r="R381" s="566"/>
      <c r="S381" s="566"/>
      <c r="T381" s="566"/>
      <c r="U381" s="566"/>
      <c r="V381" s="566"/>
      <c r="W381" s="566"/>
      <c r="X381" s="566"/>
      <c r="Y381" s="566"/>
      <c r="Z381" s="566"/>
      <c r="AA381" s="566"/>
      <c r="AB381" s="566"/>
      <c r="AC381" s="566"/>
      <c r="AD381" s="566"/>
      <c r="AE381" s="566"/>
      <c r="AF381" s="566"/>
      <c r="AG381" s="566"/>
      <c r="AH381" s="566"/>
      <c r="AI381" s="566"/>
      <c r="AJ381" s="566"/>
      <c r="AK381" s="566"/>
      <c r="AL381" s="566"/>
      <c r="AM381" s="566"/>
      <c r="AN381" s="566"/>
      <c r="AO381" s="566"/>
    </row>
    <row r="382" spans="2:41" x14ac:dyDescent="0.15">
      <c r="B382" s="567">
        <v>-22</v>
      </c>
      <c r="C382" s="566">
        <v>0</v>
      </c>
      <c r="D382" s="566"/>
      <c r="E382" s="566"/>
      <c r="F382" s="566"/>
      <c r="G382" s="566"/>
      <c r="H382" s="566"/>
      <c r="I382" s="566"/>
      <c r="J382" s="566"/>
      <c r="K382" s="566"/>
      <c r="L382" s="566"/>
      <c r="M382" s="566"/>
      <c r="N382" s="566"/>
      <c r="O382" s="566"/>
      <c r="P382" s="566"/>
      <c r="Q382" s="566"/>
      <c r="R382" s="566"/>
      <c r="S382" s="566"/>
      <c r="T382" s="566"/>
      <c r="U382" s="566"/>
      <c r="V382" s="566"/>
      <c r="W382" s="566"/>
      <c r="X382" s="566"/>
      <c r="Y382" s="566"/>
      <c r="Z382" s="566"/>
      <c r="AA382" s="566"/>
      <c r="AB382" s="566"/>
      <c r="AC382" s="566"/>
      <c r="AD382" s="566"/>
      <c r="AE382" s="566"/>
      <c r="AF382" s="566"/>
      <c r="AG382" s="566"/>
      <c r="AH382" s="566"/>
      <c r="AI382" s="566"/>
      <c r="AJ382" s="566"/>
      <c r="AK382" s="566"/>
      <c r="AL382" s="566"/>
      <c r="AM382" s="566"/>
      <c r="AN382" s="566"/>
      <c r="AO382" s="566"/>
    </row>
    <row r="383" spans="2:41" x14ac:dyDescent="0.15">
      <c r="B383" s="567">
        <v>-21</v>
      </c>
      <c r="C383" s="566">
        <v>0</v>
      </c>
      <c r="D383" s="566"/>
      <c r="E383" s="566"/>
      <c r="F383" s="566"/>
      <c r="G383" s="566"/>
      <c r="H383" s="566"/>
      <c r="I383" s="566"/>
      <c r="J383" s="566"/>
      <c r="K383" s="566"/>
      <c r="L383" s="566"/>
      <c r="M383" s="566"/>
      <c r="N383" s="566"/>
      <c r="O383" s="566"/>
      <c r="P383" s="566"/>
      <c r="Q383" s="566"/>
      <c r="R383" s="566"/>
      <c r="S383" s="566"/>
      <c r="T383" s="566"/>
      <c r="U383" s="566"/>
      <c r="V383" s="566"/>
      <c r="W383" s="566"/>
      <c r="X383" s="566"/>
      <c r="Y383" s="566"/>
      <c r="Z383" s="566"/>
      <c r="AA383" s="566"/>
      <c r="AB383" s="566"/>
      <c r="AC383" s="566"/>
      <c r="AD383" s="566"/>
      <c r="AE383" s="566"/>
      <c r="AF383" s="566"/>
      <c r="AG383" s="566"/>
      <c r="AH383" s="566"/>
      <c r="AI383" s="566"/>
      <c r="AJ383" s="566"/>
      <c r="AK383" s="566"/>
      <c r="AL383" s="566"/>
      <c r="AM383" s="566"/>
      <c r="AN383" s="566"/>
      <c r="AO383" s="566"/>
    </row>
    <row r="384" spans="2:41" x14ac:dyDescent="0.15">
      <c r="B384" s="567">
        <v>-20</v>
      </c>
      <c r="C384" s="566">
        <v>0</v>
      </c>
      <c r="D384" s="566"/>
      <c r="E384" s="566"/>
      <c r="F384" s="566"/>
      <c r="G384" s="566"/>
      <c r="H384" s="566"/>
      <c r="I384" s="566"/>
      <c r="J384" s="566"/>
      <c r="K384" s="566"/>
      <c r="L384" s="566"/>
      <c r="M384" s="566"/>
      <c r="N384" s="566"/>
      <c r="O384" s="566"/>
      <c r="P384" s="566"/>
      <c r="Q384" s="566"/>
      <c r="R384" s="566"/>
      <c r="S384" s="566"/>
      <c r="T384" s="566"/>
      <c r="U384" s="566"/>
      <c r="V384" s="566"/>
      <c r="W384" s="566"/>
      <c r="X384" s="566"/>
      <c r="Y384" s="566"/>
      <c r="Z384" s="566"/>
      <c r="AA384" s="566"/>
      <c r="AB384" s="566"/>
      <c r="AC384" s="566"/>
      <c r="AD384" s="566"/>
      <c r="AE384" s="566"/>
      <c r="AF384" s="566"/>
      <c r="AG384" s="566"/>
      <c r="AH384" s="566"/>
      <c r="AI384" s="566"/>
      <c r="AJ384" s="566"/>
      <c r="AK384" s="566"/>
      <c r="AL384" s="566"/>
      <c r="AM384" s="566"/>
      <c r="AN384" s="566"/>
      <c r="AO384" s="566"/>
    </row>
    <row r="385" spans="2:41" x14ac:dyDescent="0.15">
      <c r="B385" s="567">
        <v>-19</v>
      </c>
      <c r="C385" s="566">
        <v>0</v>
      </c>
      <c r="D385" s="566"/>
      <c r="E385" s="566"/>
      <c r="F385" s="566"/>
      <c r="G385" s="566"/>
      <c r="H385" s="566"/>
      <c r="I385" s="566"/>
      <c r="J385" s="566"/>
      <c r="K385" s="566"/>
      <c r="L385" s="566"/>
      <c r="M385" s="566"/>
      <c r="N385" s="566"/>
      <c r="O385" s="566"/>
      <c r="P385" s="566"/>
      <c r="Q385" s="566"/>
      <c r="R385" s="566"/>
      <c r="S385" s="566"/>
      <c r="T385" s="566"/>
      <c r="U385" s="566"/>
      <c r="V385" s="566"/>
      <c r="W385" s="566"/>
      <c r="X385" s="566"/>
      <c r="Y385" s="566"/>
      <c r="Z385" s="566"/>
      <c r="AA385" s="566"/>
      <c r="AB385" s="566"/>
      <c r="AC385" s="566"/>
      <c r="AD385" s="566"/>
      <c r="AE385" s="566"/>
      <c r="AF385" s="566"/>
      <c r="AG385" s="566"/>
      <c r="AH385" s="566"/>
      <c r="AI385" s="566"/>
      <c r="AJ385" s="566"/>
      <c r="AK385" s="566"/>
      <c r="AL385" s="566"/>
      <c r="AM385" s="566"/>
      <c r="AN385" s="566"/>
      <c r="AO385" s="566"/>
    </row>
    <row r="386" spans="2:41" x14ac:dyDescent="0.15">
      <c r="B386" s="567">
        <v>-18</v>
      </c>
      <c r="C386" s="566">
        <v>3.4246575342465754E-4</v>
      </c>
      <c r="D386" s="566"/>
      <c r="E386" s="566"/>
      <c r="F386" s="566"/>
      <c r="G386" s="566"/>
      <c r="H386" s="566"/>
      <c r="I386" s="566"/>
      <c r="J386" s="566"/>
      <c r="K386" s="566"/>
      <c r="L386" s="566"/>
      <c r="M386" s="566"/>
      <c r="N386" s="566"/>
      <c r="O386" s="566"/>
      <c r="P386" s="566"/>
      <c r="Q386" s="566"/>
      <c r="R386" s="566"/>
      <c r="S386" s="566"/>
      <c r="T386" s="566"/>
      <c r="U386" s="566"/>
      <c r="V386" s="566"/>
      <c r="W386" s="566"/>
      <c r="X386" s="566"/>
      <c r="Y386" s="566"/>
      <c r="Z386" s="566"/>
      <c r="AA386" s="566"/>
      <c r="AB386" s="566"/>
      <c r="AC386" s="566"/>
      <c r="AD386" s="566"/>
      <c r="AE386" s="566"/>
      <c r="AF386" s="566"/>
      <c r="AG386" s="566"/>
      <c r="AH386" s="566"/>
      <c r="AI386" s="566"/>
      <c r="AJ386" s="566"/>
      <c r="AK386" s="566"/>
      <c r="AL386" s="566"/>
      <c r="AM386" s="566"/>
      <c r="AN386" s="566"/>
      <c r="AO386" s="566"/>
    </row>
    <row r="387" spans="2:41" x14ac:dyDescent="0.15">
      <c r="B387" s="567">
        <v>-17</v>
      </c>
      <c r="C387" s="566">
        <v>1.0273972602739725E-3</v>
      </c>
      <c r="D387" s="566"/>
      <c r="E387" s="566"/>
      <c r="F387" s="566"/>
      <c r="G387" s="566"/>
      <c r="H387" s="566"/>
      <c r="I387" s="566"/>
      <c r="J387" s="566"/>
      <c r="K387" s="566"/>
      <c r="L387" s="566"/>
      <c r="M387" s="566"/>
      <c r="N387" s="566"/>
      <c r="O387" s="566"/>
      <c r="P387" s="566"/>
      <c r="Q387" s="566"/>
      <c r="R387" s="566"/>
      <c r="S387" s="566"/>
      <c r="T387" s="566"/>
      <c r="U387" s="566"/>
      <c r="V387" s="566"/>
      <c r="W387" s="566"/>
      <c r="X387" s="566"/>
      <c r="Y387" s="566"/>
      <c r="Z387" s="566"/>
      <c r="AA387" s="566"/>
      <c r="AB387" s="566"/>
      <c r="AC387" s="566"/>
      <c r="AD387" s="566"/>
      <c r="AE387" s="566"/>
      <c r="AF387" s="566"/>
      <c r="AG387" s="566"/>
      <c r="AH387" s="566"/>
      <c r="AI387" s="566"/>
      <c r="AJ387" s="566"/>
      <c r="AK387" s="566"/>
      <c r="AL387" s="566"/>
      <c r="AM387" s="566"/>
      <c r="AN387" s="566"/>
      <c r="AO387" s="566"/>
    </row>
    <row r="388" spans="2:41" x14ac:dyDescent="0.15">
      <c r="B388" s="567">
        <v>-16</v>
      </c>
      <c r="C388" s="566">
        <v>2.054794520547945E-3</v>
      </c>
      <c r="D388" s="566"/>
      <c r="E388" s="566"/>
      <c r="F388" s="566"/>
      <c r="G388" s="566"/>
      <c r="H388" s="566"/>
      <c r="I388" s="566"/>
      <c r="J388" s="566"/>
      <c r="K388" s="566"/>
      <c r="L388" s="566"/>
      <c r="M388" s="566"/>
      <c r="N388" s="566"/>
      <c r="O388" s="566"/>
      <c r="P388" s="566"/>
      <c r="Q388" s="566"/>
      <c r="R388" s="566"/>
      <c r="S388" s="566"/>
      <c r="T388" s="566"/>
      <c r="U388" s="566"/>
      <c r="V388" s="566"/>
      <c r="W388" s="566"/>
      <c r="X388" s="566"/>
      <c r="Y388" s="566"/>
      <c r="Z388" s="566"/>
      <c r="AA388" s="566"/>
      <c r="AB388" s="566"/>
      <c r="AC388" s="566"/>
      <c r="AD388" s="566"/>
      <c r="AE388" s="566"/>
      <c r="AF388" s="566"/>
      <c r="AG388" s="566"/>
      <c r="AH388" s="566"/>
      <c r="AI388" s="566"/>
      <c r="AJ388" s="566"/>
      <c r="AK388" s="566"/>
      <c r="AL388" s="566"/>
      <c r="AM388" s="566"/>
      <c r="AN388" s="566"/>
      <c r="AO388" s="566"/>
    </row>
    <row r="389" spans="2:41" x14ac:dyDescent="0.15">
      <c r="B389" s="567">
        <v>-15</v>
      </c>
      <c r="C389" s="566">
        <v>3.767123287671233E-3</v>
      </c>
      <c r="D389" s="566"/>
      <c r="E389" s="566"/>
      <c r="F389" s="566"/>
      <c r="G389" s="566"/>
      <c r="H389" s="566"/>
      <c r="I389" s="566"/>
      <c r="J389" s="566"/>
      <c r="K389" s="566"/>
      <c r="L389" s="566"/>
      <c r="M389" s="566"/>
      <c r="N389" s="566"/>
      <c r="O389" s="566"/>
      <c r="P389" s="566"/>
      <c r="Q389" s="566"/>
      <c r="R389" s="566"/>
      <c r="S389" s="566"/>
      <c r="T389" s="566"/>
      <c r="U389" s="566"/>
      <c r="V389" s="566"/>
      <c r="W389" s="566"/>
      <c r="X389" s="566"/>
      <c r="Y389" s="566"/>
      <c r="Z389" s="566"/>
      <c r="AA389" s="566"/>
      <c r="AB389" s="566"/>
      <c r="AC389" s="566"/>
      <c r="AD389" s="566"/>
      <c r="AE389" s="566"/>
      <c r="AF389" s="566"/>
      <c r="AG389" s="566"/>
      <c r="AH389" s="566"/>
      <c r="AI389" s="566"/>
      <c r="AJ389" s="566"/>
      <c r="AK389" s="566"/>
      <c r="AL389" s="566"/>
      <c r="AM389" s="566"/>
      <c r="AN389" s="566"/>
      <c r="AO389" s="566"/>
    </row>
    <row r="390" spans="2:41" x14ac:dyDescent="0.15">
      <c r="B390" s="567">
        <v>-14</v>
      </c>
      <c r="C390" s="566">
        <v>4.7945205479452057E-3</v>
      </c>
      <c r="D390" s="566"/>
      <c r="E390" s="566"/>
      <c r="F390" s="566"/>
      <c r="G390" s="566"/>
      <c r="H390" s="566"/>
      <c r="I390" s="566"/>
      <c r="J390" s="566"/>
      <c r="K390" s="566"/>
      <c r="L390" s="566"/>
      <c r="M390" s="566"/>
      <c r="N390" s="566"/>
      <c r="O390" s="566"/>
      <c r="P390" s="566"/>
      <c r="Q390" s="566"/>
      <c r="R390" s="566"/>
      <c r="S390" s="566"/>
      <c r="T390" s="566"/>
      <c r="U390" s="566"/>
      <c r="V390" s="566"/>
      <c r="W390" s="566"/>
      <c r="X390" s="566"/>
      <c r="Y390" s="566"/>
      <c r="Z390" s="566"/>
      <c r="AA390" s="566"/>
      <c r="AB390" s="566"/>
      <c r="AC390" s="566"/>
      <c r="AD390" s="566"/>
      <c r="AE390" s="566"/>
      <c r="AF390" s="566"/>
      <c r="AG390" s="566"/>
      <c r="AH390" s="566"/>
      <c r="AI390" s="566"/>
      <c r="AJ390" s="566"/>
      <c r="AK390" s="566"/>
      <c r="AL390" s="566"/>
      <c r="AM390" s="566"/>
      <c r="AN390" s="566"/>
      <c r="AO390" s="566"/>
    </row>
    <row r="391" spans="2:41" x14ac:dyDescent="0.15">
      <c r="B391" s="567">
        <v>-13</v>
      </c>
      <c r="C391" s="566">
        <v>6.735159817351598E-3</v>
      </c>
      <c r="D391" s="566"/>
      <c r="E391" s="566"/>
      <c r="F391" s="566"/>
      <c r="G391" s="566"/>
      <c r="H391" s="566"/>
      <c r="I391" s="566"/>
      <c r="J391" s="566"/>
      <c r="K391" s="566"/>
      <c r="L391" s="566"/>
      <c r="M391" s="566"/>
      <c r="N391" s="566"/>
      <c r="O391" s="566"/>
      <c r="P391" s="566"/>
      <c r="Q391" s="566"/>
      <c r="R391" s="566"/>
      <c r="S391" s="566"/>
      <c r="T391" s="566"/>
      <c r="U391" s="566"/>
      <c r="V391" s="566"/>
      <c r="W391" s="566"/>
      <c r="X391" s="566"/>
      <c r="Y391" s="566"/>
      <c r="Z391" s="566"/>
      <c r="AA391" s="566"/>
      <c r="AB391" s="566"/>
      <c r="AC391" s="566"/>
      <c r="AD391" s="566"/>
      <c r="AE391" s="566"/>
      <c r="AF391" s="566"/>
      <c r="AG391" s="566"/>
      <c r="AH391" s="566"/>
      <c r="AI391" s="566"/>
      <c r="AJ391" s="566"/>
      <c r="AK391" s="566"/>
      <c r="AL391" s="566"/>
      <c r="AM391" s="566"/>
      <c r="AN391" s="566"/>
      <c r="AO391" s="566"/>
    </row>
    <row r="392" spans="2:41" x14ac:dyDescent="0.15">
      <c r="B392" s="567">
        <v>-12</v>
      </c>
      <c r="C392" s="566">
        <v>9.7031963470319629E-3</v>
      </c>
      <c r="D392" s="566"/>
      <c r="E392" s="566"/>
      <c r="F392" s="566"/>
      <c r="G392" s="566"/>
      <c r="H392" s="566"/>
      <c r="I392" s="566"/>
      <c r="J392" s="566"/>
      <c r="K392" s="566"/>
      <c r="L392" s="566"/>
      <c r="M392" s="566"/>
      <c r="N392" s="566"/>
      <c r="O392" s="566"/>
      <c r="P392" s="566"/>
      <c r="Q392" s="566"/>
      <c r="R392" s="566"/>
      <c r="S392" s="566"/>
      <c r="T392" s="566"/>
      <c r="U392" s="566"/>
      <c r="V392" s="566"/>
      <c r="W392" s="566"/>
      <c r="X392" s="566"/>
      <c r="Y392" s="566"/>
      <c r="Z392" s="566"/>
      <c r="AA392" s="566"/>
      <c r="AB392" s="566"/>
      <c r="AC392" s="566"/>
      <c r="AD392" s="566"/>
      <c r="AE392" s="566"/>
      <c r="AF392" s="566"/>
      <c r="AG392" s="566"/>
      <c r="AH392" s="566"/>
      <c r="AI392" s="566"/>
      <c r="AJ392" s="566"/>
      <c r="AK392" s="566"/>
      <c r="AL392" s="566"/>
      <c r="AM392" s="566"/>
      <c r="AN392" s="566"/>
      <c r="AO392" s="566"/>
    </row>
    <row r="393" spans="2:41" x14ac:dyDescent="0.15">
      <c r="B393" s="567">
        <v>-11</v>
      </c>
      <c r="C393" s="566">
        <v>1.3356164383561644E-2</v>
      </c>
      <c r="D393" s="566"/>
      <c r="E393" s="566"/>
      <c r="F393" s="566"/>
      <c r="G393" s="566"/>
      <c r="H393" s="566"/>
      <c r="I393" s="566"/>
      <c r="J393" s="566"/>
      <c r="K393" s="566"/>
      <c r="L393" s="566"/>
      <c r="M393" s="566"/>
      <c r="N393" s="566"/>
      <c r="O393" s="566"/>
      <c r="P393" s="566"/>
      <c r="Q393" s="566"/>
      <c r="R393" s="566"/>
      <c r="S393" s="566"/>
      <c r="T393" s="566"/>
      <c r="U393" s="566"/>
      <c r="V393" s="566"/>
      <c r="W393" s="566"/>
      <c r="X393" s="566"/>
      <c r="Y393" s="566"/>
      <c r="Z393" s="566"/>
      <c r="AA393" s="566"/>
      <c r="AB393" s="566"/>
      <c r="AC393" s="566"/>
      <c r="AD393" s="566"/>
      <c r="AE393" s="566"/>
      <c r="AF393" s="566"/>
      <c r="AG393" s="566"/>
      <c r="AH393" s="566"/>
      <c r="AI393" s="566"/>
      <c r="AJ393" s="566"/>
      <c r="AK393" s="566"/>
      <c r="AL393" s="566"/>
      <c r="AM393" s="566"/>
      <c r="AN393" s="566"/>
      <c r="AO393" s="566"/>
    </row>
    <row r="394" spans="2:41" x14ac:dyDescent="0.15">
      <c r="B394" s="567">
        <v>-10</v>
      </c>
      <c r="C394" s="566">
        <v>1.8036529680365298E-2</v>
      </c>
      <c r="D394" s="566"/>
      <c r="E394" s="566"/>
      <c r="F394" s="566"/>
      <c r="G394" s="566"/>
      <c r="H394" s="566"/>
      <c r="I394" s="566"/>
      <c r="J394" s="566"/>
      <c r="K394" s="566"/>
      <c r="L394" s="566"/>
      <c r="M394" s="566"/>
      <c r="N394" s="566"/>
      <c r="O394" s="566"/>
      <c r="P394" s="566"/>
      <c r="Q394" s="566"/>
      <c r="R394" s="566"/>
      <c r="S394" s="566"/>
      <c r="T394" s="566"/>
      <c r="U394" s="566"/>
      <c r="V394" s="566"/>
      <c r="W394" s="566"/>
      <c r="X394" s="566"/>
      <c r="Y394" s="566"/>
      <c r="Z394" s="566"/>
      <c r="AA394" s="566"/>
      <c r="AB394" s="566"/>
      <c r="AC394" s="566"/>
      <c r="AD394" s="566"/>
      <c r="AE394" s="566"/>
      <c r="AF394" s="566"/>
      <c r="AG394" s="566"/>
      <c r="AH394" s="566"/>
      <c r="AI394" s="566"/>
      <c r="AJ394" s="566"/>
      <c r="AK394" s="566"/>
      <c r="AL394" s="566"/>
      <c r="AM394" s="566"/>
      <c r="AN394" s="566"/>
      <c r="AO394" s="566"/>
    </row>
    <row r="395" spans="2:41" x14ac:dyDescent="0.15">
      <c r="B395" s="567">
        <v>-9</v>
      </c>
      <c r="C395" s="566">
        <v>2.0547945205479451E-2</v>
      </c>
      <c r="D395" s="566"/>
      <c r="E395" s="566"/>
      <c r="F395" s="566"/>
      <c r="G395" s="566"/>
      <c r="H395" s="566"/>
      <c r="I395" s="566"/>
      <c r="J395" s="566"/>
      <c r="K395" s="566"/>
      <c r="L395" s="566"/>
      <c r="M395" s="566"/>
      <c r="N395" s="566"/>
      <c r="O395" s="566"/>
      <c r="P395" s="566"/>
      <c r="Q395" s="566"/>
      <c r="R395" s="566"/>
      <c r="S395" s="566"/>
      <c r="T395" s="566"/>
      <c r="U395" s="566"/>
      <c r="V395" s="566"/>
      <c r="W395" s="566"/>
      <c r="X395" s="566"/>
      <c r="Y395" s="566"/>
      <c r="Z395" s="566"/>
      <c r="AA395" s="566"/>
      <c r="AB395" s="566"/>
      <c r="AC395" s="566"/>
      <c r="AD395" s="566"/>
      <c r="AE395" s="566"/>
      <c r="AF395" s="566"/>
      <c r="AG395" s="566"/>
      <c r="AH395" s="566"/>
      <c r="AI395" s="566"/>
      <c r="AJ395" s="566"/>
      <c r="AK395" s="566"/>
      <c r="AL395" s="566"/>
      <c r="AM395" s="566"/>
      <c r="AN395" s="566"/>
      <c r="AO395" s="566"/>
    </row>
    <row r="396" spans="2:41" x14ac:dyDescent="0.15">
      <c r="B396" s="567">
        <v>-8</v>
      </c>
      <c r="C396" s="566">
        <v>2.5228310502283104E-2</v>
      </c>
      <c r="D396" s="566"/>
      <c r="E396" s="566"/>
      <c r="F396" s="566"/>
      <c r="G396" s="566"/>
      <c r="H396" s="566"/>
      <c r="I396" s="566"/>
      <c r="J396" s="566"/>
      <c r="K396" s="566"/>
      <c r="L396" s="566"/>
      <c r="M396" s="566"/>
      <c r="N396" s="566"/>
      <c r="O396" s="566"/>
      <c r="P396" s="566"/>
      <c r="Q396" s="566"/>
      <c r="R396" s="566"/>
      <c r="S396" s="566"/>
      <c r="T396" s="566"/>
      <c r="U396" s="566"/>
      <c r="V396" s="566"/>
      <c r="W396" s="566"/>
      <c r="X396" s="566"/>
      <c r="Y396" s="566"/>
      <c r="Z396" s="566"/>
      <c r="AA396" s="566"/>
      <c r="AB396" s="566"/>
      <c r="AC396" s="566"/>
      <c r="AD396" s="566"/>
      <c r="AE396" s="566"/>
      <c r="AF396" s="566"/>
      <c r="AG396" s="566"/>
      <c r="AH396" s="566"/>
      <c r="AI396" s="566"/>
      <c r="AJ396" s="566"/>
      <c r="AK396" s="566"/>
      <c r="AL396" s="566"/>
      <c r="AM396" s="566"/>
      <c r="AN396" s="566"/>
      <c r="AO396" s="566"/>
    </row>
    <row r="397" spans="2:41" x14ac:dyDescent="0.15">
      <c r="B397" s="567">
        <v>-7</v>
      </c>
      <c r="C397" s="566">
        <v>3.4018264840182645E-2</v>
      </c>
      <c r="D397" s="566"/>
      <c r="E397" s="566"/>
      <c r="F397" s="566"/>
      <c r="G397" s="566"/>
      <c r="H397" s="566"/>
      <c r="I397" s="566"/>
      <c r="J397" s="566"/>
      <c r="K397" s="566"/>
      <c r="L397" s="566"/>
      <c r="M397" s="566"/>
      <c r="N397" s="566"/>
      <c r="O397" s="566"/>
      <c r="P397" s="566"/>
      <c r="Q397" s="566"/>
      <c r="R397" s="566"/>
      <c r="S397" s="566"/>
      <c r="T397" s="566"/>
      <c r="U397" s="566"/>
      <c r="V397" s="566"/>
      <c r="W397" s="566"/>
      <c r="X397" s="566"/>
      <c r="Y397" s="566"/>
      <c r="Z397" s="566"/>
      <c r="AA397" s="566"/>
      <c r="AB397" s="566"/>
      <c r="AC397" s="566"/>
      <c r="AD397" s="566"/>
      <c r="AE397" s="566"/>
      <c r="AF397" s="566"/>
      <c r="AG397" s="566"/>
      <c r="AH397" s="566"/>
      <c r="AI397" s="566"/>
      <c r="AJ397" s="566"/>
      <c r="AK397" s="566"/>
      <c r="AL397" s="566"/>
      <c r="AM397" s="566"/>
      <c r="AN397" s="566"/>
      <c r="AO397" s="566"/>
    </row>
    <row r="398" spans="2:41" x14ac:dyDescent="0.15">
      <c r="B398" s="567">
        <v>-6</v>
      </c>
      <c r="C398" s="566">
        <v>4.9086757990867577E-2</v>
      </c>
      <c r="D398" s="566"/>
      <c r="E398" s="566"/>
      <c r="F398" s="566"/>
      <c r="G398" s="566"/>
      <c r="H398" s="566"/>
      <c r="I398" s="566"/>
      <c r="J398" s="566"/>
      <c r="K398" s="566"/>
      <c r="L398" s="566"/>
      <c r="M398" s="566"/>
      <c r="N398" s="566"/>
      <c r="O398" s="566"/>
      <c r="P398" s="566"/>
      <c r="Q398" s="566"/>
      <c r="R398" s="566"/>
      <c r="S398" s="566"/>
      <c r="T398" s="566"/>
      <c r="U398" s="566"/>
      <c r="V398" s="566"/>
      <c r="W398" s="566"/>
      <c r="X398" s="566"/>
      <c r="Y398" s="566"/>
      <c r="Z398" s="566"/>
      <c r="AA398" s="566"/>
      <c r="AB398" s="566"/>
      <c r="AC398" s="566"/>
      <c r="AD398" s="566"/>
      <c r="AE398" s="566"/>
      <c r="AF398" s="566"/>
      <c r="AG398" s="566"/>
      <c r="AH398" s="566"/>
      <c r="AI398" s="566"/>
      <c r="AJ398" s="566"/>
      <c r="AK398" s="566"/>
      <c r="AL398" s="566"/>
      <c r="AM398" s="566"/>
      <c r="AN398" s="566"/>
      <c r="AO398" s="566"/>
    </row>
    <row r="399" spans="2:41" x14ac:dyDescent="0.15">
      <c r="B399" s="567">
        <v>-5</v>
      </c>
      <c r="C399" s="566">
        <v>6.9977168949771684E-2</v>
      </c>
      <c r="D399" s="566"/>
      <c r="E399" s="566"/>
      <c r="F399" s="566"/>
      <c r="G399" s="566"/>
      <c r="H399" s="566"/>
      <c r="I399" s="566"/>
      <c r="J399" s="566"/>
      <c r="K399" s="566"/>
      <c r="L399" s="566"/>
      <c r="M399" s="566"/>
      <c r="N399" s="566"/>
      <c r="O399" s="566"/>
      <c r="P399" s="566"/>
      <c r="Q399" s="566"/>
      <c r="R399" s="566"/>
      <c r="S399" s="566"/>
      <c r="T399" s="566"/>
      <c r="U399" s="566"/>
      <c r="V399" s="566"/>
      <c r="W399" s="566"/>
      <c r="X399" s="566"/>
      <c r="Y399" s="566"/>
      <c r="Z399" s="566"/>
      <c r="AA399" s="566"/>
      <c r="AB399" s="566"/>
      <c r="AC399" s="566"/>
      <c r="AD399" s="566"/>
      <c r="AE399" s="566"/>
      <c r="AF399" s="566"/>
      <c r="AG399" s="566"/>
      <c r="AH399" s="566"/>
      <c r="AI399" s="566"/>
      <c r="AJ399" s="566"/>
      <c r="AK399" s="566"/>
      <c r="AL399" s="566"/>
      <c r="AM399" s="566"/>
      <c r="AN399" s="566"/>
      <c r="AO399" s="566"/>
    </row>
    <row r="400" spans="2:41" x14ac:dyDescent="0.15">
      <c r="B400" s="567">
        <v>-4</v>
      </c>
      <c r="C400" s="566">
        <v>8.3447488584474885E-2</v>
      </c>
      <c r="D400" s="566"/>
      <c r="E400" s="566"/>
      <c r="F400" s="566"/>
      <c r="G400" s="566"/>
      <c r="H400" s="566"/>
      <c r="I400" s="566"/>
      <c r="J400" s="566"/>
      <c r="K400" s="566"/>
      <c r="L400" s="566"/>
      <c r="M400" s="566"/>
      <c r="N400" s="566"/>
      <c r="O400" s="566"/>
      <c r="P400" s="566"/>
      <c r="Q400" s="566"/>
      <c r="R400" s="566"/>
      <c r="S400" s="566"/>
      <c r="T400" s="566"/>
      <c r="U400" s="566"/>
      <c r="V400" s="566"/>
      <c r="W400" s="566"/>
      <c r="X400" s="566"/>
      <c r="Y400" s="566"/>
      <c r="Z400" s="566"/>
      <c r="AA400" s="566"/>
      <c r="AB400" s="566"/>
      <c r="AC400" s="566"/>
      <c r="AD400" s="566"/>
      <c r="AE400" s="566"/>
      <c r="AF400" s="566"/>
      <c r="AG400" s="566"/>
      <c r="AH400" s="566"/>
      <c r="AI400" s="566"/>
      <c r="AJ400" s="566"/>
      <c r="AK400" s="566"/>
      <c r="AL400" s="566"/>
      <c r="AM400" s="566"/>
      <c r="AN400" s="566"/>
      <c r="AO400" s="566"/>
    </row>
    <row r="401" spans="2:41" x14ac:dyDescent="0.15">
      <c r="B401" s="567">
        <v>-3</v>
      </c>
      <c r="C401" s="566">
        <v>0.11529680365296803</v>
      </c>
      <c r="D401" s="566"/>
      <c r="E401" s="566"/>
      <c r="F401" s="566"/>
      <c r="G401" s="566"/>
      <c r="H401" s="566"/>
      <c r="I401" s="566"/>
      <c r="J401" s="566"/>
      <c r="K401" s="566"/>
      <c r="L401" s="566"/>
      <c r="M401" s="566"/>
      <c r="N401" s="566"/>
      <c r="O401" s="566"/>
      <c r="P401" s="566"/>
      <c r="Q401" s="566"/>
      <c r="R401" s="566"/>
      <c r="S401" s="566"/>
      <c r="T401" s="566"/>
      <c r="U401" s="566"/>
      <c r="V401" s="566"/>
      <c r="W401" s="566"/>
      <c r="X401" s="566"/>
      <c r="Y401" s="566"/>
      <c r="Z401" s="566"/>
      <c r="AA401" s="566"/>
      <c r="AB401" s="566"/>
      <c r="AC401" s="566"/>
      <c r="AD401" s="566"/>
      <c r="AE401" s="566"/>
      <c r="AF401" s="566"/>
      <c r="AG401" s="566"/>
      <c r="AH401" s="566"/>
      <c r="AI401" s="566"/>
      <c r="AJ401" s="566"/>
      <c r="AK401" s="566"/>
      <c r="AL401" s="566"/>
      <c r="AM401" s="566"/>
      <c r="AN401" s="566"/>
      <c r="AO401" s="566"/>
    </row>
    <row r="402" spans="2:41" x14ac:dyDescent="0.15">
      <c r="B402" s="567">
        <v>-2</v>
      </c>
      <c r="C402" s="566">
        <v>0.15376712328767123</v>
      </c>
      <c r="D402" s="566"/>
      <c r="E402" s="566"/>
      <c r="F402" s="566"/>
      <c r="G402" s="566"/>
      <c r="H402" s="566"/>
      <c r="I402" s="566"/>
      <c r="J402" s="566"/>
      <c r="K402" s="566"/>
      <c r="L402" s="566"/>
      <c r="M402" s="566"/>
      <c r="N402" s="566"/>
      <c r="O402" s="566"/>
      <c r="P402" s="566"/>
      <c r="Q402" s="566"/>
      <c r="R402" s="566"/>
      <c r="S402" s="566"/>
      <c r="T402" s="566"/>
      <c r="U402" s="566"/>
      <c r="V402" s="566"/>
      <c r="W402" s="566"/>
      <c r="X402" s="566"/>
      <c r="Y402" s="566"/>
      <c r="Z402" s="566"/>
      <c r="AA402" s="566"/>
      <c r="AB402" s="566"/>
      <c r="AC402" s="566"/>
      <c r="AD402" s="566"/>
      <c r="AE402" s="566"/>
      <c r="AF402" s="566"/>
      <c r="AG402" s="566"/>
      <c r="AH402" s="566"/>
      <c r="AI402" s="566"/>
      <c r="AJ402" s="566"/>
      <c r="AK402" s="566"/>
      <c r="AL402" s="566"/>
      <c r="AM402" s="566"/>
      <c r="AN402" s="566"/>
      <c r="AO402" s="566"/>
    </row>
    <row r="403" spans="2:41" x14ac:dyDescent="0.15">
      <c r="B403" s="567">
        <v>-1</v>
      </c>
      <c r="C403" s="566">
        <v>0.19121004566210045</v>
      </c>
      <c r="D403" s="566"/>
      <c r="E403" s="566"/>
      <c r="F403" s="566"/>
      <c r="G403" s="566"/>
      <c r="H403" s="566"/>
      <c r="I403" s="566"/>
      <c r="J403" s="566"/>
      <c r="K403" s="566"/>
      <c r="L403" s="566"/>
      <c r="M403" s="566"/>
      <c r="N403" s="566"/>
      <c r="O403" s="566"/>
      <c r="P403" s="566"/>
      <c r="Q403" s="566"/>
      <c r="R403" s="566"/>
      <c r="S403" s="566"/>
      <c r="T403" s="566"/>
      <c r="U403" s="566"/>
      <c r="V403" s="566"/>
      <c r="W403" s="566"/>
      <c r="X403" s="566"/>
      <c r="Y403" s="566"/>
      <c r="Z403" s="566"/>
      <c r="AA403" s="566"/>
      <c r="AB403" s="566"/>
      <c r="AC403" s="566"/>
      <c r="AD403" s="566"/>
      <c r="AE403" s="566"/>
      <c r="AF403" s="566"/>
      <c r="AG403" s="566"/>
      <c r="AH403" s="566"/>
      <c r="AI403" s="566"/>
      <c r="AJ403" s="566"/>
      <c r="AK403" s="566"/>
      <c r="AL403" s="566"/>
      <c r="AM403" s="566"/>
      <c r="AN403" s="566"/>
      <c r="AO403" s="566"/>
    </row>
    <row r="404" spans="2:41" x14ac:dyDescent="0.15">
      <c r="B404" s="567">
        <v>0</v>
      </c>
      <c r="C404" s="566">
        <v>0.22979452054794522</v>
      </c>
      <c r="D404" s="566"/>
      <c r="E404" s="566"/>
      <c r="F404" s="566"/>
      <c r="G404" s="566"/>
      <c r="H404" s="566"/>
      <c r="I404" s="566"/>
      <c r="J404" s="566"/>
      <c r="K404" s="566"/>
      <c r="L404" s="566"/>
      <c r="M404" s="566"/>
      <c r="N404" s="566"/>
      <c r="O404" s="566"/>
      <c r="P404" s="566"/>
      <c r="Q404" s="566"/>
      <c r="R404" s="566"/>
      <c r="S404" s="566"/>
      <c r="T404" s="566"/>
      <c r="U404" s="566"/>
      <c r="V404" s="566"/>
      <c r="W404" s="566"/>
      <c r="X404" s="566"/>
      <c r="Y404" s="566"/>
      <c r="Z404" s="566"/>
      <c r="AA404" s="566"/>
      <c r="AB404" s="566"/>
      <c r="AC404" s="566"/>
      <c r="AD404" s="566"/>
      <c r="AE404" s="566"/>
      <c r="AF404" s="566"/>
      <c r="AG404" s="566"/>
      <c r="AH404" s="566"/>
      <c r="AI404" s="566"/>
      <c r="AJ404" s="566"/>
      <c r="AK404" s="566"/>
      <c r="AL404" s="566"/>
      <c r="AM404" s="566"/>
      <c r="AN404" s="566"/>
      <c r="AO404" s="566"/>
    </row>
    <row r="405" spans="2:41" x14ac:dyDescent="0.15">
      <c r="B405" s="567">
        <v>1</v>
      </c>
      <c r="C405" s="566">
        <v>0.24520547945205479</v>
      </c>
      <c r="D405" s="566"/>
      <c r="E405" s="566"/>
      <c r="F405" s="566"/>
      <c r="G405" s="566"/>
      <c r="H405" s="566"/>
      <c r="I405" s="566"/>
      <c r="J405" s="566"/>
      <c r="K405" s="566"/>
      <c r="L405" s="566"/>
      <c r="M405" s="566"/>
      <c r="N405" s="566"/>
      <c r="O405" s="566"/>
      <c r="P405" s="566"/>
      <c r="Q405" s="566"/>
      <c r="R405" s="566"/>
      <c r="S405" s="566"/>
      <c r="T405" s="566"/>
      <c r="U405" s="566"/>
      <c r="V405" s="566"/>
      <c r="W405" s="566"/>
      <c r="X405" s="566"/>
      <c r="Y405" s="566"/>
      <c r="Z405" s="566"/>
      <c r="AA405" s="566"/>
      <c r="AB405" s="566"/>
      <c r="AC405" s="566"/>
      <c r="AD405" s="566"/>
      <c r="AE405" s="566"/>
      <c r="AF405" s="566"/>
      <c r="AG405" s="566"/>
      <c r="AH405" s="566"/>
      <c r="AI405" s="566"/>
      <c r="AJ405" s="566"/>
      <c r="AK405" s="566"/>
      <c r="AL405" s="566"/>
      <c r="AM405" s="566"/>
      <c r="AN405" s="566"/>
      <c r="AO405" s="566"/>
    </row>
    <row r="406" spans="2:41" x14ac:dyDescent="0.15">
      <c r="B406" s="567">
        <v>2</v>
      </c>
      <c r="C406" s="566">
        <v>0.27716894977168949</v>
      </c>
      <c r="D406" s="566"/>
      <c r="E406" s="566"/>
      <c r="F406" s="566"/>
      <c r="G406" s="566"/>
      <c r="H406" s="566"/>
      <c r="I406" s="566"/>
      <c r="J406" s="566"/>
      <c r="K406" s="566"/>
      <c r="L406" s="566"/>
      <c r="M406" s="566"/>
      <c r="N406" s="566"/>
      <c r="O406" s="566"/>
      <c r="P406" s="566"/>
      <c r="Q406" s="566"/>
      <c r="R406" s="566"/>
      <c r="S406" s="566"/>
      <c r="T406" s="566"/>
      <c r="U406" s="566"/>
      <c r="V406" s="566"/>
      <c r="W406" s="566"/>
      <c r="X406" s="566"/>
      <c r="Y406" s="566"/>
      <c r="Z406" s="566"/>
      <c r="AA406" s="566"/>
      <c r="AB406" s="566"/>
      <c r="AC406" s="566"/>
      <c r="AD406" s="566"/>
      <c r="AE406" s="566"/>
      <c r="AF406" s="566"/>
      <c r="AG406" s="566"/>
      <c r="AH406" s="566"/>
      <c r="AI406" s="566"/>
      <c r="AJ406" s="566"/>
      <c r="AK406" s="566"/>
      <c r="AL406" s="566"/>
      <c r="AM406" s="566"/>
      <c r="AN406" s="566"/>
      <c r="AO406" s="566"/>
    </row>
    <row r="407" spans="2:41" x14ac:dyDescent="0.15">
      <c r="B407" s="567">
        <v>3</v>
      </c>
      <c r="C407" s="566">
        <v>0.31324200913242012</v>
      </c>
      <c r="D407" s="566"/>
      <c r="E407" s="566"/>
      <c r="F407" s="566"/>
      <c r="G407" s="566"/>
      <c r="H407" s="566"/>
      <c r="I407" s="566"/>
      <c r="J407" s="566"/>
      <c r="K407" s="566"/>
      <c r="L407" s="566"/>
      <c r="M407" s="566"/>
      <c r="N407" s="566"/>
      <c r="O407" s="566"/>
      <c r="P407" s="566"/>
      <c r="Q407" s="566"/>
      <c r="R407" s="566"/>
      <c r="S407" s="566"/>
      <c r="T407" s="566"/>
      <c r="U407" s="566"/>
      <c r="V407" s="566"/>
      <c r="W407" s="566"/>
      <c r="X407" s="566"/>
      <c r="Y407" s="566"/>
      <c r="Z407" s="566"/>
      <c r="AA407" s="566"/>
      <c r="AB407" s="566"/>
      <c r="AC407" s="566"/>
      <c r="AD407" s="566"/>
      <c r="AE407" s="566"/>
      <c r="AF407" s="566"/>
      <c r="AG407" s="566"/>
      <c r="AH407" s="566"/>
      <c r="AI407" s="566"/>
      <c r="AJ407" s="566"/>
      <c r="AK407" s="566"/>
      <c r="AL407" s="566"/>
      <c r="AM407" s="566"/>
      <c r="AN407" s="566"/>
      <c r="AO407" s="566"/>
    </row>
    <row r="408" spans="2:41" x14ac:dyDescent="0.15">
      <c r="B408" s="567">
        <v>4</v>
      </c>
      <c r="C408" s="566">
        <v>0.3476027397260274</v>
      </c>
      <c r="D408" s="566"/>
      <c r="E408" s="566"/>
      <c r="F408" s="566"/>
      <c r="G408" s="566"/>
      <c r="H408" s="566"/>
      <c r="I408" s="566"/>
      <c r="J408" s="566"/>
      <c r="K408" s="566"/>
      <c r="L408" s="566"/>
      <c r="M408" s="566"/>
      <c r="N408" s="566"/>
      <c r="O408" s="566"/>
      <c r="P408" s="566"/>
      <c r="Q408" s="566"/>
      <c r="R408" s="566"/>
      <c r="S408" s="566"/>
      <c r="T408" s="566"/>
      <c r="U408" s="566"/>
      <c r="V408" s="566"/>
      <c r="W408" s="566"/>
      <c r="X408" s="566"/>
      <c r="Y408" s="566"/>
      <c r="Z408" s="566"/>
      <c r="AA408" s="566"/>
      <c r="AB408" s="566"/>
      <c r="AC408" s="566"/>
      <c r="AD408" s="566"/>
      <c r="AE408" s="566"/>
      <c r="AF408" s="566"/>
      <c r="AG408" s="566"/>
      <c r="AH408" s="566"/>
      <c r="AI408" s="566"/>
      <c r="AJ408" s="566"/>
      <c r="AK408" s="566"/>
      <c r="AL408" s="566"/>
      <c r="AM408" s="566"/>
      <c r="AN408" s="566"/>
      <c r="AO408" s="566"/>
    </row>
    <row r="409" spans="2:41" x14ac:dyDescent="0.15">
      <c r="B409" s="567">
        <v>5</v>
      </c>
      <c r="C409" s="566">
        <v>0.38367579908675797</v>
      </c>
      <c r="D409" s="566"/>
      <c r="E409" s="566"/>
      <c r="F409" s="566"/>
      <c r="G409" s="566"/>
      <c r="H409" s="566"/>
      <c r="I409" s="566"/>
      <c r="J409" s="566"/>
      <c r="K409" s="566"/>
      <c r="L409" s="566"/>
      <c r="M409" s="566"/>
      <c r="N409" s="566"/>
      <c r="O409" s="566"/>
      <c r="P409" s="566"/>
      <c r="Q409" s="566"/>
      <c r="R409" s="566"/>
      <c r="S409" s="566"/>
      <c r="T409" s="566"/>
      <c r="U409" s="566"/>
      <c r="V409" s="566"/>
      <c r="W409" s="566"/>
      <c r="X409" s="566"/>
      <c r="Y409" s="566"/>
      <c r="Z409" s="566"/>
      <c r="AA409" s="566"/>
      <c r="AB409" s="566"/>
      <c r="AC409" s="566"/>
      <c r="AD409" s="566"/>
      <c r="AE409" s="566"/>
      <c r="AF409" s="566"/>
      <c r="AG409" s="566"/>
      <c r="AH409" s="566"/>
      <c r="AI409" s="566"/>
      <c r="AJ409" s="566"/>
      <c r="AK409" s="566"/>
      <c r="AL409" s="566"/>
      <c r="AM409" s="566"/>
      <c r="AN409" s="566"/>
      <c r="AO409" s="566"/>
    </row>
    <row r="410" spans="2:41" x14ac:dyDescent="0.15">
      <c r="B410" s="567">
        <v>6</v>
      </c>
      <c r="C410" s="566">
        <v>0.40742009132420093</v>
      </c>
      <c r="D410" s="566"/>
      <c r="E410" s="566"/>
      <c r="F410" s="566"/>
      <c r="G410" s="566"/>
      <c r="H410" s="566"/>
      <c r="I410" s="566"/>
      <c r="J410" s="566"/>
      <c r="K410" s="566"/>
      <c r="L410" s="566"/>
      <c r="M410" s="566"/>
      <c r="N410" s="566"/>
      <c r="O410" s="566"/>
      <c r="P410" s="566"/>
      <c r="Q410" s="566"/>
      <c r="R410" s="566"/>
      <c r="S410" s="566"/>
      <c r="T410" s="566"/>
      <c r="U410" s="566"/>
      <c r="V410" s="566"/>
      <c r="W410" s="566"/>
      <c r="X410" s="566"/>
      <c r="Y410" s="566"/>
      <c r="Z410" s="566"/>
      <c r="AA410" s="566"/>
      <c r="AB410" s="566"/>
      <c r="AC410" s="566"/>
      <c r="AD410" s="566"/>
      <c r="AE410" s="566"/>
      <c r="AF410" s="566"/>
      <c r="AG410" s="566"/>
      <c r="AH410" s="566"/>
      <c r="AI410" s="566"/>
      <c r="AJ410" s="566"/>
      <c r="AK410" s="566"/>
      <c r="AL410" s="566"/>
      <c r="AM410" s="566"/>
      <c r="AN410" s="566"/>
      <c r="AO410" s="566"/>
    </row>
    <row r="411" spans="2:41" x14ac:dyDescent="0.15">
      <c r="B411" s="567">
        <v>7</v>
      </c>
      <c r="C411" s="566">
        <v>0.4480593607305936</v>
      </c>
      <c r="D411" s="566"/>
      <c r="E411" s="566"/>
      <c r="F411" s="566"/>
      <c r="G411" s="566"/>
      <c r="H411" s="566"/>
      <c r="I411" s="566"/>
      <c r="J411" s="566"/>
      <c r="K411" s="566"/>
      <c r="L411" s="566"/>
      <c r="M411" s="566"/>
      <c r="N411" s="566"/>
      <c r="O411" s="566"/>
      <c r="P411" s="566"/>
      <c r="Q411" s="566"/>
      <c r="R411" s="566"/>
      <c r="S411" s="566"/>
      <c r="T411" s="566"/>
      <c r="U411" s="566"/>
      <c r="V411" s="566"/>
      <c r="W411" s="566"/>
      <c r="X411" s="566"/>
      <c r="Y411" s="566"/>
      <c r="Z411" s="566"/>
      <c r="AA411" s="566"/>
      <c r="AB411" s="566"/>
      <c r="AC411" s="566"/>
      <c r="AD411" s="566"/>
      <c r="AE411" s="566"/>
      <c r="AF411" s="566"/>
      <c r="AG411" s="566"/>
      <c r="AH411" s="566"/>
      <c r="AI411" s="566"/>
      <c r="AJ411" s="566"/>
      <c r="AK411" s="566"/>
      <c r="AL411" s="566"/>
      <c r="AM411" s="566"/>
      <c r="AN411" s="566"/>
      <c r="AO411" s="566"/>
    </row>
    <row r="412" spans="2:41" x14ac:dyDescent="0.15">
      <c r="B412" s="567">
        <v>8</v>
      </c>
      <c r="C412" s="566">
        <v>0.48413242009132418</v>
      </c>
      <c r="D412" s="566"/>
      <c r="E412" s="566"/>
      <c r="F412" s="566"/>
      <c r="G412" s="566"/>
      <c r="H412" s="566"/>
      <c r="I412" s="566"/>
      <c r="J412" s="566"/>
      <c r="K412" s="566"/>
      <c r="L412" s="566"/>
      <c r="M412" s="566"/>
      <c r="N412" s="566"/>
      <c r="O412" s="566"/>
      <c r="P412" s="566"/>
      <c r="Q412" s="566"/>
      <c r="R412" s="566"/>
      <c r="S412" s="566"/>
      <c r="T412" s="566"/>
      <c r="U412" s="566"/>
      <c r="V412" s="566"/>
      <c r="W412" s="566"/>
      <c r="X412" s="566"/>
      <c r="Y412" s="566"/>
      <c r="Z412" s="566"/>
      <c r="AA412" s="566"/>
      <c r="AB412" s="566"/>
      <c r="AC412" s="566"/>
      <c r="AD412" s="566"/>
      <c r="AE412" s="566"/>
      <c r="AF412" s="566"/>
      <c r="AG412" s="566"/>
      <c r="AH412" s="566"/>
      <c r="AI412" s="566"/>
      <c r="AJ412" s="566"/>
      <c r="AK412" s="566"/>
      <c r="AL412" s="566"/>
      <c r="AM412" s="566"/>
      <c r="AN412" s="566"/>
      <c r="AO412" s="566"/>
    </row>
    <row r="413" spans="2:41" x14ac:dyDescent="0.15">
      <c r="B413" s="567">
        <v>9</v>
      </c>
      <c r="C413" s="566">
        <v>0.52465753424657535</v>
      </c>
      <c r="D413" s="566"/>
      <c r="E413" s="566"/>
      <c r="F413" s="566"/>
      <c r="G413" s="566"/>
      <c r="H413" s="566"/>
      <c r="I413" s="566"/>
      <c r="J413" s="566"/>
      <c r="K413" s="566"/>
      <c r="L413" s="566"/>
      <c r="M413" s="566"/>
      <c r="N413" s="566"/>
      <c r="O413" s="566"/>
      <c r="P413" s="566"/>
      <c r="Q413" s="566"/>
      <c r="R413" s="566"/>
      <c r="S413" s="566"/>
      <c r="T413" s="566"/>
      <c r="U413" s="566"/>
      <c r="V413" s="566"/>
      <c r="W413" s="566"/>
      <c r="X413" s="566"/>
      <c r="Y413" s="566"/>
      <c r="Z413" s="566"/>
      <c r="AA413" s="566"/>
      <c r="AB413" s="566"/>
      <c r="AC413" s="566"/>
      <c r="AD413" s="566"/>
      <c r="AE413" s="566"/>
      <c r="AF413" s="566"/>
      <c r="AG413" s="566"/>
      <c r="AH413" s="566"/>
      <c r="AI413" s="566"/>
      <c r="AJ413" s="566"/>
      <c r="AK413" s="566"/>
      <c r="AL413" s="566"/>
      <c r="AM413" s="566"/>
      <c r="AN413" s="566"/>
      <c r="AO413" s="566"/>
    </row>
    <row r="414" spans="2:41" x14ac:dyDescent="0.15">
      <c r="B414" s="567">
        <v>10</v>
      </c>
      <c r="C414" s="566">
        <v>0.5639269406392694</v>
      </c>
      <c r="D414" s="566"/>
      <c r="E414" s="566"/>
      <c r="F414" s="566"/>
      <c r="G414" s="566"/>
      <c r="H414" s="566"/>
      <c r="I414" s="566"/>
      <c r="J414" s="566"/>
      <c r="K414" s="566"/>
      <c r="L414" s="566"/>
      <c r="M414" s="566"/>
      <c r="N414" s="566"/>
      <c r="O414" s="566"/>
      <c r="P414" s="566"/>
      <c r="Q414" s="566"/>
      <c r="R414" s="566"/>
      <c r="S414" s="566"/>
      <c r="T414" s="566"/>
      <c r="U414" s="566"/>
      <c r="V414" s="566"/>
      <c r="W414" s="566"/>
      <c r="X414" s="566"/>
      <c r="Y414" s="566"/>
      <c r="Z414" s="566"/>
      <c r="AA414" s="566"/>
      <c r="AB414" s="566"/>
      <c r="AC414" s="566"/>
      <c r="AD414" s="566"/>
      <c r="AE414" s="566"/>
      <c r="AF414" s="566"/>
      <c r="AG414" s="566"/>
      <c r="AH414" s="566"/>
      <c r="AI414" s="566"/>
      <c r="AJ414" s="566"/>
      <c r="AK414" s="566"/>
      <c r="AL414" s="566"/>
      <c r="AM414" s="566"/>
      <c r="AN414" s="566"/>
      <c r="AO414" s="566"/>
    </row>
    <row r="415" spans="2:41" x14ac:dyDescent="0.15">
      <c r="B415" s="567">
        <v>11</v>
      </c>
      <c r="C415" s="566">
        <v>0.58424657534246571</v>
      </c>
      <c r="D415" s="566"/>
      <c r="E415" s="566"/>
      <c r="F415" s="566"/>
      <c r="G415" s="566"/>
      <c r="H415" s="566"/>
      <c r="I415" s="566"/>
      <c r="J415" s="566"/>
      <c r="K415" s="566"/>
      <c r="L415" s="566"/>
      <c r="M415" s="566"/>
      <c r="N415" s="566"/>
      <c r="O415" s="566"/>
      <c r="P415" s="566"/>
      <c r="Q415" s="566"/>
      <c r="R415" s="566"/>
      <c r="S415" s="566"/>
      <c r="T415" s="566"/>
      <c r="U415" s="566"/>
      <c r="V415" s="566"/>
      <c r="W415" s="566"/>
      <c r="X415" s="566"/>
      <c r="Y415" s="566"/>
      <c r="Z415" s="566"/>
      <c r="AA415" s="566"/>
      <c r="AB415" s="566"/>
      <c r="AC415" s="566"/>
      <c r="AD415" s="566"/>
      <c r="AE415" s="566"/>
      <c r="AF415" s="566"/>
      <c r="AG415" s="566"/>
      <c r="AH415" s="566"/>
      <c r="AI415" s="566"/>
      <c r="AJ415" s="566"/>
      <c r="AK415" s="566"/>
      <c r="AL415" s="566"/>
      <c r="AM415" s="566"/>
      <c r="AN415" s="566"/>
      <c r="AO415" s="566"/>
    </row>
    <row r="416" spans="2:41" x14ac:dyDescent="0.15">
      <c r="B416" s="567">
        <v>12</v>
      </c>
      <c r="C416" s="566">
        <v>0.62785388127853881</v>
      </c>
      <c r="D416" s="566"/>
      <c r="E416" s="566"/>
      <c r="F416" s="566"/>
      <c r="G416" s="566"/>
      <c r="H416" s="566"/>
      <c r="I416" s="566"/>
      <c r="J416" s="566"/>
      <c r="K416" s="566"/>
      <c r="L416" s="566"/>
      <c r="M416" s="566"/>
      <c r="N416" s="566"/>
      <c r="O416" s="566"/>
      <c r="P416" s="566"/>
      <c r="Q416" s="566"/>
      <c r="R416" s="566"/>
      <c r="S416" s="566"/>
      <c r="T416" s="566"/>
      <c r="U416" s="566"/>
      <c r="V416" s="566"/>
      <c r="W416" s="566"/>
      <c r="X416" s="566"/>
      <c r="Y416" s="566"/>
      <c r="Z416" s="566"/>
      <c r="AA416" s="566"/>
      <c r="AB416" s="566"/>
      <c r="AC416" s="566"/>
      <c r="AD416" s="566"/>
      <c r="AE416" s="566"/>
      <c r="AF416" s="566"/>
      <c r="AG416" s="566"/>
      <c r="AH416" s="566"/>
      <c r="AI416" s="566"/>
      <c r="AJ416" s="566"/>
      <c r="AK416" s="566"/>
      <c r="AL416" s="566"/>
      <c r="AM416" s="566"/>
      <c r="AN416" s="566"/>
      <c r="AO416" s="566"/>
    </row>
    <row r="417" spans="2:41" x14ac:dyDescent="0.15">
      <c r="B417" s="567">
        <v>13</v>
      </c>
      <c r="C417" s="566">
        <v>0.66997716894977166</v>
      </c>
      <c r="D417" s="566"/>
      <c r="E417" s="566"/>
      <c r="F417" s="566"/>
      <c r="G417" s="566"/>
      <c r="H417" s="566"/>
      <c r="I417" s="566"/>
      <c r="J417" s="566"/>
      <c r="K417" s="566"/>
      <c r="L417" s="566"/>
      <c r="M417" s="566"/>
      <c r="N417" s="566"/>
      <c r="O417" s="566"/>
      <c r="P417" s="566"/>
      <c r="Q417" s="566"/>
      <c r="R417" s="566"/>
      <c r="S417" s="566"/>
      <c r="T417" s="566"/>
      <c r="U417" s="566"/>
      <c r="V417" s="566"/>
      <c r="W417" s="566"/>
      <c r="X417" s="566"/>
      <c r="Y417" s="566"/>
      <c r="Z417" s="566"/>
      <c r="AA417" s="566"/>
      <c r="AB417" s="566"/>
      <c r="AC417" s="566"/>
      <c r="AD417" s="566"/>
      <c r="AE417" s="566"/>
      <c r="AF417" s="566"/>
      <c r="AG417" s="566"/>
      <c r="AH417" s="566"/>
      <c r="AI417" s="566"/>
      <c r="AJ417" s="566"/>
      <c r="AK417" s="566"/>
      <c r="AL417" s="566"/>
      <c r="AM417" s="566"/>
      <c r="AN417" s="566"/>
      <c r="AO417" s="566"/>
    </row>
    <row r="418" spans="2:41" x14ac:dyDescent="0.15">
      <c r="B418" s="567">
        <v>14</v>
      </c>
      <c r="C418" s="566">
        <v>0.7179223744292238</v>
      </c>
      <c r="D418" s="566"/>
      <c r="E418" s="566"/>
      <c r="F418" s="566"/>
      <c r="G418" s="566"/>
      <c r="H418" s="566"/>
      <c r="I418" s="566"/>
      <c r="J418" s="566"/>
      <c r="K418" s="566"/>
      <c r="L418" s="566"/>
      <c r="M418" s="566"/>
      <c r="N418" s="566"/>
      <c r="O418" s="566"/>
      <c r="P418" s="566"/>
      <c r="Q418" s="566"/>
      <c r="R418" s="566"/>
      <c r="S418" s="566"/>
      <c r="T418" s="566"/>
      <c r="U418" s="566"/>
      <c r="V418" s="566"/>
      <c r="W418" s="566"/>
      <c r="X418" s="566"/>
      <c r="Y418" s="566"/>
      <c r="Z418" s="566"/>
      <c r="AA418" s="566"/>
      <c r="AB418" s="566"/>
      <c r="AC418" s="566"/>
      <c r="AD418" s="566"/>
      <c r="AE418" s="566"/>
      <c r="AF418" s="566"/>
      <c r="AG418" s="566"/>
      <c r="AH418" s="566"/>
      <c r="AI418" s="566"/>
      <c r="AJ418" s="566"/>
      <c r="AK418" s="566"/>
      <c r="AL418" s="566"/>
      <c r="AM418" s="566"/>
      <c r="AN418" s="566"/>
      <c r="AO418" s="566"/>
    </row>
    <row r="419" spans="2:41" x14ac:dyDescent="0.15">
      <c r="B419" s="567">
        <v>15</v>
      </c>
      <c r="C419" s="566">
        <v>0.76210045662100456</v>
      </c>
      <c r="D419" s="566"/>
      <c r="E419" s="566"/>
      <c r="F419" s="566"/>
      <c r="G419" s="566"/>
      <c r="H419" s="566"/>
      <c r="I419" s="566"/>
      <c r="J419" s="566"/>
      <c r="K419" s="566"/>
      <c r="L419" s="566"/>
      <c r="M419" s="566"/>
      <c r="N419" s="566"/>
      <c r="O419" s="566"/>
      <c r="P419" s="566"/>
      <c r="Q419" s="566"/>
      <c r="R419" s="566"/>
      <c r="S419" s="566"/>
      <c r="T419" s="566"/>
      <c r="U419" s="566"/>
      <c r="V419" s="566"/>
      <c r="W419" s="566"/>
      <c r="X419" s="566"/>
      <c r="Y419" s="566"/>
      <c r="Z419" s="566"/>
      <c r="AA419" s="566"/>
      <c r="AB419" s="566"/>
      <c r="AC419" s="566"/>
      <c r="AD419" s="566"/>
      <c r="AE419" s="566"/>
      <c r="AF419" s="566"/>
      <c r="AG419" s="566"/>
      <c r="AH419" s="566"/>
      <c r="AI419" s="566"/>
      <c r="AJ419" s="566"/>
      <c r="AK419" s="566"/>
      <c r="AL419" s="566"/>
      <c r="AM419" s="566"/>
      <c r="AN419" s="566"/>
      <c r="AO419" s="566"/>
    </row>
    <row r="420" spans="2:41" x14ac:dyDescent="0.15">
      <c r="B420" s="567">
        <v>16</v>
      </c>
      <c r="C420" s="566">
        <v>0.78047945205479452</v>
      </c>
      <c r="D420" s="566"/>
      <c r="E420" s="566"/>
      <c r="F420" s="566"/>
      <c r="G420" s="566"/>
      <c r="H420" s="566"/>
      <c r="I420" s="566"/>
      <c r="J420" s="566"/>
      <c r="K420" s="566"/>
      <c r="L420" s="566"/>
      <c r="M420" s="566"/>
      <c r="N420" s="566"/>
      <c r="O420" s="566"/>
      <c r="P420" s="566"/>
      <c r="Q420" s="566"/>
      <c r="R420" s="566"/>
      <c r="S420" s="566"/>
      <c r="T420" s="566"/>
      <c r="U420" s="566"/>
      <c r="V420" s="566"/>
      <c r="W420" s="566"/>
      <c r="X420" s="566"/>
      <c r="Y420" s="566"/>
      <c r="Z420" s="566"/>
      <c r="AA420" s="566"/>
      <c r="AB420" s="566"/>
      <c r="AC420" s="566"/>
      <c r="AD420" s="566"/>
      <c r="AE420" s="566"/>
      <c r="AF420" s="566"/>
      <c r="AG420" s="566"/>
      <c r="AH420" s="566"/>
      <c r="AI420" s="566"/>
      <c r="AJ420" s="566"/>
      <c r="AK420" s="566"/>
      <c r="AL420" s="566"/>
      <c r="AM420" s="566"/>
      <c r="AN420" s="566"/>
      <c r="AO420" s="566"/>
    </row>
    <row r="421" spans="2:41" x14ac:dyDescent="0.15">
      <c r="B421" s="567">
        <v>17</v>
      </c>
      <c r="C421" s="566">
        <v>0.82351598173515983</v>
      </c>
      <c r="D421" s="566"/>
      <c r="E421" s="566"/>
      <c r="F421" s="566"/>
      <c r="G421" s="566"/>
      <c r="H421" s="566"/>
      <c r="I421" s="566"/>
      <c r="J421" s="566"/>
      <c r="K421" s="566"/>
      <c r="L421" s="566"/>
      <c r="M421" s="566"/>
      <c r="N421" s="566"/>
      <c r="O421" s="566"/>
      <c r="P421" s="566"/>
      <c r="Q421" s="566"/>
      <c r="R421" s="566"/>
      <c r="S421" s="566"/>
      <c r="T421" s="566"/>
      <c r="U421" s="566"/>
      <c r="V421" s="566"/>
      <c r="W421" s="566"/>
      <c r="X421" s="566"/>
      <c r="Y421" s="566"/>
      <c r="Z421" s="566"/>
      <c r="AA421" s="566"/>
      <c r="AB421" s="566"/>
      <c r="AC421" s="566"/>
      <c r="AD421" s="566"/>
      <c r="AE421" s="566"/>
      <c r="AF421" s="566"/>
      <c r="AG421" s="566"/>
      <c r="AH421" s="566"/>
      <c r="AI421" s="566"/>
      <c r="AJ421" s="566"/>
      <c r="AK421" s="566"/>
      <c r="AL421" s="566"/>
      <c r="AM421" s="566"/>
      <c r="AN421" s="566"/>
      <c r="AO421" s="566"/>
    </row>
    <row r="422" spans="2:41" x14ac:dyDescent="0.15">
      <c r="B422" s="567">
        <v>18</v>
      </c>
      <c r="C422" s="566">
        <v>0.86461187214611868</v>
      </c>
      <c r="D422" s="566"/>
      <c r="E422" s="566"/>
      <c r="F422" s="566"/>
      <c r="G422" s="566"/>
      <c r="H422" s="566"/>
      <c r="I422" s="566"/>
      <c r="J422" s="566"/>
      <c r="K422" s="566"/>
      <c r="L422" s="566"/>
      <c r="M422" s="566"/>
      <c r="N422" s="566"/>
      <c r="O422" s="566"/>
      <c r="P422" s="566"/>
      <c r="Q422" s="566"/>
      <c r="R422" s="566"/>
      <c r="S422" s="566"/>
      <c r="T422" s="566"/>
      <c r="U422" s="566"/>
      <c r="V422" s="566"/>
      <c r="W422" s="566"/>
      <c r="X422" s="566"/>
      <c r="Y422" s="566"/>
      <c r="Z422" s="566"/>
      <c r="AA422" s="566"/>
      <c r="AB422" s="566"/>
      <c r="AC422" s="566"/>
      <c r="AD422" s="566"/>
      <c r="AE422" s="566"/>
      <c r="AF422" s="566"/>
      <c r="AG422" s="566"/>
      <c r="AH422" s="566"/>
      <c r="AI422" s="566"/>
      <c r="AJ422" s="566"/>
      <c r="AK422" s="566"/>
      <c r="AL422" s="566"/>
      <c r="AM422" s="566"/>
      <c r="AN422" s="566"/>
      <c r="AO422" s="566"/>
    </row>
    <row r="423" spans="2:41" x14ac:dyDescent="0.15">
      <c r="B423" s="567">
        <v>19</v>
      </c>
      <c r="C423" s="566">
        <v>0.89452054794520552</v>
      </c>
      <c r="D423" s="566"/>
      <c r="E423" s="566"/>
      <c r="F423" s="566"/>
      <c r="G423" s="566"/>
      <c r="H423" s="566"/>
      <c r="I423" s="566"/>
      <c r="J423" s="566"/>
      <c r="K423" s="566"/>
      <c r="L423" s="566"/>
      <c r="M423" s="566"/>
      <c r="N423" s="566"/>
      <c r="O423" s="566"/>
      <c r="P423" s="566"/>
      <c r="Q423" s="566"/>
      <c r="R423" s="566"/>
      <c r="S423" s="566"/>
      <c r="T423" s="566"/>
      <c r="U423" s="566"/>
      <c r="V423" s="566"/>
      <c r="W423" s="566"/>
      <c r="X423" s="566"/>
      <c r="Y423" s="566"/>
      <c r="Z423" s="566"/>
      <c r="AA423" s="566"/>
      <c r="AB423" s="566"/>
      <c r="AC423" s="566"/>
      <c r="AD423" s="566"/>
      <c r="AE423" s="566"/>
      <c r="AF423" s="566"/>
      <c r="AG423" s="566"/>
      <c r="AH423" s="566"/>
      <c r="AI423" s="566"/>
      <c r="AJ423" s="566"/>
      <c r="AK423" s="566"/>
      <c r="AL423" s="566"/>
      <c r="AM423" s="566"/>
      <c r="AN423" s="566"/>
      <c r="AO423" s="566"/>
    </row>
    <row r="424" spans="2:41" x14ac:dyDescent="0.15">
      <c r="B424" s="567">
        <v>20</v>
      </c>
      <c r="C424" s="566">
        <v>0.92123287671232879</v>
      </c>
      <c r="D424" s="566"/>
      <c r="E424" s="566"/>
      <c r="F424" s="566"/>
      <c r="G424" s="566"/>
      <c r="H424" s="566"/>
      <c r="I424" s="566"/>
      <c r="J424" s="566"/>
      <c r="K424" s="566"/>
      <c r="L424" s="566"/>
      <c r="M424" s="566"/>
      <c r="N424" s="566"/>
      <c r="O424" s="566"/>
      <c r="P424" s="566"/>
      <c r="Q424" s="566"/>
      <c r="R424" s="566"/>
      <c r="S424" s="566"/>
      <c r="T424" s="566"/>
      <c r="U424" s="566"/>
      <c r="V424" s="566"/>
      <c r="W424" s="566"/>
      <c r="X424" s="566"/>
      <c r="Y424" s="566"/>
      <c r="Z424" s="566"/>
      <c r="AA424" s="566"/>
      <c r="AB424" s="566"/>
      <c r="AC424" s="566"/>
      <c r="AD424" s="566"/>
      <c r="AE424" s="566"/>
      <c r="AF424" s="566"/>
      <c r="AG424" s="566"/>
      <c r="AH424" s="566"/>
      <c r="AI424" s="566"/>
      <c r="AJ424" s="566"/>
      <c r="AK424" s="566"/>
      <c r="AL424" s="566"/>
      <c r="AM424" s="566"/>
      <c r="AN424" s="566"/>
      <c r="AO424" s="566"/>
    </row>
    <row r="425" spans="2:41" x14ac:dyDescent="0.15">
      <c r="B425" s="567">
        <v>21</v>
      </c>
      <c r="C425" s="566">
        <v>0.93287671232876712</v>
      </c>
      <c r="D425" s="566"/>
      <c r="E425" s="566"/>
      <c r="F425" s="566"/>
      <c r="G425" s="566"/>
      <c r="H425" s="566"/>
      <c r="I425" s="566"/>
      <c r="J425" s="566"/>
      <c r="K425" s="566"/>
      <c r="L425" s="566"/>
      <c r="M425" s="566"/>
      <c r="N425" s="566"/>
      <c r="O425" s="566"/>
      <c r="P425" s="566"/>
      <c r="Q425" s="566"/>
      <c r="R425" s="566"/>
      <c r="S425" s="566"/>
      <c r="T425" s="566"/>
      <c r="U425" s="566"/>
      <c r="V425" s="566"/>
      <c r="W425" s="566"/>
      <c r="X425" s="566"/>
      <c r="Y425" s="566"/>
      <c r="Z425" s="566"/>
      <c r="AA425" s="566"/>
      <c r="AB425" s="566"/>
      <c r="AC425" s="566"/>
      <c r="AD425" s="566"/>
      <c r="AE425" s="566"/>
      <c r="AF425" s="566"/>
      <c r="AG425" s="566"/>
      <c r="AH425" s="566"/>
      <c r="AI425" s="566"/>
      <c r="AJ425" s="566"/>
      <c r="AK425" s="566"/>
      <c r="AL425" s="566"/>
      <c r="AM425" s="566"/>
      <c r="AN425" s="566"/>
      <c r="AO425" s="566"/>
    </row>
    <row r="426" spans="2:41" x14ac:dyDescent="0.15">
      <c r="B426" s="567">
        <v>22</v>
      </c>
      <c r="C426" s="566">
        <v>0.95091324200913241</v>
      </c>
      <c r="D426" s="566"/>
      <c r="E426" s="566"/>
      <c r="F426" s="566"/>
      <c r="G426" s="566"/>
      <c r="H426" s="566"/>
      <c r="I426" s="566"/>
      <c r="J426" s="566"/>
      <c r="K426" s="566"/>
      <c r="L426" s="566"/>
      <c r="M426" s="566"/>
      <c r="N426" s="566"/>
      <c r="O426" s="566"/>
      <c r="P426" s="566"/>
      <c r="Q426" s="566"/>
      <c r="R426" s="566"/>
      <c r="S426" s="566"/>
      <c r="T426" s="566"/>
      <c r="U426" s="566"/>
      <c r="V426" s="566"/>
      <c r="W426" s="566"/>
      <c r="X426" s="566"/>
      <c r="Y426" s="566"/>
      <c r="Z426" s="566"/>
      <c r="AA426" s="566"/>
      <c r="AB426" s="566"/>
      <c r="AC426" s="566"/>
      <c r="AD426" s="566"/>
      <c r="AE426" s="566"/>
      <c r="AF426" s="566"/>
      <c r="AG426" s="566"/>
      <c r="AH426" s="566"/>
      <c r="AI426" s="566"/>
      <c r="AJ426" s="566"/>
      <c r="AK426" s="566"/>
      <c r="AL426" s="566"/>
      <c r="AM426" s="566"/>
      <c r="AN426" s="566"/>
      <c r="AO426" s="566"/>
    </row>
    <row r="427" spans="2:41" x14ac:dyDescent="0.15">
      <c r="B427" s="567">
        <v>23</v>
      </c>
      <c r="C427" s="566">
        <v>0.9671232876712329</v>
      </c>
      <c r="D427" s="566"/>
      <c r="E427" s="566"/>
      <c r="F427" s="566"/>
      <c r="G427" s="566"/>
      <c r="H427" s="566"/>
      <c r="I427" s="566"/>
      <c r="J427" s="566"/>
      <c r="K427" s="566"/>
      <c r="L427" s="566"/>
      <c r="M427" s="566"/>
      <c r="N427" s="566"/>
      <c r="O427" s="566"/>
      <c r="P427" s="566"/>
      <c r="Q427" s="566"/>
      <c r="R427" s="566"/>
      <c r="S427" s="566"/>
      <c r="T427" s="566"/>
      <c r="U427" s="566"/>
      <c r="V427" s="566"/>
      <c r="W427" s="566"/>
      <c r="X427" s="566"/>
      <c r="Y427" s="566"/>
      <c r="Z427" s="566"/>
      <c r="AA427" s="566"/>
      <c r="AB427" s="566"/>
      <c r="AC427" s="566"/>
      <c r="AD427" s="566"/>
      <c r="AE427" s="566"/>
      <c r="AF427" s="566"/>
      <c r="AG427" s="566"/>
      <c r="AH427" s="566"/>
      <c r="AI427" s="566"/>
      <c r="AJ427" s="566"/>
      <c r="AK427" s="566"/>
      <c r="AL427" s="566"/>
      <c r="AM427" s="566"/>
      <c r="AN427" s="566"/>
      <c r="AO427" s="566"/>
    </row>
    <row r="428" spans="2:41" x14ac:dyDescent="0.15">
      <c r="B428" s="567">
        <v>24</v>
      </c>
      <c r="C428" s="566">
        <v>0.97819634703196345</v>
      </c>
      <c r="D428" s="566"/>
      <c r="E428" s="566"/>
      <c r="F428" s="566"/>
      <c r="G428" s="566"/>
      <c r="H428" s="566"/>
      <c r="I428" s="566"/>
      <c r="J428" s="566"/>
      <c r="K428" s="566"/>
      <c r="L428" s="566"/>
      <c r="M428" s="566"/>
      <c r="N428" s="566"/>
      <c r="O428" s="566"/>
      <c r="P428" s="566"/>
      <c r="Q428" s="566"/>
      <c r="R428" s="566"/>
      <c r="S428" s="566"/>
      <c r="T428" s="566"/>
      <c r="U428" s="566"/>
      <c r="V428" s="566"/>
      <c r="W428" s="566"/>
      <c r="X428" s="566"/>
      <c r="Y428" s="566"/>
      <c r="Z428" s="566"/>
      <c r="AA428" s="566"/>
      <c r="AB428" s="566"/>
      <c r="AC428" s="566"/>
      <c r="AD428" s="566"/>
      <c r="AE428" s="566"/>
      <c r="AF428" s="566"/>
      <c r="AG428" s="566"/>
      <c r="AH428" s="566"/>
      <c r="AI428" s="566"/>
      <c r="AJ428" s="566"/>
      <c r="AK428" s="566"/>
      <c r="AL428" s="566"/>
      <c r="AM428" s="566"/>
      <c r="AN428" s="566"/>
      <c r="AO428" s="566"/>
    </row>
    <row r="429" spans="2:41" x14ac:dyDescent="0.15">
      <c r="B429" s="567">
        <v>25</v>
      </c>
      <c r="C429" s="566">
        <v>0.98732876712328765</v>
      </c>
      <c r="D429" s="566"/>
      <c r="E429" s="566"/>
      <c r="F429" s="566"/>
      <c r="G429" s="566"/>
      <c r="H429" s="566"/>
      <c r="I429" s="566"/>
      <c r="J429" s="566"/>
      <c r="K429" s="566"/>
      <c r="L429" s="566"/>
      <c r="M429" s="566"/>
      <c r="N429" s="566"/>
      <c r="O429" s="566"/>
      <c r="P429" s="566"/>
      <c r="Q429" s="566"/>
      <c r="R429" s="566"/>
      <c r="S429" s="566"/>
      <c r="T429" s="566"/>
      <c r="U429" s="566"/>
      <c r="V429" s="566"/>
      <c r="W429" s="566"/>
      <c r="X429" s="566"/>
      <c r="Y429" s="566"/>
      <c r="Z429" s="566"/>
      <c r="AA429" s="566"/>
      <c r="AB429" s="566"/>
      <c r="AC429" s="566"/>
      <c r="AD429" s="566"/>
      <c r="AE429" s="566"/>
      <c r="AF429" s="566"/>
      <c r="AG429" s="566"/>
      <c r="AH429" s="566"/>
      <c r="AI429" s="566"/>
      <c r="AJ429" s="566"/>
      <c r="AK429" s="566"/>
      <c r="AL429" s="566"/>
      <c r="AM429" s="566"/>
      <c r="AN429" s="566"/>
      <c r="AO429" s="566"/>
    </row>
    <row r="430" spans="2:41" x14ac:dyDescent="0.15">
      <c r="B430" s="567">
        <v>26</v>
      </c>
      <c r="C430" s="566">
        <v>0.99018264840182646</v>
      </c>
      <c r="D430" s="566"/>
      <c r="E430" s="566"/>
      <c r="F430" s="566"/>
      <c r="G430" s="566"/>
      <c r="H430" s="566"/>
      <c r="I430" s="566"/>
      <c r="J430" s="566"/>
      <c r="K430" s="566"/>
      <c r="L430" s="566"/>
      <c r="M430" s="566"/>
      <c r="N430" s="566"/>
      <c r="O430" s="566"/>
      <c r="P430" s="566"/>
      <c r="Q430" s="566"/>
      <c r="R430" s="566"/>
      <c r="S430" s="566"/>
      <c r="T430" s="566"/>
      <c r="U430" s="566"/>
      <c r="V430" s="566"/>
      <c r="W430" s="566"/>
      <c r="X430" s="566"/>
      <c r="Y430" s="566"/>
      <c r="Z430" s="566"/>
      <c r="AA430" s="566"/>
      <c r="AB430" s="566"/>
      <c r="AC430" s="566"/>
      <c r="AD430" s="566"/>
      <c r="AE430" s="566"/>
      <c r="AF430" s="566"/>
      <c r="AG430" s="566"/>
      <c r="AH430" s="566"/>
      <c r="AI430" s="566"/>
      <c r="AJ430" s="566"/>
      <c r="AK430" s="566"/>
      <c r="AL430" s="566"/>
      <c r="AM430" s="566"/>
      <c r="AN430" s="566"/>
      <c r="AO430" s="566"/>
    </row>
    <row r="431" spans="2:41" x14ac:dyDescent="0.15">
      <c r="B431" s="567">
        <v>27</v>
      </c>
      <c r="C431" s="566">
        <v>0.99543378995433784</v>
      </c>
      <c r="D431" s="566"/>
      <c r="E431" s="566"/>
      <c r="F431" s="566"/>
      <c r="G431" s="566"/>
      <c r="H431" s="566"/>
      <c r="I431" s="566"/>
      <c r="J431" s="566"/>
      <c r="K431" s="566"/>
      <c r="L431" s="566"/>
      <c r="M431" s="566"/>
      <c r="N431" s="566"/>
      <c r="O431" s="566"/>
      <c r="P431" s="566"/>
      <c r="Q431" s="566"/>
      <c r="R431" s="566"/>
      <c r="S431" s="566"/>
      <c r="T431" s="566"/>
      <c r="U431" s="566"/>
      <c r="V431" s="566"/>
      <c r="W431" s="566"/>
      <c r="X431" s="566"/>
      <c r="Y431" s="566"/>
      <c r="Z431" s="566"/>
      <c r="AA431" s="566"/>
      <c r="AB431" s="566"/>
      <c r="AC431" s="566"/>
      <c r="AD431" s="566"/>
      <c r="AE431" s="566"/>
      <c r="AF431" s="566"/>
      <c r="AG431" s="566"/>
      <c r="AH431" s="566"/>
      <c r="AI431" s="566"/>
      <c r="AJ431" s="566"/>
      <c r="AK431" s="566"/>
      <c r="AL431" s="566"/>
      <c r="AM431" s="566"/>
      <c r="AN431" s="566"/>
      <c r="AO431" s="566"/>
    </row>
    <row r="432" spans="2:41" x14ac:dyDescent="0.15">
      <c r="B432" s="567">
        <v>28</v>
      </c>
      <c r="C432" s="566">
        <v>0.99760273972602742</v>
      </c>
      <c r="D432" s="566"/>
      <c r="E432" s="566"/>
      <c r="F432" s="566"/>
      <c r="G432" s="566"/>
      <c r="H432" s="566"/>
      <c r="I432" s="566"/>
      <c r="J432" s="566"/>
      <c r="K432" s="566"/>
      <c r="L432" s="566"/>
      <c r="M432" s="566"/>
      <c r="N432" s="566"/>
      <c r="O432" s="566"/>
      <c r="P432" s="566"/>
      <c r="Q432" s="566"/>
      <c r="R432" s="566"/>
      <c r="S432" s="566"/>
      <c r="T432" s="566"/>
      <c r="U432" s="566"/>
      <c r="V432" s="566"/>
      <c r="W432" s="566"/>
      <c r="X432" s="566"/>
      <c r="Y432" s="566"/>
      <c r="Z432" s="566"/>
      <c r="AA432" s="566"/>
      <c r="AB432" s="566"/>
      <c r="AC432" s="566"/>
      <c r="AD432" s="566"/>
      <c r="AE432" s="566"/>
      <c r="AF432" s="566"/>
      <c r="AG432" s="566"/>
      <c r="AH432" s="566"/>
      <c r="AI432" s="566"/>
      <c r="AJ432" s="566"/>
      <c r="AK432" s="566"/>
      <c r="AL432" s="566"/>
      <c r="AM432" s="566"/>
      <c r="AN432" s="566"/>
      <c r="AO432" s="566"/>
    </row>
    <row r="433" spans="2:41" x14ac:dyDescent="0.15">
      <c r="B433" s="567">
        <v>29</v>
      </c>
      <c r="C433" s="566">
        <v>0.9992009132420091</v>
      </c>
      <c r="D433" s="566"/>
      <c r="E433" s="566"/>
      <c r="F433" s="566"/>
      <c r="G433" s="566"/>
      <c r="H433" s="566"/>
      <c r="I433" s="566"/>
      <c r="J433" s="566"/>
      <c r="K433" s="566"/>
      <c r="L433" s="566"/>
      <c r="M433" s="566"/>
      <c r="N433" s="566"/>
      <c r="O433" s="566"/>
      <c r="P433" s="566"/>
      <c r="Q433" s="566"/>
      <c r="R433" s="566"/>
      <c r="S433" s="566"/>
      <c r="T433" s="566"/>
      <c r="U433" s="566"/>
      <c r="V433" s="566"/>
      <c r="W433" s="566"/>
      <c r="X433" s="566"/>
      <c r="Y433" s="566"/>
      <c r="Z433" s="566"/>
      <c r="AA433" s="566"/>
      <c r="AB433" s="566"/>
      <c r="AC433" s="566"/>
      <c r="AD433" s="566"/>
      <c r="AE433" s="566"/>
      <c r="AF433" s="566"/>
      <c r="AG433" s="566"/>
      <c r="AH433" s="566"/>
      <c r="AI433" s="566"/>
      <c r="AJ433" s="566"/>
      <c r="AK433" s="566"/>
      <c r="AL433" s="566"/>
      <c r="AM433" s="566"/>
      <c r="AN433" s="566"/>
      <c r="AO433" s="566"/>
    </row>
    <row r="434" spans="2:41" x14ac:dyDescent="0.15">
      <c r="B434" s="567">
        <v>30</v>
      </c>
      <c r="C434" s="566">
        <v>1</v>
      </c>
      <c r="D434" s="566"/>
      <c r="E434" s="566"/>
      <c r="F434" s="566"/>
      <c r="G434" s="566"/>
      <c r="H434" s="566"/>
      <c r="I434" s="566"/>
      <c r="J434" s="566"/>
      <c r="K434" s="566"/>
      <c r="L434" s="566"/>
      <c r="M434" s="566"/>
      <c r="N434" s="566"/>
      <c r="O434" s="566"/>
      <c r="P434" s="566"/>
      <c r="Q434" s="566"/>
      <c r="R434" s="566"/>
      <c r="S434" s="566"/>
      <c r="T434" s="566"/>
      <c r="U434" s="566"/>
      <c r="V434" s="566"/>
      <c r="W434" s="566"/>
      <c r="X434" s="566"/>
      <c r="Y434" s="566"/>
      <c r="Z434" s="566"/>
      <c r="AA434" s="566"/>
      <c r="AB434" s="566"/>
      <c r="AC434" s="566"/>
      <c r="AD434" s="566"/>
      <c r="AE434" s="566"/>
      <c r="AF434" s="566"/>
      <c r="AG434" s="566"/>
      <c r="AH434" s="566"/>
      <c r="AI434" s="566"/>
      <c r="AJ434" s="566"/>
      <c r="AK434" s="566"/>
      <c r="AL434" s="566"/>
      <c r="AM434" s="566"/>
      <c r="AN434" s="566"/>
      <c r="AO434" s="566"/>
    </row>
    <row r="435" spans="2:41" x14ac:dyDescent="0.15">
      <c r="B435" s="567">
        <v>31</v>
      </c>
      <c r="C435" s="566">
        <v>1</v>
      </c>
      <c r="D435" s="566"/>
      <c r="E435" s="566"/>
      <c r="F435" s="566"/>
      <c r="G435" s="566"/>
      <c r="H435" s="566"/>
      <c r="I435" s="566"/>
      <c r="J435" s="566"/>
      <c r="K435" s="566"/>
      <c r="L435" s="566"/>
      <c r="M435" s="566"/>
      <c r="N435" s="566"/>
      <c r="O435" s="566"/>
      <c r="P435" s="566"/>
      <c r="Q435" s="566"/>
      <c r="R435" s="566"/>
      <c r="S435" s="566"/>
      <c r="T435" s="566"/>
      <c r="U435" s="566"/>
      <c r="V435" s="566"/>
      <c r="W435" s="566"/>
      <c r="X435" s="566"/>
      <c r="Y435" s="566"/>
      <c r="Z435" s="566"/>
      <c r="AA435" s="566"/>
      <c r="AB435" s="566"/>
      <c r="AC435" s="566"/>
      <c r="AD435" s="566"/>
      <c r="AE435" s="566"/>
      <c r="AF435" s="566"/>
      <c r="AG435" s="566"/>
      <c r="AH435" s="566"/>
      <c r="AI435" s="566"/>
      <c r="AJ435" s="566"/>
      <c r="AK435" s="566"/>
      <c r="AL435" s="566"/>
      <c r="AM435" s="566"/>
      <c r="AN435" s="566"/>
      <c r="AO435" s="566"/>
    </row>
    <row r="436" spans="2:41" x14ac:dyDescent="0.15">
      <c r="B436" s="567">
        <v>32</v>
      </c>
      <c r="C436" s="566">
        <v>1</v>
      </c>
      <c r="D436" s="566"/>
      <c r="E436" s="566"/>
      <c r="F436" s="566"/>
      <c r="G436" s="566"/>
      <c r="H436" s="566"/>
      <c r="I436" s="566"/>
      <c r="J436" s="566"/>
      <c r="K436" s="566"/>
      <c r="L436" s="566"/>
      <c r="M436" s="566"/>
      <c r="N436" s="566"/>
      <c r="O436" s="566"/>
      <c r="P436" s="566"/>
      <c r="Q436" s="566"/>
      <c r="R436" s="566"/>
      <c r="S436" s="566"/>
      <c r="T436" s="566"/>
      <c r="U436" s="566"/>
      <c r="V436" s="566"/>
      <c r="W436" s="566"/>
      <c r="X436" s="566"/>
      <c r="Y436" s="566"/>
      <c r="Z436" s="566"/>
      <c r="AA436" s="566"/>
      <c r="AB436" s="566"/>
      <c r="AC436" s="566"/>
      <c r="AD436" s="566"/>
      <c r="AE436" s="566"/>
      <c r="AF436" s="566"/>
      <c r="AG436" s="566"/>
      <c r="AH436" s="566"/>
      <c r="AI436" s="566"/>
      <c r="AJ436" s="566"/>
      <c r="AK436" s="566"/>
      <c r="AL436" s="566"/>
      <c r="AM436" s="566"/>
      <c r="AN436" s="566"/>
      <c r="AO436" s="566"/>
    </row>
    <row r="437" spans="2:41" x14ac:dyDescent="0.15">
      <c r="B437" s="567">
        <v>33</v>
      </c>
      <c r="C437" s="566">
        <v>1</v>
      </c>
      <c r="D437" s="566"/>
      <c r="E437" s="566"/>
      <c r="F437" s="566"/>
      <c r="G437" s="566"/>
      <c r="H437" s="566"/>
      <c r="I437" s="566"/>
      <c r="J437" s="566"/>
      <c r="K437" s="566"/>
      <c r="L437" s="566"/>
      <c r="M437" s="566"/>
      <c r="N437" s="566"/>
      <c r="O437" s="566"/>
      <c r="P437" s="566"/>
      <c r="Q437" s="566"/>
      <c r="R437" s="566"/>
      <c r="S437" s="566"/>
      <c r="T437" s="566"/>
      <c r="U437" s="566"/>
      <c r="V437" s="566"/>
      <c r="W437" s="566"/>
      <c r="X437" s="566"/>
      <c r="Y437" s="566"/>
      <c r="Z437" s="566"/>
      <c r="AA437" s="566"/>
      <c r="AB437" s="566"/>
      <c r="AC437" s="566"/>
      <c r="AD437" s="566"/>
      <c r="AE437" s="566"/>
      <c r="AF437" s="566"/>
      <c r="AG437" s="566"/>
      <c r="AH437" s="566"/>
      <c r="AI437" s="566"/>
      <c r="AJ437" s="566"/>
      <c r="AK437" s="566"/>
      <c r="AL437" s="566"/>
      <c r="AM437" s="566"/>
      <c r="AN437" s="566"/>
      <c r="AO437" s="566"/>
    </row>
    <row r="438" spans="2:41" x14ac:dyDescent="0.15">
      <c r="B438" s="567">
        <v>34</v>
      </c>
      <c r="C438" s="566">
        <v>1</v>
      </c>
      <c r="D438" s="566"/>
      <c r="E438" s="566"/>
      <c r="F438" s="566"/>
      <c r="G438" s="566"/>
      <c r="H438" s="566"/>
      <c r="I438" s="566"/>
      <c r="J438" s="566"/>
      <c r="K438" s="566"/>
      <c r="L438" s="566"/>
      <c r="M438" s="566"/>
      <c r="N438" s="566"/>
      <c r="O438" s="566"/>
      <c r="P438" s="566"/>
      <c r="Q438" s="566"/>
      <c r="R438" s="566"/>
      <c r="S438" s="566"/>
      <c r="T438" s="566"/>
      <c r="U438" s="566"/>
      <c r="V438" s="566"/>
      <c r="W438" s="566"/>
      <c r="X438" s="566"/>
      <c r="Y438" s="566"/>
      <c r="Z438" s="566"/>
      <c r="AA438" s="566"/>
      <c r="AB438" s="566"/>
      <c r="AC438" s="566"/>
      <c r="AD438" s="566"/>
      <c r="AE438" s="566"/>
      <c r="AF438" s="566"/>
      <c r="AG438" s="566"/>
      <c r="AH438" s="566"/>
      <c r="AI438" s="566"/>
      <c r="AJ438" s="566"/>
      <c r="AK438" s="566"/>
      <c r="AL438" s="566"/>
      <c r="AM438" s="566"/>
      <c r="AN438" s="566"/>
      <c r="AO438" s="566"/>
    </row>
    <row r="439" spans="2:41" x14ac:dyDescent="0.15">
      <c r="B439" s="567">
        <v>35</v>
      </c>
      <c r="C439" s="566">
        <v>1</v>
      </c>
      <c r="D439" s="566"/>
      <c r="E439" s="566"/>
      <c r="F439" s="566"/>
      <c r="G439" s="566"/>
      <c r="H439" s="566"/>
      <c r="I439" s="566"/>
      <c r="J439" s="566"/>
      <c r="K439" s="566"/>
      <c r="L439" s="566"/>
      <c r="M439" s="566"/>
      <c r="N439" s="566"/>
      <c r="O439" s="566"/>
      <c r="P439" s="566"/>
      <c r="Q439" s="566"/>
      <c r="R439" s="566"/>
      <c r="S439" s="566"/>
      <c r="T439" s="566"/>
      <c r="U439" s="566"/>
      <c r="V439" s="566"/>
      <c r="W439" s="566"/>
      <c r="X439" s="566"/>
      <c r="Y439" s="566"/>
      <c r="Z439" s="566"/>
      <c r="AA439" s="566"/>
      <c r="AB439" s="566"/>
      <c r="AC439" s="566"/>
      <c r="AD439" s="566"/>
      <c r="AE439" s="566"/>
      <c r="AF439" s="566"/>
      <c r="AG439" s="566"/>
      <c r="AH439" s="566"/>
      <c r="AI439" s="566"/>
      <c r="AJ439" s="566"/>
      <c r="AK439" s="566"/>
      <c r="AL439" s="566"/>
      <c r="AM439" s="566"/>
      <c r="AN439" s="566"/>
      <c r="AO439" s="566"/>
    </row>
    <row r="440" spans="2:41" x14ac:dyDescent="0.15">
      <c r="B440" s="567">
        <v>36</v>
      </c>
      <c r="C440" s="566">
        <v>1</v>
      </c>
      <c r="D440" s="566"/>
      <c r="E440" s="566"/>
      <c r="F440" s="566"/>
      <c r="G440" s="566"/>
      <c r="H440" s="566"/>
      <c r="I440" s="566"/>
      <c r="J440" s="566"/>
      <c r="K440" s="566"/>
      <c r="L440" s="566"/>
      <c r="M440" s="566"/>
      <c r="N440" s="566"/>
      <c r="O440" s="566"/>
      <c r="P440" s="566"/>
      <c r="Q440" s="566"/>
      <c r="R440" s="566"/>
      <c r="S440" s="566"/>
      <c r="T440" s="566"/>
      <c r="U440" s="566"/>
      <c r="V440" s="566"/>
      <c r="W440" s="566"/>
      <c r="X440" s="566"/>
      <c r="Y440" s="566"/>
      <c r="Z440" s="566"/>
      <c r="AA440" s="566"/>
      <c r="AB440" s="566"/>
      <c r="AC440" s="566"/>
      <c r="AD440" s="566"/>
      <c r="AE440" s="566"/>
      <c r="AF440" s="566"/>
      <c r="AG440" s="566"/>
      <c r="AH440" s="566"/>
      <c r="AI440" s="566"/>
      <c r="AJ440" s="566"/>
      <c r="AK440" s="566"/>
      <c r="AL440" s="566"/>
      <c r="AM440" s="566"/>
      <c r="AN440" s="566"/>
      <c r="AO440" s="566"/>
    </row>
    <row r="441" spans="2:41" x14ac:dyDescent="0.15">
      <c r="B441" s="567">
        <v>37</v>
      </c>
      <c r="C441" s="566">
        <v>1</v>
      </c>
      <c r="D441" s="566"/>
      <c r="E441" s="566"/>
      <c r="F441" s="566"/>
      <c r="G441" s="566"/>
      <c r="H441" s="566"/>
      <c r="I441" s="566"/>
      <c r="J441" s="566"/>
      <c r="K441" s="566"/>
      <c r="L441" s="566"/>
      <c r="M441" s="566"/>
      <c r="N441" s="566"/>
      <c r="O441" s="566"/>
      <c r="P441" s="566"/>
      <c r="Q441" s="566"/>
      <c r="R441" s="566"/>
      <c r="S441" s="566"/>
      <c r="T441" s="566"/>
      <c r="U441" s="566"/>
      <c r="V441" s="566"/>
      <c r="W441" s="566"/>
      <c r="X441" s="566"/>
      <c r="Y441" s="566"/>
      <c r="Z441" s="566"/>
      <c r="AA441" s="566"/>
      <c r="AB441" s="566"/>
      <c r="AC441" s="566"/>
      <c r="AD441" s="566"/>
      <c r="AE441" s="566"/>
      <c r="AF441" s="566"/>
      <c r="AG441" s="566"/>
      <c r="AH441" s="566"/>
      <c r="AI441" s="566"/>
      <c r="AJ441" s="566"/>
      <c r="AK441" s="566"/>
      <c r="AL441" s="566"/>
      <c r="AM441" s="566"/>
      <c r="AN441" s="566"/>
      <c r="AO441" s="566"/>
    </row>
    <row r="442" spans="2:41" x14ac:dyDescent="0.15">
      <c r="B442" s="567">
        <v>38</v>
      </c>
      <c r="C442" s="566">
        <v>1</v>
      </c>
      <c r="D442" s="566"/>
      <c r="E442" s="566"/>
      <c r="F442" s="566"/>
      <c r="G442" s="566"/>
      <c r="H442" s="566"/>
      <c r="I442" s="566"/>
      <c r="J442" s="566"/>
      <c r="K442" s="566"/>
      <c r="L442" s="566"/>
      <c r="M442" s="566"/>
      <c r="N442" s="566"/>
      <c r="O442" s="566"/>
      <c r="P442" s="566"/>
      <c r="Q442" s="566"/>
      <c r="R442" s="566"/>
      <c r="S442" s="566"/>
      <c r="T442" s="566"/>
      <c r="U442" s="566"/>
      <c r="V442" s="566"/>
      <c r="W442" s="566"/>
      <c r="X442" s="566"/>
      <c r="Y442" s="566"/>
      <c r="Z442" s="566"/>
      <c r="AA442" s="566"/>
      <c r="AB442" s="566"/>
      <c r="AC442" s="566"/>
      <c r="AD442" s="566"/>
      <c r="AE442" s="566"/>
      <c r="AF442" s="566"/>
      <c r="AG442" s="566"/>
      <c r="AH442" s="566"/>
      <c r="AI442" s="566"/>
      <c r="AJ442" s="566"/>
      <c r="AK442" s="566"/>
      <c r="AL442" s="566"/>
      <c r="AM442" s="566"/>
      <c r="AN442" s="566"/>
      <c r="AO442" s="566"/>
    </row>
    <row r="443" spans="2:41" x14ac:dyDescent="0.15">
      <c r="B443" s="567">
        <v>39</v>
      </c>
      <c r="C443" s="566">
        <v>1</v>
      </c>
      <c r="D443" s="566"/>
      <c r="E443" s="566"/>
      <c r="F443" s="566"/>
      <c r="G443" s="566"/>
      <c r="H443" s="566"/>
      <c r="I443" s="566"/>
      <c r="J443" s="566"/>
      <c r="K443" s="566"/>
      <c r="L443" s="566"/>
      <c r="M443" s="566"/>
      <c r="N443" s="566"/>
      <c r="O443" s="566"/>
      <c r="P443" s="566"/>
      <c r="Q443" s="566"/>
      <c r="R443" s="566"/>
      <c r="S443" s="566"/>
      <c r="T443" s="566"/>
      <c r="U443" s="566"/>
      <c r="V443" s="566"/>
      <c r="W443" s="566"/>
      <c r="X443" s="566"/>
      <c r="Y443" s="566"/>
      <c r="Z443" s="566"/>
      <c r="AA443" s="566"/>
      <c r="AB443" s="566"/>
      <c r="AC443" s="566"/>
      <c r="AD443" s="566"/>
      <c r="AE443" s="566"/>
      <c r="AF443" s="566"/>
      <c r="AG443" s="566"/>
      <c r="AH443" s="566"/>
      <c r="AI443" s="566"/>
      <c r="AJ443" s="566"/>
      <c r="AK443" s="566"/>
      <c r="AL443" s="566"/>
      <c r="AM443" s="566"/>
      <c r="AN443" s="566"/>
      <c r="AO443" s="566"/>
    </row>
    <row r="444" spans="2:41" x14ac:dyDescent="0.15">
      <c r="B444" s="568">
        <v>40</v>
      </c>
      <c r="C444" s="566">
        <v>1</v>
      </c>
      <c r="D444" s="566"/>
      <c r="E444" s="566"/>
      <c r="F444" s="566"/>
      <c r="G444" s="566"/>
      <c r="H444" s="566"/>
      <c r="I444" s="566"/>
      <c r="J444" s="566"/>
      <c r="K444" s="566"/>
      <c r="L444" s="566"/>
      <c r="M444" s="566"/>
      <c r="N444" s="566"/>
      <c r="O444" s="566"/>
      <c r="P444" s="566"/>
      <c r="Q444" s="566"/>
      <c r="R444" s="566"/>
      <c r="S444" s="566"/>
      <c r="T444" s="566"/>
      <c r="U444" s="566"/>
      <c r="V444" s="566"/>
      <c r="W444" s="566"/>
      <c r="X444" s="566"/>
      <c r="Y444" s="566"/>
      <c r="Z444" s="566"/>
      <c r="AA444" s="566"/>
      <c r="AB444" s="566"/>
      <c r="AC444" s="566"/>
      <c r="AD444" s="566"/>
      <c r="AE444" s="566"/>
      <c r="AF444" s="566"/>
      <c r="AG444" s="566"/>
      <c r="AH444" s="566"/>
      <c r="AI444" s="566"/>
      <c r="AJ444" s="566"/>
      <c r="AK444" s="566"/>
      <c r="AL444" s="566"/>
      <c r="AM444" s="566"/>
      <c r="AN444" s="566"/>
      <c r="AO444" s="566"/>
    </row>
    <row r="453" spans="2:41" s="563" customFormat="1" ht="14" x14ac:dyDescent="0.15">
      <c r="B453" s="560" t="str" cm="1">
        <f t="array" ref="B453:AO453">TRANSPOSE('Syötä kaupungit KIRJASTOLINKIT!'!$G$1:$G$40)</f>
        <v>MAA 6</v>
      </c>
      <c r="C453" s="564" t="str">
        <v>LTU - Vilnius</v>
      </c>
      <c r="D453" s="564">
        <v>0</v>
      </c>
      <c r="E453" s="564">
        <v>0</v>
      </c>
      <c r="F453" s="564">
        <v>0</v>
      </c>
      <c r="G453" s="564">
        <v>0</v>
      </c>
      <c r="H453" s="564">
        <v>0</v>
      </c>
      <c r="I453" s="564">
        <v>0</v>
      </c>
      <c r="J453" s="564">
        <v>0</v>
      </c>
      <c r="K453" s="564">
        <v>0</v>
      </c>
      <c r="L453" s="564">
        <v>0</v>
      </c>
      <c r="M453" s="564">
        <v>0</v>
      </c>
      <c r="N453" s="564">
        <v>0</v>
      </c>
      <c r="O453" s="564">
        <v>0</v>
      </c>
      <c r="P453" s="564">
        <v>0</v>
      </c>
      <c r="Q453" s="564">
        <v>0</v>
      </c>
      <c r="R453" s="564">
        <v>0</v>
      </c>
      <c r="S453" s="564">
        <v>0</v>
      </c>
      <c r="T453" s="564">
        <v>0</v>
      </c>
      <c r="U453" s="564">
        <v>0</v>
      </c>
      <c r="V453" s="564">
        <v>0</v>
      </c>
      <c r="W453" s="564">
        <v>0</v>
      </c>
      <c r="X453" s="564">
        <v>0</v>
      </c>
      <c r="Y453" s="564">
        <v>0</v>
      </c>
      <c r="Z453" s="564">
        <v>0</v>
      </c>
      <c r="AA453" s="564">
        <v>0</v>
      </c>
      <c r="AB453" s="564">
        <v>0</v>
      </c>
      <c r="AC453" s="564">
        <v>0</v>
      </c>
      <c r="AD453" s="564">
        <v>0</v>
      </c>
      <c r="AE453" s="564">
        <v>0</v>
      </c>
      <c r="AF453" s="564">
        <v>0</v>
      </c>
      <c r="AG453" s="564">
        <v>0</v>
      </c>
      <c r="AH453" s="564">
        <v>0</v>
      </c>
      <c r="AI453" s="564">
        <v>0</v>
      </c>
      <c r="AJ453" s="564">
        <v>0</v>
      </c>
      <c r="AK453" s="564">
        <v>0</v>
      </c>
      <c r="AL453" s="564">
        <v>0</v>
      </c>
      <c r="AM453" s="564">
        <v>0</v>
      </c>
      <c r="AN453" s="564">
        <v>0</v>
      </c>
      <c r="AO453" s="564">
        <v>0</v>
      </c>
    </row>
    <row r="454" spans="2:41" x14ac:dyDescent="0.15">
      <c r="B454" s="565">
        <v>-40</v>
      </c>
      <c r="C454" s="566">
        <v>0</v>
      </c>
      <c r="D454" s="566"/>
      <c r="E454" s="566"/>
      <c r="F454" s="566"/>
      <c r="G454" s="566"/>
      <c r="H454" s="566"/>
      <c r="I454" s="566"/>
      <c r="J454" s="566"/>
      <c r="K454" s="566"/>
      <c r="L454" s="566"/>
      <c r="M454" s="566"/>
      <c r="N454" s="566"/>
      <c r="O454" s="566"/>
      <c r="P454" s="566"/>
      <c r="Q454" s="566"/>
      <c r="R454" s="566"/>
      <c r="S454" s="566"/>
      <c r="T454" s="566"/>
      <c r="U454" s="566"/>
      <c r="V454" s="566"/>
      <c r="W454" s="566"/>
      <c r="X454" s="566"/>
      <c r="Y454" s="566"/>
      <c r="Z454" s="566"/>
      <c r="AA454" s="566"/>
      <c r="AB454" s="566"/>
      <c r="AC454" s="566"/>
      <c r="AD454" s="566"/>
      <c r="AE454" s="566"/>
      <c r="AF454" s="566"/>
      <c r="AG454" s="566"/>
      <c r="AH454" s="566"/>
      <c r="AI454" s="566"/>
      <c r="AJ454" s="566"/>
      <c r="AK454" s="566"/>
      <c r="AL454" s="566"/>
      <c r="AM454" s="566"/>
      <c r="AN454" s="566"/>
      <c r="AO454" s="566"/>
    </row>
    <row r="455" spans="2:41" x14ac:dyDescent="0.15">
      <c r="B455" s="567">
        <v>-39</v>
      </c>
      <c r="C455" s="566">
        <v>0</v>
      </c>
      <c r="D455" s="566"/>
      <c r="E455" s="566"/>
      <c r="F455" s="566"/>
      <c r="G455" s="566"/>
      <c r="H455" s="566"/>
      <c r="I455" s="566"/>
      <c r="J455" s="566"/>
      <c r="K455" s="566"/>
      <c r="L455" s="566"/>
      <c r="M455" s="566"/>
      <c r="N455" s="566"/>
      <c r="O455" s="566"/>
      <c r="P455" s="566"/>
      <c r="Q455" s="566"/>
      <c r="R455" s="566"/>
      <c r="S455" s="566"/>
      <c r="T455" s="566"/>
      <c r="U455" s="566"/>
      <c r="V455" s="566"/>
      <c r="W455" s="566"/>
      <c r="X455" s="566"/>
      <c r="Y455" s="566"/>
      <c r="Z455" s="566"/>
      <c r="AA455" s="566"/>
      <c r="AB455" s="566"/>
      <c r="AC455" s="566"/>
      <c r="AD455" s="566"/>
      <c r="AE455" s="566"/>
      <c r="AF455" s="566"/>
      <c r="AG455" s="566"/>
      <c r="AH455" s="566"/>
      <c r="AI455" s="566"/>
      <c r="AJ455" s="566"/>
      <c r="AK455" s="566"/>
      <c r="AL455" s="566"/>
      <c r="AM455" s="566"/>
      <c r="AN455" s="566"/>
      <c r="AO455" s="566"/>
    </row>
    <row r="456" spans="2:41" x14ac:dyDescent="0.15">
      <c r="B456" s="567">
        <v>-38</v>
      </c>
      <c r="C456" s="566">
        <v>0</v>
      </c>
      <c r="D456" s="566"/>
      <c r="E456" s="566"/>
      <c r="F456" s="566"/>
      <c r="G456" s="566"/>
      <c r="H456" s="566"/>
      <c r="I456" s="566"/>
      <c r="J456" s="566"/>
      <c r="K456" s="566"/>
      <c r="L456" s="566"/>
      <c r="M456" s="566"/>
      <c r="N456" s="566"/>
      <c r="O456" s="566"/>
      <c r="P456" s="566"/>
      <c r="Q456" s="566"/>
      <c r="R456" s="566"/>
      <c r="S456" s="566"/>
      <c r="T456" s="566"/>
      <c r="U456" s="566"/>
      <c r="V456" s="566"/>
      <c r="W456" s="566"/>
      <c r="X456" s="566"/>
      <c r="Y456" s="566"/>
      <c r="Z456" s="566"/>
      <c r="AA456" s="566"/>
      <c r="AB456" s="566"/>
      <c r="AC456" s="566"/>
      <c r="AD456" s="566"/>
      <c r="AE456" s="566"/>
      <c r="AF456" s="566"/>
      <c r="AG456" s="566"/>
      <c r="AH456" s="566"/>
      <c r="AI456" s="566"/>
      <c r="AJ456" s="566"/>
      <c r="AK456" s="566"/>
      <c r="AL456" s="566"/>
      <c r="AM456" s="566"/>
      <c r="AN456" s="566"/>
      <c r="AO456" s="566"/>
    </row>
    <row r="457" spans="2:41" x14ac:dyDescent="0.15">
      <c r="B457" s="567">
        <v>-37</v>
      </c>
      <c r="C457" s="566">
        <v>0</v>
      </c>
      <c r="D457" s="566"/>
      <c r="E457" s="566"/>
      <c r="F457" s="566"/>
      <c r="G457" s="566"/>
      <c r="H457" s="566"/>
      <c r="I457" s="566"/>
      <c r="J457" s="566"/>
      <c r="K457" s="566"/>
      <c r="L457" s="566"/>
      <c r="M457" s="566"/>
      <c r="N457" s="566"/>
      <c r="O457" s="566"/>
      <c r="P457" s="566"/>
      <c r="Q457" s="566"/>
      <c r="R457" s="566"/>
      <c r="S457" s="566"/>
      <c r="T457" s="566"/>
      <c r="U457" s="566"/>
      <c r="V457" s="566"/>
      <c r="W457" s="566"/>
      <c r="X457" s="566"/>
      <c r="Y457" s="566"/>
      <c r="Z457" s="566"/>
      <c r="AA457" s="566"/>
      <c r="AB457" s="566"/>
      <c r="AC457" s="566"/>
      <c r="AD457" s="566"/>
      <c r="AE457" s="566"/>
      <c r="AF457" s="566"/>
      <c r="AG457" s="566"/>
      <c r="AH457" s="566"/>
      <c r="AI457" s="566"/>
      <c r="AJ457" s="566"/>
      <c r="AK457" s="566"/>
      <c r="AL457" s="566"/>
      <c r="AM457" s="566"/>
      <c r="AN457" s="566"/>
      <c r="AO457" s="566"/>
    </row>
    <row r="458" spans="2:41" x14ac:dyDescent="0.15">
      <c r="B458" s="567">
        <v>-36</v>
      </c>
      <c r="C458" s="566">
        <v>0</v>
      </c>
      <c r="D458" s="566"/>
      <c r="E458" s="566"/>
      <c r="F458" s="566"/>
      <c r="G458" s="566"/>
      <c r="H458" s="566"/>
      <c r="I458" s="566"/>
      <c r="J458" s="566"/>
      <c r="K458" s="566"/>
      <c r="L458" s="566"/>
      <c r="M458" s="566"/>
      <c r="N458" s="566"/>
      <c r="O458" s="566"/>
      <c r="P458" s="566"/>
      <c r="Q458" s="566"/>
      <c r="R458" s="566"/>
      <c r="S458" s="566"/>
      <c r="T458" s="566"/>
      <c r="U458" s="566"/>
      <c r="V458" s="566"/>
      <c r="W458" s="566"/>
      <c r="X458" s="566"/>
      <c r="Y458" s="566"/>
      <c r="Z458" s="566"/>
      <c r="AA458" s="566"/>
      <c r="AB458" s="566"/>
      <c r="AC458" s="566"/>
      <c r="AD458" s="566"/>
      <c r="AE458" s="566"/>
      <c r="AF458" s="566"/>
      <c r="AG458" s="566"/>
      <c r="AH458" s="566"/>
      <c r="AI458" s="566"/>
      <c r="AJ458" s="566"/>
      <c r="AK458" s="566"/>
      <c r="AL458" s="566"/>
      <c r="AM458" s="566"/>
      <c r="AN458" s="566"/>
      <c r="AO458" s="566"/>
    </row>
    <row r="459" spans="2:41" x14ac:dyDescent="0.15">
      <c r="B459" s="567">
        <v>-35</v>
      </c>
      <c r="C459" s="566">
        <v>0</v>
      </c>
      <c r="D459" s="566"/>
      <c r="E459" s="566"/>
      <c r="F459" s="566"/>
      <c r="G459" s="566"/>
      <c r="H459" s="566"/>
      <c r="I459" s="566"/>
      <c r="J459" s="566"/>
      <c r="K459" s="566"/>
      <c r="L459" s="566"/>
      <c r="M459" s="566"/>
      <c r="N459" s="566"/>
      <c r="O459" s="566"/>
      <c r="P459" s="566"/>
      <c r="Q459" s="566"/>
      <c r="R459" s="566"/>
      <c r="S459" s="566"/>
      <c r="T459" s="566"/>
      <c r="U459" s="566"/>
      <c r="V459" s="566"/>
      <c r="W459" s="566"/>
      <c r="X459" s="566"/>
      <c r="Y459" s="566"/>
      <c r="Z459" s="566"/>
      <c r="AA459" s="566"/>
      <c r="AB459" s="566"/>
      <c r="AC459" s="566"/>
      <c r="AD459" s="566"/>
      <c r="AE459" s="566"/>
      <c r="AF459" s="566"/>
      <c r="AG459" s="566"/>
      <c r="AH459" s="566"/>
      <c r="AI459" s="566"/>
      <c r="AJ459" s="566"/>
      <c r="AK459" s="566"/>
      <c r="AL459" s="566"/>
      <c r="AM459" s="566"/>
      <c r="AN459" s="566"/>
      <c r="AO459" s="566"/>
    </row>
    <row r="460" spans="2:41" x14ac:dyDescent="0.15">
      <c r="B460" s="567">
        <v>-34</v>
      </c>
      <c r="C460" s="566">
        <v>0</v>
      </c>
      <c r="D460" s="566"/>
      <c r="E460" s="566"/>
      <c r="F460" s="566"/>
      <c r="G460" s="566"/>
      <c r="H460" s="566"/>
      <c r="I460" s="566"/>
      <c r="J460" s="566"/>
      <c r="K460" s="566"/>
      <c r="L460" s="566"/>
      <c r="M460" s="566"/>
      <c r="N460" s="566"/>
      <c r="O460" s="566"/>
      <c r="P460" s="566"/>
      <c r="Q460" s="566"/>
      <c r="R460" s="566"/>
      <c r="S460" s="566"/>
      <c r="T460" s="566"/>
      <c r="U460" s="566"/>
      <c r="V460" s="566"/>
      <c r="W460" s="566"/>
      <c r="X460" s="566"/>
      <c r="Y460" s="566"/>
      <c r="Z460" s="566"/>
      <c r="AA460" s="566"/>
      <c r="AB460" s="566"/>
      <c r="AC460" s="566"/>
      <c r="AD460" s="566"/>
      <c r="AE460" s="566"/>
      <c r="AF460" s="566"/>
      <c r="AG460" s="566"/>
      <c r="AH460" s="566"/>
      <c r="AI460" s="566"/>
      <c r="AJ460" s="566"/>
      <c r="AK460" s="566"/>
      <c r="AL460" s="566"/>
      <c r="AM460" s="566"/>
      <c r="AN460" s="566"/>
      <c r="AO460" s="566"/>
    </row>
    <row r="461" spans="2:41" x14ac:dyDescent="0.15">
      <c r="B461" s="567">
        <v>-33</v>
      </c>
      <c r="C461" s="566">
        <v>0</v>
      </c>
      <c r="D461" s="566"/>
      <c r="E461" s="566"/>
      <c r="F461" s="566"/>
      <c r="G461" s="566"/>
      <c r="H461" s="566"/>
      <c r="I461" s="566"/>
      <c r="J461" s="566"/>
      <c r="K461" s="566"/>
      <c r="L461" s="566"/>
      <c r="M461" s="566"/>
      <c r="N461" s="566"/>
      <c r="O461" s="566"/>
      <c r="P461" s="566"/>
      <c r="Q461" s="566"/>
      <c r="R461" s="566"/>
      <c r="S461" s="566"/>
      <c r="T461" s="566"/>
      <c r="U461" s="566"/>
      <c r="V461" s="566"/>
      <c r="W461" s="566"/>
      <c r="X461" s="566"/>
      <c r="Y461" s="566"/>
      <c r="Z461" s="566"/>
      <c r="AA461" s="566"/>
      <c r="AB461" s="566"/>
      <c r="AC461" s="566"/>
      <c r="AD461" s="566"/>
      <c r="AE461" s="566"/>
      <c r="AF461" s="566"/>
      <c r="AG461" s="566"/>
      <c r="AH461" s="566"/>
      <c r="AI461" s="566"/>
      <c r="AJ461" s="566"/>
      <c r="AK461" s="566"/>
      <c r="AL461" s="566"/>
      <c r="AM461" s="566"/>
      <c r="AN461" s="566"/>
      <c r="AO461" s="566"/>
    </row>
    <row r="462" spans="2:41" x14ac:dyDescent="0.15">
      <c r="B462" s="567">
        <v>-32</v>
      </c>
      <c r="C462" s="566">
        <v>0</v>
      </c>
      <c r="D462" s="566"/>
      <c r="E462" s="566"/>
      <c r="F462" s="566"/>
      <c r="G462" s="566"/>
      <c r="H462" s="566"/>
      <c r="I462" s="566"/>
      <c r="J462" s="566"/>
      <c r="K462" s="566"/>
      <c r="L462" s="566"/>
      <c r="M462" s="566"/>
      <c r="N462" s="566"/>
      <c r="O462" s="566"/>
      <c r="P462" s="566"/>
      <c r="Q462" s="566"/>
      <c r="R462" s="566"/>
      <c r="S462" s="566"/>
      <c r="T462" s="566"/>
      <c r="U462" s="566"/>
      <c r="V462" s="566"/>
      <c r="W462" s="566"/>
      <c r="X462" s="566"/>
      <c r="Y462" s="566"/>
      <c r="Z462" s="566"/>
      <c r="AA462" s="566"/>
      <c r="AB462" s="566"/>
      <c r="AC462" s="566"/>
      <c r="AD462" s="566"/>
      <c r="AE462" s="566"/>
      <c r="AF462" s="566"/>
      <c r="AG462" s="566"/>
      <c r="AH462" s="566"/>
      <c r="AI462" s="566"/>
      <c r="AJ462" s="566"/>
      <c r="AK462" s="566"/>
      <c r="AL462" s="566"/>
      <c r="AM462" s="566"/>
      <c r="AN462" s="566"/>
      <c r="AO462" s="566"/>
    </row>
    <row r="463" spans="2:41" x14ac:dyDescent="0.15">
      <c r="B463" s="567">
        <v>-31</v>
      </c>
      <c r="C463" s="566">
        <v>0</v>
      </c>
      <c r="D463" s="566"/>
      <c r="E463" s="566"/>
      <c r="F463" s="566"/>
      <c r="G463" s="566"/>
      <c r="H463" s="566"/>
      <c r="I463" s="566"/>
      <c r="J463" s="566"/>
      <c r="K463" s="566"/>
      <c r="L463" s="566"/>
      <c r="M463" s="566"/>
      <c r="N463" s="566"/>
      <c r="O463" s="566"/>
      <c r="P463" s="566"/>
      <c r="Q463" s="566"/>
      <c r="R463" s="566"/>
      <c r="S463" s="566"/>
      <c r="T463" s="566"/>
      <c r="U463" s="566"/>
      <c r="V463" s="566"/>
      <c r="W463" s="566"/>
      <c r="X463" s="566"/>
      <c r="Y463" s="566"/>
      <c r="Z463" s="566"/>
      <c r="AA463" s="566"/>
      <c r="AB463" s="566"/>
      <c r="AC463" s="566"/>
      <c r="AD463" s="566"/>
      <c r="AE463" s="566"/>
      <c r="AF463" s="566"/>
      <c r="AG463" s="566"/>
      <c r="AH463" s="566"/>
      <c r="AI463" s="566"/>
      <c r="AJ463" s="566"/>
      <c r="AK463" s="566"/>
      <c r="AL463" s="566"/>
      <c r="AM463" s="566"/>
      <c r="AN463" s="566"/>
      <c r="AO463" s="566"/>
    </row>
    <row r="464" spans="2:41" x14ac:dyDescent="0.15">
      <c r="B464" s="567">
        <v>-30</v>
      </c>
      <c r="C464" s="566">
        <v>0</v>
      </c>
      <c r="D464" s="566"/>
      <c r="E464" s="566"/>
      <c r="F464" s="566"/>
      <c r="G464" s="566"/>
      <c r="H464" s="566"/>
      <c r="I464" s="566"/>
      <c r="J464" s="566"/>
      <c r="K464" s="566"/>
      <c r="L464" s="566"/>
      <c r="M464" s="566"/>
      <c r="N464" s="566"/>
      <c r="O464" s="566"/>
      <c r="P464" s="566"/>
      <c r="Q464" s="566"/>
      <c r="R464" s="566"/>
      <c r="S464" s="566"/>
      <c r="T464" s="566"/>
      <c r="U464" s="566"/>
      <c r="V464" s="566"/>
      <c r="W464" s="566"/>
      <c r="X464" s="566"/>
      <c r="Y464" s="566"/>
      <c r="Z464" s="566"/>
      <c r="AA464" s="566"/>
      <c r="AB464" s="566"/>
      <c r="AC464" s="566"/>
      <c r="AD464" s="566"/>
      <c r="AE464" s="566"/>
      <c r="AF464" s="566"/>
      <c r="AG464" s="566"/>
      <c r="AH464" s="566"/>
      <c r="AI464" s="566"/>
      <c r="AJ464" s="566"/>
      <c r="AK464" s="566"/>
      <c r="AL464" s="566"/>
      <c r="AM464" s="566"/>
      <c r="AN464" s="566"/>
      <c r="AO464" s="566"/>
    </row>
    <row r="465" spans="2:41" x14ac:dyDescent="0.15">
      <c r="B465" s="567">
        <v>-29</v>
      </c>
      <c r="C465" s="566">
        <v>0</v>
      </c>
      <c r="D465" s="566"/>
      <c r="E465" s="566"/>
      <c r="F465" s="566"/>
      <c r="G465" s="566"/>
      <c r="H465" s="566"/>
      <c r="I465" s="566"/>
      <c r="J465" s="566"/>
      <c r="K465" s="566"/>
      <c r="L465" s="566"/>
      <c r="M465" s="566"/>
      <c r="N465" s="566"/>
      <c r="O465" s="566"/>
      <c r="P465" s="566"/>
      <c r="Q465" s="566"/>
      <c r="R465" s="566"/>
      <c r="S465" s="566"/>
      <c r="T465" s="566"/>
      <c r="U465" s="566"/>
      <c r="V465" s="566"/>
      <c r="W465" s="566"/>
      <c r="X465" s="566"/>
      <c r="Y465" s="566"/>
      <c r="Z465" s="566"/>
      <c r="AA465" s="566"/>
      <c r="AB465" s="566"/>
      <c r="AC465" s="566"/>
      <c r="AD465" s="566"/>
      <c r="AE465" s="566"/>
      <c r="AF465" s="566"/>
      <c r="AG465" s="566"/>
      <c r="AH465" s="566"/>
      <c r="AI465" s="566"/>
      <c r="AJ465" s="566"/>
      <c r="AK465" s="566"/>
      <c r="AL465" s="566"/>
      <c r="AM465" s="566"/>
      <c r="AN465" s="566"/>
      <c r="AO465" s="566"/>
    </row>
    <row r="466" spans="2:41" x14ac:dyDescent="0.15">
      <c r="B466" s="567">
        <v>-28</v>
      </c>
      <c r="C466" s="566">
        <v>0</v>
      </c>
      <c r="D466" s="566"/>
      <c r="E466" s="566"/>
      <c r="F466" s="566"/>
      <c r="G466" s="566"/>
      <c r="H466" s="566"/>
      <c r="I466" s="566"/>
      <c r="J466" s="566"/>
      <c r="K466" s="566"/>
      <c r="L466" s="566"/>
      <c r="M466" s="566"/>
      <c r="N466" s="566"/>
      <c r="O466" s="566"/>
      <c r="P466" s="566"/>
      <c r="Q466" s="566"/>
      <c r="R466" s="566"/>
      <c r="S466" s="566"/>
      <c r="T466" s="566"/>
      <c r="U466" s="566"/>
      <c r="V466" s="566"/>
      <c r="W466" s="566"/>
      <c r="X466" s="566"/>
      <c r="Y466" s="566"/>
      <c r="Z466" s="566"/>
      <c r="AA466" s="566"/>
      <c r="AB466" s="566"/>
      <c r="AC466" s="566"/>
      <c r="AD466" s="566"/>
      <c r="AE466" s="566"/>
      <c r="AF466" s="566"/>
      <c r="AG466" s="566"/>
      <c r="AH466" s="566"/>
      <c r="AI466" s="566"/>
      <c r="AJ466" s="566"/>
      <c r="AK466" s="566"/>
      <c r="AL466" s="566"/>
      <c r="AM466" s="566"/>
      <c r="AN466" s="566"/>
      <c r="AO466" s="566"/>
    </row>
    <row r="467" spans="2:41" x14ac:dyDescent="0.15">
      <c r="B467" s="567">
        <v>-27</v>
      </c>
      <c r="C467" s="566">
        <v>0</v>
      </c>
      <c r="D467" s="566"/>
      <c r="E467" s="566"/>
      <c r="F467" s="566"/>
      <c r="G467" s="566"/>
      <c r="H467" s="566"/>
      <c r="I467" s="566"/>
      <c r="J467" s="566"/>
      <c r="K467" s="566"/>
      <c r="L467" s="566"/>
      <c r="M467" s="566"/>
      <c r="N467" s="566"/>
      <c r="O467" s="566"/>
      <c r="P467" s="566"/>
      <c r="Q467" s="566"/>
      <c r="R467" s="566"/>
      <c r="S467" s="566"/>
      <c r="T467" s="566"/>
      <c r="U467" s="566"/>
      <c r="V467" s="566"/>
      <c r="W467" s="566"/>
      <c r="X467" s="566"/>
      <c r="Y467" s="566"/>
      <c r="Z467" s="566"/>
      <c r="AA467" s="566"/>
      <c r="AB467" s="566"/>
      <c r="AC467" s="566"/>
      <c r="AD467" s="566"/>
      <c r="AE467" s="566"/>
      <c r="AF467" s="566"/>
      <c r="AG467" s="566"/>
      <c r="AH467" s="566"/>
      <c r="AI467" s="566"/>
      <c r="AJ467" s="566"/>
      <c r="AK467" s="566"/>
      <c r="AL467" s="566"/>
      <c r="AM467" s="566"/>
      <c r="AN467" s="566"/>
      <c r="AO467" s="566"/>
    </row>
    <row r="468" spans="2:41" x14ac:dyDescent="0.15">
      <c r="B468" s="567">
        <v>-26</v>
      </c>
      <c r="C468" s="566">
        <v>0</v>
      </c>
      <c r="D468" s="566"/>
      <c r="E468" s="566"/>
      <c r="F468" s="566"/>
      <c r="G468" s="566"/>
      <c r="H468" s="566"/>
      <c r="I468" s="566"/>
      <c r="J468" s="566"/>
      <c r="K468" s="566"/>
      <c r="L468" s="566"/>
      <c r="M468" s="566"/>
      <c r="N468" s="566"/>
      <c r="O468" s="566"/>
      <c r="P468" s="566"/>
      <c r="Q468" s="566"/>
      <c r="R468" s="566"/>
      <c r="S468" s="566"/>
      <c r="T468" s="566"/>
      <c r="U468" s="566"/>
      <c r="V468" s="566"/>
      <c r="W468" s="566"/>
      <c r="X468" s="566"/>
      <c r="Y468" s="566"/>
      <c r="Z468" s="566"/>
      <c r="AA468" s="566"/>
      <c r="AB468" s="566"/>
      <c r="AC468" s="566"/>
      <c r="AD468" s="566"/>
      <c r="AE468" s="566"/>
      <c r="AF468" s="566"/>
      <c r="AG468" s="566"/>
      <c r="AH468" s="566"/>
      <c r="AI468" s="566"/>
      <c r="AJ468" s="566"/>
      <c r="AK468" s="566"/>
      <c r="AL468" s="566"/>
      <c r="AM468" s="566"/>
      <c r="AN468" s="566"/>
      <c r="AO468" s="566"/>
    </row>
    <row r="469" spans="2:41" x14ac:dyDescent="0.15">
      <c r="B469" s="567">
        <v>-25</v>
      </c>
      <c r="C469" s="566">
        <v>0</v>
      </c>
      <c r="D469" s="566"/>
      <c r="E469" s="566"/>
      <c r="F469" s="566"/>
      <c r="G469" s="566"/>
      <c r="H469" s="566"/>
      <c r="I469" s="566"/>
      <c r="J469" s="566"/>
      <c r="K469" s="566"/>
      <c r="L469" s="566"/>
      <c r="M469" s="566"/>
      <c r="N469" s="566"/>
      <c r="O469" s="566"/>
      <c r="P469" s="566"/>
      <c r="Q469" s="566"/>
      <c r="R469" s="566"/>
      <c r="S469" s="566"/>
      <c r="T469" s="566"/>
      <c r="U469" s="566"/>
      <c r="V469" s="566"/>
      <c r="W469" s="566"/>
      <c r="X469" s="566"/>
      <c r="Y469" s="566"/>
      <c r="Z469" s="566"/>
      <c r="AA469" s="566"/>
      <c r="AB469" s="566"/>
      <c r="AC469" s="566"/>
      <c r="AD469" s="566"/>
      <c r="AE469" s="566"/>
      <c r="AF469" s="566"/>
      <c r="AG469" s="566"/>
      <c r="AH469" s="566"/>
      <c r="AI469" s="566"/>
      <c r="AJ469" s="566"/>
      <c r="AK469" s="566"/>
      <c r="AL469" s="566"/>
      <c r="AM469" s="566"/>
      <c r="AN469" s="566"/>
      <c r="AO469" s="566"/>
    </row>
    <row r="470" spans="2:41" x14ac:dyDescent="0.15">
      <c r="B470" s="567">
        <v>-24</v>
      </c>
      <c r="C470" s="566">
        <v>0</v>
      </c>
      <c r="D470" s="566"/>
      <c r="E470" s="566"/>
      <c r="F470" s="566"/>
      <c r="G470" s="566"/>
      <c r="H470" s="566"/>
      <c r="I470" s="566"/>
      <c r="J470" s="566"/>
      <c r="K470" s="566"/>
      <c r="L470" s="566"/>
      <c r="M470" s="566"/>
      <c r="N470" s="566"/>
      <c r="O470" s="566"/>
      <c r="P470" s="566"/>
      <c r="Q470" s="566"/>
      <c r="R470" s="566"/>
      <c r="S470" s="566"/>
      <c r="T470" s="566"/>
      <c r="U470" s="566"/>
      <c r="V470" s="566"/>
      <c r="W470" s="566"/>
      <c r="X470" s="566"/>
      <c r="Y470" s="566"/>
      <c r="Z470" s="566"/>
      <c r="AA470" s="566"/>
      <c r="AB470" s="566"/>
      <c r="AC470" s="566"/>
      <c r="AD470" s="566"/>
      <c r="AE470" s="566"/>
      <c r="AF470" s="566"/>
      <c r="AG470" s="566"/>
      <c r="AH470" s="566"/>
      <c r="AI470" s="566"/>
      <c r="AJ470" s="566"/>
      <c r="AK470" s="566"/>
      <c r="AL470" s="566"/>
      <c r="AM470" s="566"/>
      <c r="AN470" s="566"/>
      <c r="AO470" s="566"/>
    </row>
    <row r="471" spans="2:41" x14ac:dyDescent="0.15">
      <c r="B471" s="567">
        <v>-23</v>
      </c>
      <c r="C471" s="566">
        <v>0</v>
      </c>
      <c r="D471" s="566"/>
      <c r="E471" s="566"/>
      <c r="F471" s="566"/>
      <c r="G471" s="566"/>
      <c r="H471" s="566"/>
      <c r="I471" s="566"/>
      <c r="J471" s="566"/>
      <c r="K471" s="566"/>
      <c r="L471" s="566"/>
      <c r="M471" s="566"/>
      <c r="N471" s="566"/>
      <c r="O471" s="566"/>
      <c r="P471" s="566"/>
      <c r="Q471" s="566"/>
      <c r="R471" s="566"/>
      <c r="S471" s="566"/>
      <c r="T471" s="566"/>
      <c r="U471" s="566"/>
      <c r="V471" s="566"/>
      <c r="W471" s="566"/>
      <c r="X471" s="566"/>
      <c r="Y471" s="566"/>
      <c r="Z471" s="566"/>
      <c r="AA471" s="566"/>
      <c r="AB471" s="566"/>
      <c r="AC471" s="566"/>
      <c r="AD471" s="566"/>
      <c r="AE471" s="566"/>
      <c r="AF471" s="566"/>
      <c r="AG471" s="566"/>
      <c r="AH471" s="566"/>
      <c r="AI471" s="566"/>
      <c r="AJ471" s="566"/>
      <c r="AK471" s="566"/>
      <c r="AL471" s="566"/>
      <c r="AM471" s="566"/>
      <c r="AN471" s="566"/>
      <c r="AO471" s="566"/>
    </row>
    <row r="472" spans="2:41" x14ac:dyDescent="0.15">
      <c r="B472" s="567">
        <v>-22</v>
      </c>
      <c r="C472" s="566">
        <v>0</v>
      </c>
      <c r="D472" s="566"/>
      <c r="E472" s="566"/>
      <c r="F472" s="566"/>
      <c r="G472" s="566"/>
      <c r="H472" s="566"/>
      <c r="I472" s="566"/>
      <c r="J472" s="566"/>
      <c r="K472" s="566"/>
      <c r="L472" s="566"/>
      <c r="M472" s="566"/>
      <c r="N472" s="566"/>
      <c r="O472" s="566"/>
      <c r="P472" s="566"/>
      <c r="Q472" s="566"/>
      <c r="R472" s="566"/>
      <c r="S472" s="566"/>
      <c r="T472" s="566"/>
      <c r="U472" s="566"/>
      <c r="V472" s="566"/>
      <c r="W472" s="566"/>
      <c r="X472" s="566"/>
      <c r="Y472" s="566"/>
      <c r="Z472" s="566"/>
      <c r="AA472" s="566"/>
      <c r="AB472" s="566"/>
      <c r="AC472" s="566"/>
      <c r="AD472" s="566"/>
      <c r="AE472" s="566"/>
      <c r="AF472" s="566"/>
      <c r="AG472" s="566"/>
      <c r="AH472" s="566"/>
      <c r="AI472" s="566"/>
      <c r="AJ472" s="566"/>
      <c r="AK472" s="566"/>
      <c r="AL472" s="566"/>
      <c r="AM472" s="566"/>
      <c r="AN472" s="566"/>
      <c r="AO472" s="566"/>
    </row>
    <row r="473" spans="2:41" x14ac:dyDescent="0.15">
      <c r="B473" s="567">
        <v>-21</v>
      </c>
      <c r="C473" s="566">
        <v>0</v>
      </c>
      <c r="D473" s="566"/>
      <c r="E473" s="566"/>
      <c r="F473" s="566"/>
      <c r="G473" s="566"/>
      <c r="H473" s="566"/>
      <c r="I473" s="566"/>
      <c r="J473" s="566"/>
      <c r="K473" s="566"/>
      <c r="L473" s="566"/>
      <c r="M473" s="566"/>
      <c r="N473" s="566"/>
      <c r="O473" s="566"/>
      <c r="P473" s="566"/>
      <c r="Q473" s="566"/>
      <c r="R473" s="566"/>
      <c r="S473" s="566"/>
      <c r="T473" s="566"/>
      <c r="U473" s="566"/>
      <c r="V473" s="566"/>
      <c r="W473" s="566"/>
      <c r="X473" s="566"/>
      <c r="Y473" s="566"/>
      <c r="Z473" s="566"/>
      <c r="AA473" s="566"/>
      <c r="AB473" s="566"/>
      <c r="AC473" s="566"/>
      <c r="AD473" s="566"/>
      <c r="AE473" s="566"/>
      <c r="AF473" s="566"/>
      <c r="AG473" s="566"/>
      <c r="AH473" s="566"/>
      <c r="AI473" s="566"/>
      <c r="AJ473" s="566"/>
      <c r="AK473" s="566"/>
      <c r="AL473" s="566"/>
      <c r="AM473" s="566"/>
      <c r="AN473" s="566"/>
      <c r="AO473" s="566"/>
    </row>
    <row r="474" spans="2:41" x14ac:dyDescent="0.15">
      <c r="B474" s="567">
        <v>-20</v>
      </c>
      <c r="C474" s="566">
        <v>0</v>
      </c>
      <c r="D474" s="566"/>
      <c r="E474" s="566"/>
      <c r="F474" s="566"/>
      <c r="G474" s="566"/>
      <c r="H474" s="566"/>
      <c r="I474" s="566"/>
      <c r="J474" s="566"/>
      <c r="K474" s="566"/>
      <c r="L474" s="566"/>
      <c r="M474" s="566"/>
      <c r="N474" s="566"/>
      <c r="O474" s="566"/>
      <c r="P474" s="566"/>
      <c r="Q474" s="566"/>
      <c r="R474" s="566"/>
      <c r="S474" s="566"/>
      <c r="T474" s="566"/>
      <c r="U474" s="566"/>
      <c r="V474" s="566"/>
      <c r="W474" s="566"/>
      <c r="X474" s="566"/>
      <c r="Y474" s="566"/>
      <c r="Z474" s="566"/>
      <c r="AA474" s="566"/>
      <c r="AB474" s="566"/>
      <c r="AC474" s="566"/>
      <c r="AD474" s="566"/>
      <c r="AE474" s="566"/>
      <c r="AF474" s="566"/>
      <c r="AG474" s="566"/>
      <c r="AH474" s="566"/>
      <c r="AI474" s="566"/>
      <c r="AJ474" s="566"/>
      <c r="AK474" s="566"/>
      <c r="AL474" s="566"/>
      <c r="AM474" s="566"/>
      <c r="AN474" s="566"/>
      <c r="AO474" s="566"/>
    </row>
    <row r="475" spans="2:41" x14ac:dyDescent="0.15">
      <c r="B475" s="567">
        <v>-19</v>
      </c>
      <c r="C475" s="566">
        <v>0</v>
      </c>
      <c r="D475" s="566"/>
      <c r="E475" s="566"/>
      <c r="F475" s="566"/>
      <c r="G475" s="566"/>
      <c r="H475" s="566"/>
      <c r="I475" s="566"/>
      <c r="J475" s="566"/>
      <c r="K475" s="566"/>
      <c r="L475" s="566"/>
      <c r="M475" s="566"/>
      <c r="N475" s="566"/>
      <c r="O475" s="566"/>
      <c r="P475" s="566"/>
      <c r="Q475" s="566"/>
      <c r="R475" s="566"/>
      <c r="S475" s="566"/>
      <c r="T475" s="566"/>
      <c r="U475" s="566"/>
      <c r="V475" s="566"/>
      <c r="W475" s="566"/>
      <c r="X475" s="566"/>
      <c r="Y475" s="566"/>
      <c r="Z475" s="566"/>
      <c r="AA475" s="566"/>
      <c r="AB475" s="566"/>
      <c r="AC475" s="566"/>
      <c r="AD475" s="566"/>
      <c r="AE475" s="566"/>
      <c r="AF475" s="566"/>
      <c r="AG475" s="566"/>
      <c r="AH475" s="566"/>
      <c r="AI475" s="566"/>
      <c r="AJ475" s="566"/>
      <c r="AK475" s="566"/>
      <c r="AL475" s="566"/>
      <c r="AM475" s="566"/>
      <c r="AN475" s="566"/>
      <c r="AO475" s="566"/>
    </row>
    <row r="476" spans="2:41" x14ac:dyDescent="0.15">
      <c r="B476" s="567">
        <v>-18</v>
      </c>
      <c r="C476" s="566">
        <v>0</v>
      </c>
      <c r="D476" s="566"/>
      <c r="E476" s="566"/>
      <c r="F476" s="566"/>
      <c r="G476" s="566"/>
      <c r="H476" s="566"/>
      <c r="I476" s="566"/>
      <c r="J476" s="566"/>
      <c r="K476" s="566"/>
      <c r="L476" s="566"/>
      <c r="M476" s="566"/>
      <c r="N476" s="566"/>
      <c r="O476" s="566"/>
      <c r="P476" s="566"/>
      <c r="Q476" s="566"/>
      <c r="R476" s="566"/>
      <c r="S476" s="566"/>
      <c r="T476" s="566"/>
      <c r="U476" s="566"/>
      <c r="V476" s="566"/>
      <c r="W476" s="566"/>
      <c r="X476" s="566"/>
      <c r="Y476" s="566"/>
      <c r="Z476" s="566"/>
      <c r="AA476" s="566"/>
      <c r="AB476" s="566"/>
      <c r="AC476" s="566"/>
      <c r="AD476" s="566"/>
      <c r="AE476" s="566"/>
      <c r="AF476" s="566"/>
      <c r="AG476" s="566"/>
      <c r="AH476" s="566"/>
      <c r="AI476" s="566"/>
      <c r="AJ476" s="566"/>
      <c r="AK476" s="566"/>
      <c r="AL476" s="566"/>
      <c r="AM476" s="566"/>
      <c r="AN476" s="566"/>
      <c r="AO476" s="566"/>
    </row>
    <row r="477" spans="2:41" x14ac:dyDescent="0.15">
      <c r="B477" s="567">
        <v>-17</v>
      </c>
      <c r="C477" s="566">
        <v>0</v>
      </c>
      <c r="D477" s="566"/>
      <c r="E477" s="566"/>
      <c r="F477" s="566"/>
      <c r="G477" s="566"/>
      <c r="H477" s="566"/>
      <c r="I477" s="566"/>
      <c r="J477" s="566"/>
      <c r="K477" s="566"/>
      <c r="L477" s="566"/>
      <c r="M477" s="566"/>
      <c r="N477" s="566"/>
      <c r="O477" s="566"/>
      <c r="P477" s="566"/>
      <c r="Q477" s="566"/>
      <c r="R477" s="566"/>
      <c r="S477" s="566"/>
      <c r="T477" s="566"/>
      <c r="U477" s="566"/>
      <c r="V477" s="566"/>
      <c r="W477" s="566"/>
      <c r="X477" s="566"/>
      <c r="Y477" s="566"/>
      <c r="Z477" s="566"/>
      <c r="AA477" s="566"/>
      <c r="AB477" s="566"/>
      <c r="AC477" s="566"/>
      <c r="AD477" s="566"/>
      <c r="AE477" s="566"/>
      <c r="AF477" s="566"/>
      <c r="AG477" s="566"/>
      <c r="AH477" s="566"/>
      <c r="AI477" s="566"/>
      <c r="AJ477" s="566"/>
      <c r="AK477" s="566"/>
      <c r="AL477" s="566"/>
      <c r="AM477" s="566"/>
      <c r="AN477" s="566"/>
      <c r="AO477" s="566"/>
    </row>
    <row r="478" spans="2:41" x14ac:dyDescent="0.15">
      <c r="B478" s="567">
        <v>-16</v>
      </c>
      <c r="C478" s="566">
        <v>0</v>
      </c>
      <c r="D478" s="566"/>
      <c r="E478" s="566"/>
      <c r="F478" s="566"/>
      <c r="G478" s="566"/>
      <c r="H478" s="566"/>
      <c r="I478" s="566"/>
      <c r="J478" s="566"/>
      <c r="K478" s="566"/>
      <c r="L478" s="566"/>
      <c r="M478" s="566"/>
      <c r="N478" s="566"/>
      <c r="O478" s="566"/>
      <c r="P478" s="566"/>
      <c r="Q478" s="566"/>
      <c r="R478" s="566"/>
      <c r="S478" s="566"/>
      <c r="T478" s="566"/>
      <c r="U478" s="566"/>
      <c r="V478" s="566"/>
      <c r="W478" s="566"/>
      <c r="X478" s="566"/>
      <c r="Y478" s="566"/>
      <c r="Z478" s="566"/>
      <c r="AA478" s="566"/>
      <c r="AB478" s="566"/>
      <c r="AC478" s="566"/>
      <c r="AD478" s="566"/>
      <c r="AE478" s="566"/>
      <c r="AF478" s="566"/>
      <c r="AG478" s="566"/>
      <c r="AH478" s="566"/>
      <c r="AI478" s="566"/>
      <c r="AJ478" s="566"/>
      <c r="AK478" s="566"/>
      <c r="AL478" s="566"/>
      <c r="AM478" s="566"/>
      <c r="AN478" s="566"/>
      <c r="AO478" s="566"/>
    </row>
    <row r="479" spans="2:41" x14ac:dyDescent="0.15">
      <c r="B479" s="567">
        <v>-15</v>
      </c>
      <c r="C479" s="566">
        <v>1.1415525114155251E-4</v>
      </c>
      <c r="D479" s="566"/>
      <c r="E479" s="566"/>
      <c r="F479" s="566"/>
      <c r="G479" s="566"/>
      <c r="H479" s="566"/>
      <c r="I479" s="566"/>
      <c r="J479" s="566"/>
      <c r="K479" s="566"/>
      <c r="L479" s="566"/>
      <c r="M479" s="566"/>
      <c r="N479" s="566"/>
      <c r="O479" s="566"/>
      <c r="P479" s="566"/>
      <c r="Q479" s="566"/>
      <c r="R479" s="566"/>
      <c r="S479" s="566"/>
      <c r="T479" s="566"/>
      <c r="U479" s="566"/>
      <c r="V479" s="566"/>
      <c r="W479" s="566"/>
      <c r="X479" s="566"/>
      <c r="Y479" s="566"/>
      <c r="Z479" s="566"/>
      <c r="AA479" s="566"/>
      <c r="AB479" s="566"/>
      <c r="AC479" s="566"/>
      <c r="AD479" s="566"/>
      <c r="AE479" s="566"/>
      <c r="AF479" s="566"/>
      <c r="AG479" s="566"/>
      <c r="AH479" s="566"/>
      <c r="AI479" s="566"/>
      <c r="AJ479" s="566"/>
      <c r="AK479" s="566"/>
      <c r="AL479" s="566"/>
      <c r="AM479" s="566"/>
      <c r="AN479" s="566"/>
      <c r="AO479" s="566"/>
    </row>
    <row r="480" spans="2:41" x14ac:dyDescent="0.15">
      <c r="B480" s="567">
        <v>-14</v>
      </c>
      <c r="C480" s="566">
        <v>6.8493150684931507E-4</v>
      </c>
      <c r="D480" s="566"/>
      <c r="E480" s="566"/>
      <c r="F480" s="566"/>
      <c r="G480" s="566"/>
      <c r="H480" s="566"/>
      <c r="I480" s="566"/>
      <c r="J480" s="566"/>
      <c r="K480" s="566"/>
      <c r="L480" s="566"/>
      <c r="M480" s="566"/>
      <c r="N480" s="566"/>
      <c r="O480" s="566"/>
      <c r="P480" s="566"/>
      <c r="Q480" s="566"/>
      <c r="R480" s="566"/>
      <c r="S480" s="566"/>
      <c r="T480" s="566"/>
      <c r="U480" s="566"/>
      <c r="V480" s="566"/>
      <c r="W480" s="566"/>
      <c r="X480" s="566"/>
      <c r="Y480" s="566"/>
      <c r="Z480" s="566"/>
      <c r="AA480" s="566"/>
      <c r="AB480" s="566"/>
      <c r="AC480" s="566"/>
      <c r="AD480" s="566"/>
      <c r="AE480" s="566"/>
      <c r="AF480" s="566"/>
      <c r="AG480" s="566"/>
      <c r="AH480" s="566"/>
      <c r="AI480" s="566"/>
      <c r="AJ480" s="566"/>
      <c r="AK480" s="566"/>
      <c r="AL480" s="566"/>
      <c r="AM480" s="566"/>
      <c r="AN480" s="566"/>
      <c r="AO480" s="566"/>
    </row>
    <row r="481" spans="2:41" x14ac:dyDescent="0.15">
      <c r="B481" s="567">
        <v>-13</v>
      </c>
      <c r="C481" s="566">
        <v>1.5981735159817352E-3</v>
      </c>
      <c r="D481" s="566"/>
      <c r="E481" s="566"/>
      <c r="F481" s="566"/>
      <c r="G481" s="566"/>
      <c r="H481" s="566"/>
      <c r="I481" s="566"/>
      <c r="J481" s="566"/>
      <c r="K481" s="566"/>
      <c r="L481" s="566"/>
      <c r="M481" s="566"/>
      <c r="N481" s="566"/>
      <c r="O481" s="566"/>
      <c r="P481" s="566"/>
      <c r="Q481" s="566"/>
      <c r="R481" s="566"/>
      <c r="S481" s="566"/>
      <c r="T481" s="566"/>
      <c r="U481" s="566"/>
      <c r="V481" s="566"/>
      <c r="W481" s="566"/>
      <c r="X481" s="566"/>
      <c r="Y481" s="566"/>
      <c r="Z481" s="566"/>
      <c r="AA481" s="566"/>
      <c r="AB481" s="566"/>
      <c r="AC481" s="566"/>
      <c r="AD481" s="566"/>
      <c r="AE481" s="566"/>
      <c r="AF481" s="566"/>
      <c r="AG481" s="566"/>
      <c r="AH481" s="566"/>
      <c r="AI481" s="566"/>
      <c r="AJ481" s="566"/>
      <c r="AK481" s="566"/>
      <c r="AL481" s="566"/>
      <c r="AM481" s="566"/>
      <c r="AN481" s="566"/>
      <c r="AO481" s="566"/>
    </row>
    <row r="482" spans="2:41" x14ac:dyDescent="0.15">
      <c r="B482" s="567">
        <v>-12</v>
      </c>
      <c r="C482" s="566">
        <v>3.767123287671233E-3</v>
      </c>
      <c r="D482" s="566"/>
      <c r="E482" s="566"/>
      <c r="F482" s="566"/>
      <c r="G482" s="566"/>
      <c r="H482" s="566"/>
      <c r="I482" s="566"/>
      <c r="J482" s="566"/>
      <c r="K482" s="566"/>
      <c r="L482" s="566"/>
      <c r="M482" s="566"/>
      <c r="N482" s="566"/>
      <c r="O482" s="566"/>
      <c r="P482" s="566"/>
      <c r="Q482" s="566"/>
      <c r="R482" s="566"/>
      <c r="S482" s="566"/>
      <c r="T482" s="566"/>
      <c r="U482" s="566"/>
      <c r="V482" s="566"/>
      <c r="W482" s="566"/>
      <c r="X482" s="566"/>
      <c r="Y482" s="566"/>
      <c r="Z482" s="566"/>
      <c r="AA482" s="566"/>
      <c r="AB482" s="566"/>
      <c r="AC482" s="566"/>
      <c r="AD482" s="566"/>
      <c r="AE482" s="566"/>
      <c r="AF482" s="566"/>
      <c r="AG482" s="566"/>
      <c r="AH482" s="566"/>
      <c r="AI482" s="566"/>
      <c r="AJ482" s="566"/>
      <c r="AK482" s="566"/>
      <c r="AL482" s="566"/>
      <c r="AM482" s="566"/>
      <c r="AN482" s="566"/>
      <c r="AO482" s="566"/>
    </row>
    <row r="483" spans="2:41" x14ac:dyDescent="0.15">
      <c r="B483" s="567">
        <v>-11</v>
      </c>
      <c r="C483" s="566">
        <v>5.4794520547945206E-3</v>
      </c>
      <c r="D483" s="566"/>
      <c r="E483" s="566"/>
      <c r="F483" s="566"/>
      <c r="G483" s="566"/>
      <c r="H483" s="566"/>
      <c r="I483" s="566"/>
      <c r="J483" s="566"/>
      <c r="K483" s="566"/>
      <c r="L483" s="566"/>
      <c r="M483" s="566"/>
      <c r="N483" s="566"/>
      <c r="O483" s="566"/>
      <c r="P483" s="566"/>
      <c r="Q483" s="566"/>
      <c r="R483" s="566"/>
      <c r="S483" s="566"/>
      <c r="T483" s="566"/>
      <c r="U483" s="566"/>
      <c r="V483" s="566"/>
      <c r="W483" s="566"/>
      <c r="X483" s="566"/>
      <c r="Y483" s="566"/>
      <c r="Z483" s="566"/>
      <c r="AA483" s="566"/>
      <c r="AB483" s="566"/>
      <c r="AC483" s="566"/>
      <c r="AD483" s="566"/>
      <c r="AE483" s="566"/>
      <c r="AF483" s="566"/>
      <c r="AG483" s="566"/>
      <c r="AH483" s="566"/>
      <c r="AI483" s="566"/>
      <c r="AJ483" s="566"/>
      <c r="AK483" s="566"/>
      <c r="AL483" s="566"/>
      <c r="AM483" s="566"/>
      <c r="AN483" s="566"/>
      <c r="AO483" s="566"/>
    </row>
    <row r="484" spans="2:41" x14ac:dyDescent="0.15">
      <c r="B484" s="567">
        <v>-10</v>
      </c>
      <c r="C484" s="566">
        <v>8.1050228310502286E-3</v>
      </c>
      <c r="D484" s="566"/>
      <c r="E484" s="566"/>
      <c r="F484" s="566"/>
      <c r="G484" s="566"/>
      <c r="H484" s="566"/>
      <c r="I484" s="566"/>
      <c r="J484" s="566"/>
      <c r="K484" s="566"/>
      <c r="L484" s="566"/>
      <c r="M484" s="566"/>
      <c r="N484" s="566"/>
      <c r="O484" s="566"/>
      <c r="P484" s="566"/>
      <c r="Q484" s="566"/>
      <c r="R484" s="566"/>
      <c r="S484" s="566"/>
      <c r="T484" s="566"/>
      <c r="U484" s="566"/>
      <c r="V484" s="566"/>
      <c r="W484" s="566"/>
      <c r="X484" s="566"/>
      <c r="Y484" s="566"/>
      <c r="Z484" s="566"/>
      <c r="AA484" s="566"/>
      <c r="AB484" s="566"/>
      <c r="AC484" s="566"/>
      <c r="AD484" s="566"/>
      <c r="AE484" s="566"/>
      <c r="AF484" s="566"/>
      <c r="AG484" s="566"/>
      <c r="AH484" s="566"/>
      <c r="AI484" s="566"/>
      <c r="AJ484" s="566"/>
      <c r="AK484" s="566"/>
      <c r="AL484" s="566"/>
      <c r="AM484" s="566"/>
      <c r="AN484" s="566"/>
      <c r="AO484" s="566"/>
    </row>
    <row r="485" spans="2:41" x14ac:dyDescent="0.15">
      <c r="B485" s="567">
        <v>-9</v>
      </c>
      <c r="C485" s="566">
        <v>9.2465753424657536E-3</v>
      </c>
      <c r="D485" s="566"/>
      <c r="E485" s="566"/>
      <c r="F485" s="566"/>
      <c r="G485" s="566"/>
      <c r="H485" s="566"/>
      <c r="I485" s="566"/>
      <c r="J485" s="566"/>
      <c r="K485" s="566"/>
      <c r="L485" s="566"/>
      <c r="M485" s="566"/>
      <c r="N485" s="566"/>
      <c r="O485" s="566"/>
      <c r="P485" s="566"/>
      <c r="Q485" s="566"/>
      <c r="R485" s="566"/>
      <c r="S485" s="566"/>
      <c r="T485" s="566"/>
      <c r="U485" s="566"/>
      <c r="V485" s="566"/>
      <c r="W485" s="566"/>
      <c r="X485" s="566"/>
      <c r="Y485" s="566"/>
      <c r="Z485" s="566"/>
      <c r="AA485" s="566"/>
      <c r="AB485" s="566"/>
      <c r="AC485" s="566"/>
      <c r="AD485" s="566"/>
      <c r="AE485" s="566"/>
      <c r="AF485" s="566"/>
      <c r="AG485" s="566"/>
      <c r="AH485" s="566"/>
      <c r="AI485" s="566"/>
      <c r="AJ485" s="566"/>
      <c r="AK485" s="566"/>
      <c r="AL485" s="566"/>
      <c r="AM485" s="566"/>
      <c r="AN485" s="566"/>
      <c r="AO485" s="566"/>
    </row>
    <row r="486" spans="2:41" x14ac:dyDescent="0.15">
      <c r="B486" s="567">
        <v>-8</v>
      </c>
      <c r="C486" s="566">
        <v>1.2785388127853882E-2</v>
      </c>
      <c r="D486" s="566"/>
      <c r="E486" s="566"/>
      <c r="F486" s="566"/>
      <c r="G486" s="566"/>
      <c r="H486" s="566"/>
      <c r="I486" s="566"/>
      <c r="J486" s="566"/>
      <c r="K486" s="566"/>
      <c r="L486" s="566"/>
      <c r="M486" s="566"/>
      <c r="N486" s="566"/>
      <c r="O486" s="566"/>
      <c r="P486" s="566"/>
      <c r="Q486" s="566"/>
      <c r="R486" s="566"/>
      <c r="S486" s="566"/>
      <c r="T486" s="566"/>
      <c r="U486" s="566"/>
      <c r="V486" s="566"/>
      <c r="W486" s="566"/>
      <c r="X486" s="566"/>
      <c r="Y486" s="566"/>
      <c r="Z486" s="566"/>
      <c r="AA486" s="566"/>
      <c r="AB486" s="566"/>
      <c r="AC486" s="566"/>
      <c r="AD486" s="566"/>
      <c r="AE486" s="566"/>
      <c r="AF486" s="566"/>
      <c r="AG486" s="566"/>
      <c r="AH486" s="566"/>
      <c r="AI486" s="566"/>
      <c r="AJ486" s="566"/>
      <c r="AK486" s="566"/>
      <c r="AL486" s="566"/>
      <c r="AM486" s="566"/>
      <c r="AN486" s="566"/>
      <c r="AO486" s="566"/>
    </row>
    <row r="487" spans="2:41" x14ac:dyDescent="0.15">
      <c r="B487" s="567">
        <v>-7</v>
      </c>
      <c r="C487" s="566">
        <v>1.6552511415525113E-2</v>
      </c>
      <c r="D487" s="566"/>
      <c r="E487" s="566"/>
      <c r="F487" s="566"/>
      <c r="G487" s="566"/>
      <c r="H487" s="566"/>
      <c r="I487" s="566"/>
      <c r="J487" s="566"/>
      <c r="K487" s="566"/>
      <c r="L487" s="566"/>
      <c r="M487" s="566"/>
      <c r="N487" s="566"/>
      <c r="O487" s="566"/>
      <c r="P487" s="566"/>
      <c r="Q487" s="566"/>
      <c r="R487" s="566"/>
      <c r="S487" s="566"/>
      <c r="T487" s="566"/>
      <c r="U487" s="566"/>
      <c r="V487" s="566"/>
      <c r="W487" s="566"/>
      <c r="X487" s="566"/>
      <c r="Y487" s="566"/>
      <c r="Z487" s="566"/>
      <c r="AA487" s="566"/>
      <c r="AB487" s="566"/>
      <c r="AC487" s="566"/>
      <c r="AD487" s="566"/>
      <c r="AE487" s="566"/>
      <c r="AF487" s="566"/>
      <c r="AG487" s="566"/>
      <c r="AH487" s="566"/>
      <c r="AI487" s="566"/>
      <c r="AJ487" s="566"/>
      <c r="AK487" s="566"/>
      <c r="AL487" s="566"/>
      <c r="AM487" s="566"/>
      <c r="AN487" s="566"/>
      <c r="AO487" s="566"/>
    </row>
    <row r="488" spans="2:41" x14ac:dyDescent="0.15">
      <c r="B488" s="567">
        <v>-6</v>
      </c>
      <c r="C488" s="566">
        <v>2.1803652968036529E-2</v>
      </c>
      <c r="D488" s="566"/>
      <c r="E488" s="566"/>
      <c r="F488" s="566"/>
      <c r="G488" s="566"/>
      <c r="H488" s="566"/>
      <c r="I488" s="566"/>
      <c r="J488" s="566"/>
      <c r="K488" s="566"/>
      <c r="L488" s="566"/>
      <c r="M488" s="566"/>
      <c r="N488" s="566"/>
      <c r="O488" s="566"/>
      <c r="P488" s="566"/>
      <c r="Q488" s="566"/>
      <c r="R488" s="566"/>
      <c r="S488" s="566"/>
      <c r="T488" s="566"/>
      <c r="U488" s="566"/>
      <c r="V488" s="566"/>
      <c r="W488" s="566"/>
      <c r="X488" s="566"/>
      <c r="Y488" s="566"/>
      <c r="Z488" s="566"/>
      <c r="AA488" s="566"/>
      <c r="AB488" s="566"/>
      <c r="AC488" s="566"/>
      <c r="AD488" s="566"/>
      <c r="AE488" s="566"/>
      <c r="AF488" s="566"/>
      <c r="AG488" s="566"/>
      <c r="AH488" s="566"/>
      <c r="AI488" s="566"/>
      <c r="AJ488" s="566"/>
      <c r="AK488" s="566"/>
      <c r="AL488" s="566"/>
      <c r="AM488" s="566"/>
      <c r="AN488" s="566"/>
      <c r="AO488" s="566"/>
    </row>
    <row r="489" spans="2:41" x14ac:dyDescent="0.15">
      <c r="B489" s="567">
        <v>-5</v>
      </c>
      <c r="C489" s="566">
        <v>2.8767123287671233E-2</v>
      </c>
      <c r="D489" s="566"/>
      <c r="E489" s="566"/>
      <c r="F489" s="566"/>
      <c r="G489" s="566"/>
      <c r="H489" s="566"/>
      <c r="I489" s="566"/>
      <c r="J489" s="566"/>
      <c r="K489" s="566"/>
      <c r="L489" s="566"/>
      <c r="M489" s="566"/>
      <c r="N489" s="566"/>
      <c r="O489" s="566"/>
      <c r="P489" s="566"/>
      <c r="Q489" s="566"/>
      <c r="R489" s="566"/>
      <c r="S489" s="566"/>
      <c r="T489" s="566"/>
      <c r="U489" s="566"/>
      <c r="V489" s="566"/>
      <c r="W489" s="566"/>
      <c r="X489" s="566"/>
      <c r="Y489" s="566"/>
      <c r="Z489" s="566"/>
      <c r="AA489" s="566"/>
      <c r="AB489" s="566"/>
      <c r="AC489" s="566"/>
      <c r="AD489" s="566"/>
      <c r="AE489" s="566"/>
      <c r="AF489" s="566"/>
      <c r="AG489" s="566"/>
      <c r="AH489" s="566"/>
      <c r="AI489" s="566"/>
      <c r="AJ489" s="566"/>
      <c r="AK489" s="566"/>
      <c r="AL489" s="566"/>
      <c r="AM489" s="566"/>
      <c r="AN489" s="566"/>
      <c r="AO489" s="566"/>
    </row>
    <row r="490" spans="2:41" x14ac:dyDescent="0.15">
      <c r="B490" s="567">
        <v>-4</v>
      </c>
      <c r="C490" s="566">
        <v>3.515981735159817E-2</v>
      </c>
      <c r="D490" s="566"/>
      <c r="E490" s="566"/>
      <c r="F490" s="566"/>
      <c r="G490" s="566"/>
      <c r="H490" s="566"/>
      <c r="I490" s="566"/>
      <c r="J490" s="566"/>
      <c r="K490" s="566"/>
      <c r="L490" s="566"/>
      <c r="M490" s="566"/>
      <c r="N490" s="566"/>
      <c r="O490" s="566"/>
      <c r="P490" s="566"/>
      <c r="Q490" s="566"/>
      <c r="R490" s="566"/>
      <c r="S490" s="566"/>
      <c r="T490" s="566"/>
      <c r="U490" s="566"/>
      <c r="V490" s="566"/>
      <c r="W490" s="566"/>
      <c r="X490" s="566"/>
      <c r="Y490" s="566"/>
      <c r="Z490" s="566"/>
      <c r="AA490" s="566"/>
      <c r="AB490" s="566"/>
      <c r="AC490" s="566"/>
      <c r="AD490" s="566"/>
      <c r="AE490" s="566"/>
      <c r="AF490" s="566"/>
      <c r="AG490" s="566"/>
      <c r="AH490" s="566"/>
      <c r="AI490" s="566"/>
      <c r="AJ490" s="566"/>
      <c r="AK490" s="566"/>
      <c r="AL490" s="566"/>
      <c r="AM490" s="566"/>
      <c r="AN490" s="566"/>
      <c r="AO490" s="566"/>
    </row>
    <row r="491" spans="2:41" x14ac:dyDescent="0.15">
      <c r="B491" s="567">
        <v>-3</v>
      </c>
      <c r="C491" s="566">
        <v>4.8858447488584478E-2</v>
      </c>
      <c r="D491" s="566"/>
      <c r="E491" s="566"/>
      <c r="F491" s="566"/>
      <c r="G491" s="566"/>
      <c r="H491" s="566"/>
      <c r="I491" s="566"/>
      <c r="J491" s="566"/>
      <c r="K491" s="566"/>
      <c r="L491" s="566"/>
      <c r="M491" s="566"/>
      <c r="N491" s="566"/>
      <c r="O491" s="566"/>
      <c r="P491" s="566"/>
      <c r="Q491" s="566"/>
      <c r="R491" s="566"/>
      <c r="S491" s="566"/>
      <c r="T491" s="566"/>
      <c r="U491" s="566"/>
      <c r="V491" s="566"/>
      <c r="W491" s="566"/>
      <c r="X491" s="566"/>
      <c r="Y491" s="566"/>
      <c r="Z491" s="566"/>
      <c r="AA491" s="566"/>
      <c r="AB491" s="566"/>
      <c r="AC491" s="566"/>
      <c r="AD491" s="566"/>
      <c r="AE491" s="566"/>
      <c r="AF491" s="566"/>
      <c r="AG491" s="566"/>
      <c r="AH491" s="566"/>
      <c r="AI491" s="566"/>
      <c r="AJ491" s="566"/>
      <c r="AK491" s="566"/>
      <c r="AL491" s="566"/>
      <c r="AM491" s="566"/>
      <c r="AN491" s="566"/>
      <c r="AO491" s="566"/>
    </row>
    <row r="492" spans="2:41" x14ac:dyDescent="0.15">
      <c r="B492" s="567">
        <v>-2</v>
      </c>
      <c r="C492" s="566">
        <v>6.632420091324201E-2</v>
      </c>
      <c r="D492" s="566"/>
      <c r="E492" s="566"/>
      <c r="F492" s="566"/>
      <c r="G492" s="566"/>
      <c r="H492" s="566"/>
      <c r="I492" s="566"/>
      <c r="J492" s="566"/>
      <c r="K492" s="566"/>
      <c r="L492" s="566"/>
      <c r="M492" s="566"/>
      <c r="N492" s="566"/>
      <c r="O492" s="566"/>
      <c r="P492" s="566"/>
      <c r="Q492" s="566"/>
      <c r="R492" s="566"/>
      <c r="S492" s="566"/>
      <c r="T492" s="566"/>
      <c r="U492" s="566"/>
      <c r="V492" s="566"/>
      <c r="W492" s="566"/>
      <c r="X492" s="566"/>
      <c r="Y492" s="566"/>
      <c r="Z492" s="566"/>
      <c r="AA492" s="566"/>
      <c r="AB492" s="566"/>
      <c r="AC492" s="566"/>
      <c r="AD492" s="566"/>
      <c r="AE492" s="566"/>
      <c r="AF492" s="566"/>
      <c r="AG492" s="566"/>
      <c r="AH492" s="566"/>
      <c r="AI492" s="566"/>
      <c r="AJ492" s="566"/>
      <c r="AK492" s="566"/>
      <c r="AL492" s="566"/>
      <c r="AM492" s="566"/>
      <c r="AN492" s="566"/>
      <c r="AO492" s="566"/>
    </row>
    <row r="493" spans="2:41" x14ac:dyDescent="0.15">
      <c r="B493" s="567">
        <v>-1</v>
      </c>
      <c r="C493" s="566">
        <v>0.10091324200913242</v>
      </c>
      <c r="D493" s="566"/>
      <c r="E493" s="566"/>
      <c r="F493" s="566"/>
      <c r="G493" s="566"/>
      <c r="H493" s="566"/>
      <c r="I493" s="566"/>
      <c r="J493" s="566"/>
      <c r="K493" s="566"/>
      <c r="L493" s="566"/>
      <c r="M493" s="566"/>
      <c r="N493" s="566"/>
      <c r="O493" s="566"/>
      <c r="P493" s="566"/>
      <c r="Q493" s="566"/>
      <c r="R493" s="566"/>
      <c r="S493" s="566"/>
      <c r="T493" s="566"/>
      <c r="U493" s="566"/>
      <c r="V493" s="566"/>
      <c r="W493" s="566"/>
      <c r="X493" s="566"/>
      <c r="Y493" s="566"/>
      <c r="Z493" s="566"/>
      <c r="AA493" s="566"/>
      <c r="AB493" s="566"/>
      <c r="AC493" s="566"/>
      <c r="AD493" s="566"/>
      <c r="AE493" s="566"/>
      <c r="AF493" s="566"/>
      <c r="AG493" s="566"/>
      <c r="AH493" s="566"/>
      <c r="AI493" s="566"/>
      <c r="AJ493" s="566"/>
      <c r="AK493" s="566"/>
      <c r="AL493" s="566"/>
      <c r="AM493" s="566"/>
      <c r="AN493" s="566"/>
      <c r="AO493" s="566"/>
    </row>
    <row r="494" spans="2:41" x14ac:dyDescent="0.15">
      <c r="B494" s="567">
        <v>0</v>
      </c>
      <c r="C494" s="566">
        <v>0.13904109589041097</v>
      </c>
      <c r="D494" s="566"/>
      <c r="E494" s="566"/>
      <c r="F494" s="566"/>
      <c r="G494" s="566"/>
      <c r="H494" s="566"/>
      <c r="I494" s="566"/>
      <c r="J494" s="566"/>
      <c r="K494" s="566"/>
      <c r="L494" s="566"/>
      <c r="M494" s="566"/>
      <c r="N494" s="566"/>
      <c r="O494" s="566"/>
      <c r="P494" s="566"/>
      <c r="Q494" s="566"/>
      <c r="R494" s="566"/>
      <c r="S494" s="566"/>
      <c r="T494" s="566"/>
      <c r="U494" s="566"/>
      <c r="V494" s="566"/>
      <c r="W494" s="566"/>
      <c r="X494" s="566"/>
      <c r="Y494" s="566"/>
      <c r="Z494" s="566"/>
      <c r="AA494" s="566"/>
      <c r="AB494" s="566"/>
      <c r="AC494" s="566"/>
      <c r="AD494" s="566"/>
      <c r="AE494" s="566"/>
      <c r="AF494" s="566"/>
      <c r="AG494" s="566"/>
      <c r="AH494" s="566"/>
      <c r="AI494" s="566"/>
      <c r="AJ494" s="566"/>
      <c r="AK494" s="566"/>
      <c r="AL494" s="566"/>
      <c r="AM494" s="566"/>
      <c r="AN494" s="566"/>
      <c r="AO494" s="566"/>
    </row>
    <row r="495" spans="2:41" x14ac:dyDescent="0.15">
      <c r="B495" s="567">
        <v>1</v>
      </c>
      <c r="C495" s="566">
        <v>0.16232876712328767</v>
      </c>
      <c r="D495" s="566"/>
      <c r="E495" s="566"/>
      <c r="F495" s="566"/>
      <c r="G495" s="566"/>
      <c r="H495" s="566"/>
      <c r="I495" s="566"/>
      <c r="J495" s="566"/>
      <c r="K495" s="566"/>
      <c r="L495" s="566"/>
      <c r="M495" s="566"/>
      <c r="N495" s="566"/>
      <c r="O495" s="566"/>
      <c r="P495" s="566"/>
      <c r="Q495" s="566"/>
      <c r="R495" s="566"/>
      <c r="S495" s="566"/>
      <c r="T495" s="566"/>
      <c r="U495" s="566"/>
      <c r="V495" s="566"/>
      <c r="W495" s="566"/>
      <c r="X495" s="566"/>
      <c r="Y495" s="566"/>
      <c r="Z495" s="566"/>
      <c r="AA495" s="566"/>
      <c r="AB495" s="566"/>
      <c r="AC495" s="566"/>
      <c r="AD495" s="566"/>
      <c r="AE495" s="566"/>
      <c r="AF495" s="566"/>
      <c r="AG495" s="566"/>
      <c r="AH495" s="566"/>
      <c r="AI495" s="566"/>
      <c r="AJ495" s="566"/>
      <c r="AK495" s="566"/>
      <c r="AL495" s="566"/>
      <c r="AM495" s="566"/>
      <c r="AN495" s="566"/>
      <c r="AO495" s="566"/>
    </row>
    <row r="496" spans="2:41" x14ac:dyDescent="0.15">
      <c r="B496" s="567">
        <v>2</v>
      </c>
      <c r="C496" s="566">
        <v>0.1980593607305936</v>
      </c>
      <c r="D496" s="566"/>
      <c r="E496" s="566"/>
      <c r="F496" s="566"/>
      <c r="G496" s="566"/>
      <c r="H496" s="566"/>
      <c r="I496" s="566"/>
      <c r="J496" s="566"/>
      <c r="K496" s="566"/>
      <c r="L496" s="566"/>
      <c r="M496" s="566"/>
      <c r="N496" s="566"/>
      <c r="O496" s="566"/>
      <c r="P496" s="566"/>
      <c r="Q496" s="566"/>
      <c r="R496" s="566"/>
      <c r="S496" s="566"/>
      <c r="T496" s="566"/>
      <c r="U496" s="566"/>
      <c r="V496" s="566"/>
      <c r="W496" s="566"/>
      <c r="X496" s="566"/>
      <c r="Y496" s="566"/>
      <c r="Z496" s="566"/>
      <c r="AA496" s="566"/>
      <c r="AB496" s="566"/>
      <c r="AC496" s="566"/>
      <c r="AD496" s="566"/>
      <c r="AE496" s="566"/>
      <c r="AF496" s="566"/>
      <c r="AG496" s="566"/>
      <c r="AH496" s="566"/>
      <c r="AI496" s="566"/>
      <c r="AJ496" s="566"/>
      <c r="AK496" s="566"/>
      <c r="AL496" s="566"/>
      <c r="AM496" s="566"/>
      <c r="AN496" s="566"/>
      <c r="AO496" s="566"/>
    </row>
    <row r="497" spans="2:41" x14ac:dyDescent="0.15">
      <c r="B497" s="567">
        <v>3</v>
      </c>
      <c r="C497" s="566">
        <v>0.24200913242009131</v>
      </c>
      <c r="D497" s="566"/>
      <c r="E497" s="566"/>
      <c r="F497" s="566"/>
      <c r="G497" s="566"/>
      <c r="H497" s="566"/>
      <c r="I497" s="566"/>
      <c r="J497" s="566"/>
      <c r="K497" s="566"/>
      <c r="L497" s="566"/>
      <c r="M497" s="566"/>
      <c r="N497" s="566"/>
      <c r="O497" s="566"/>
      <c r="P497" s="566"/>
      <c r="Q497" s="566"/>
      <c r="R497" s="566"/>
      <c r="S497" s="566"/>
      <c r="T497" s="566"/>
      <c r="U497" s="566"/>
      <c r="V497" s="566"/>
      <c r="W497" s="566"/>
      <c r="X497" s="566"/>
      <c r="Y497" s="566"/>
      <c r="Z497" s="566"/>
      <c r="AA497" s="566"/>
      <c r="AB497" s="566"/>
      <c r="AC497" s="566"/>
      <c r="AD497" s="566"/>
      <c r="AE497" s="566"/>
      <c r="AF497" s="566"/>
      <c r="AG497" s="566"/>
      <c r="AH497" s="566"/>
      <c r="AI497" s="566"/>
      <c r="AJ497" s="566"/>
      <c r="AK497" s="566"/>
      <c r="AL497" s="566"/>
      <c r="AM497" s="566"/>
      <c r="AN497" s="566"/>
      <c r="AO497" s="566"/>
    </row>
    <row r="498" spans="2:41" x14ac:dyDescent="0.15">
      <c r="B498" s="567">
        <v>4</v>
      </c>
      <c r="C498" s="566">
        <v>0.29486301369863016</v>
      </c>
      <c r="D498" s="566"/>
      <c r="E498" s="566"/>
      <c r="F498" s="566"/>
      <c r="G498" s="566"/>
      <c r="H498" s="566"/>
      <c r="I498" s="566"/>
      <c r="J498" s="566"/>
      <c r="K498" s="566"/>
      <c r="L498" s="566"/>
      <c r="M498" s="566"/>
      <c r="N498" s="566"/>
      <c r="O498" s="566"/>
      <c r="P498" s="566"/>
      <c r="Q498" s="566"/>
      <c r="R498" s="566"/>
      <c r="S498" s="566"/>
      <c r="T498" s="566"/>
      <c r="U498" s="566"/>
      <c r="V498" s="566"/>
      <c r="W498" s="566"/>
      <c r="X498" s="566"/>
      <c r="Y498" s="566"/>
      <c r="Z498" s="566"/>
      <c r="AA498" s="566"/>
      <c r="AB498" s="566"/>
      <c r="AC498" s="566"/>
      <c r="AD498" s="566"/>
      <c r="AE498" s="566"/>
      <c r="AF498" s="566"/>
      <c r="AG498" s="566"/>
      <c r="AH498" s="566"/>
      <c r="AI498" s="566"/>
      <c r="AJ498" s="566"/>
      <c r="AK498" s="566"/>
      <c r="AL498" s="566"/>
      <c r="AM498" s="566"/>
      <c r="AN498" s="566"/>
      <c r="AO498" s="566"/>
    </row>
    <row r="499" spans="2:41" x14ac:dyDescent="0.15">
      <c r="B499" s="567">
        <v>5</v>
      </c>
      <c r="C499" s="566">
        <v>0.34166666666666667</v>
      </c>
      <c r="D499" s="566"/>
      <c r="E499" s="566"/>
      <c r="F499" s="566"/>
      <c r="G499" s="566"/>
      <c r="H499" s="566"/>
      <c r="I499" s="566"/>
      <c r="J499" s="566"/>
      <c r="K499" s="566"/>
      <c r="L499" s="566"/>
      <c r="M499" s="566"/>
      <c r="N499" s="566"/>
      <c r="O499" s="566"/>
      <c r="P499" s="566"/>
      <c r="Q499" s="566"/>
      <c r="R499" s="566"/>
      <c r="S499" s="566"/>
      <c r="T499" s="566"/>
      <c r="U499" s="566"/>
      <c r="V499" s="566"/>
      <c r="W499" s="566"/>
      <c r="X499" s="566"/>
      <c r="Y499" s="566"/>
      <c r="Z499" s="566"/>
      <c r="AA499" s="566"/>
      <c r="AB499" s="566"/>
      <c r="AC499" s="566"/>
      <c r="AD499" s="566"/>
      <c r="AE499" s="566"/>
      <c r="AF499" s="566"/>
      <c r="AG499" s="566"/>
      <c r="AH499" s="566"/>
      <c r="AI499" s="566"/>
      <c r="AJ499" s="566"/>
      <c r="AK499" s="566"/>
      <c r="AL499" s="566"/>
      <c r="AM499" s="566"/>
      <c r="AN499" s="566"/>
      <c r="AO499" s="566"/>
    </row>
    <row r="500" spans="2:41" x14ac:dyDescent="0.15">
      <c r="B500" s="567">
        <v>6</v>
      </c>
      <c r="C500" s="566">
        <v>0.36552511415525113</v>
      </c>
      <c r="D500" s="566"/>
      <c r="E500" s="566"/>
      <c r="F500" s="566"/>
      <c r="G500" s="566"/>
      <c r="H500" s="566"/>
      <c r="I500" s="566"/>
      <c r="J500" s="566"/>
      <c r="K500" s="566"/>
      <c r="L500" s="566"/>
      <c r="M500" s="566"/>
      <c r="N500" s="566"/>
      <c r="O500" s="566"/>
      <c r="P500" s="566"/>
      <c r="Q500" s="566"/>
      <c r="R500" s="566"/>
      <c r="S500" s="566"/>
      <c r="T500" s="566"/>
      <c r="U500" s="566"/>
      <c r="V500" s="566"/>
      <c r="W500" s="566"/>
      <c r="X500" s="566"/>
      <c r="Y500" s="566"/>
      <c r="Z500" s="566"/>
      <c r="AA500" s="566"/>
      <c r="AB500" s="566"/>
      <c r="AC500" s="566"/>
      <c r="AD500" s="566"/>
      <c r="AE500" s="566"/>
      <c r="AF500" s="566"/>
      <c r="AG500" s="566"/>
      <c r="AH500" s="566"/>
      <c r="AI500" s="566"/>
      <c r="AJ500" s="566"/>
      <c r="AK500" s="566"/>
      <c r="AL500" s="566"/>
      <c r="AM500" s="566"/>
      <c r="AN500" s="566"/>
      <c r="AO500" s="566"/>
    </row>
    <row r="501" spans="2:41" x14ac:dyDescent="0.15">
      <c r="B501" s="567">
        <v>7</v>
      </c>
      <c r="C501" s="566">
        <v>0.41495433789954339</v>
      </c>
      <c r="D501" s="566"/>
      <c r="E501" s="566"/>
      <c r="F501" s="566"/>
      <c r="G501" s="566"/>
      <c r="H501" s="566"/>
      <c r="I501" s="566"/>
      <c r="J501" s="566"/>
      <c r="K501" s="566"/>
      <c r="L501" s="566"/>
      <c r="M501" s="566"/>
      <c r="N501" s="566"/>
      <c r="O501" s="566"/>
      <c r="P501" s="566"/>
      <c r="Q501" s="566"/>
      <c r="R501" s="566"/>
      <c r="S501" s="566"/>
      <c r="T501" s="566"/>
      <c r="U501" s="566"/>
      <c r="V501" s="566"/>
      <c r="W501" s="566"/>
      <c r="X501" s="566"/>
      <c r="Y501" s="566"/>
      <c r="Z501" s="566"/>
      <c r="AA501" s="566"/>
      <c r="AB501" s="566"/>
      <c r="AC501" s="566"/>
      <c r="AD501" s="566"/>
      <c r="AE501" s="566"/>
      <c r="AF501" s="566"/>
      <c r="AG501" s="566"/>
      <c r="AH501" s="566"/>
      <c r="AI501" s="566"/>
      <c r="AJ501" s="566"/>
      <c r="AK501" s="566"/>
      <c r="AL501" s="566"/>
      <c r="AM501" s="566"/>
      <c r="AN501" s="566"/>
      <c r="AO501" s="566"/>
    </row>
    <row r="502" spans="2:41" x14ac:dyDescent="0.15">
      <c r="B502" s="567">
        <v>8</v>
      </c>
      <c r="C502" s="566">
        <v>0.45878995433789954</v>
      </c>
      <c r="D502" s="566"/>
      <c r="E502" s="566"/>
      <c r="F502" s="566"/>
      <c r="G502" s="566"/>
      <c r="H502" s="566"/>
      <c r="I502" s="566"/>
      <c r="J502" s="566"/>
      <c r="K502" s="566"/>
      <c r="L502" s="566"/>
      <c r="M502" s="566"/>
      <c r="N502" s="566"/>
      <c r="O502" s="566"/>
      <c r="P502" s="566"/>
      <c r="Q502" s="566"/>
      <c r="R502" s="566"/>
      <c r="S502" s="566"/>
      <c r="T502" s="566"/>
      <c r="U502" s="566"/>
      <c r="V502" s="566"/>
      <c r="W502" s="566"/>
      <c r="X502" s="566"/>
      <c r="Y502" s="566"/>
      <c r="Z502" s="566"/>
      <c r="AA502" s="566"/>
      <c r="AB502" s="566"/>
      <c r="AC502" s="566"/>
      <c r="AD502" s="566"/>
      <c r="AE502" s="566"/>
      <c r="AF502" s="566"/>
      <c r="AG502" s="566"/>
      <c r="AH502" s="566"/>
      <c r="AI502" s="566"/>
      <c r="AJ502" s="566"/>
      <c r="AK502" s="566"/>
      <c r="AL502" s="566"/>
      <c r="AM502" s="566"/>
      <c r="AN502" s="566"/>
      <c r="AO502" s="566"/>
    </row>
    <row r="503" spans="2:41" x14ac:dyDescent="0.15">
      <c r="B503" s="567">
        <v>9</v>
      </c>
      <c r="C503" s="566">
        <v>0.50376712328767126</v>
      </c>
      <c r="D503" s="566"/>
      <c r="E503" s="566"/>
      <c r="F503" s="566"/>
      <c r="G503" s="566"/>
      <c r="H503" s="566"/>
      <c r="I503" s="566"/>
      <c r="J503" s="566"/>
      <c r="K503" s="566"/>
      <c r="L503" s="566"/>
      <c r="M503" s="566"/>
      <c r="N503" s="566"/>
      <c r="O503" s="566"/>
      <c r="P503" s="566"/>
      <c r="Q503" s="566"/>
      <c r="R503" s="566"/>
      <c r="S503" s="566"/>
      <c r="T503" s="566"/>
      <c r="U503" s="566"/>
      <c r="V503" s="566"/>
      <c r="W503" s="566"/>
      <c r="X503" s="566"/>
      <c r="Y503" s="566"/>
      <c r="Z503" s="566"/>
      <c r="AA503" s="566"/>
      <c r="AB503" s="566"/>
      <c r="AC503" s="566"/>
      <c r="AD503" s="566"/>
      <c r="AE503" s="566"/>
      <c r="AF503" s="566"/>
      <c r="AG503" s="566"/>
      <c r="AH503" s="566"/>
      <c r="AI503" s="566"/>
      <c r="AJ503" s="566"/>
      <c r="AK503" s="566"/>
      <c r="AL503" s="566"/>
      <c r="AM503" s="566"/>
      <c r="AN503" s="566"/>
      <c r="AO503" s="566"/>
    </row>
    <row r="504" spans="2:41" x14ac:dyDescent="0.15">
      <c r="B504" s="567">
        <v>10</v>
      </c>
      <c r="C504" s="566">
        <v>0.54908675799086759</v>
      </c>
      <c r="D504" s="566"/>
      <c r="E504" s="566"/>
      <c r="F504" s="566"/>
      <c r="G504" s="566"/>
      <c r="H504" s="566"/>
      <c r="I504" s="566"/>
      <c r="J504" s="566"/>
      <c r="K504" s="566"/>
      <c r="L504" s="566"/>
      <c r="M504" s="566"/>
      <c r="N504" s="566"/>
      <c r="O504" s="566"/>
      <c r="P504" s="566"/>
      <c r="Q504" s="566"/>
      <c r="R504" s="566"/>
      <c r="S504" s="566"/>
      <c r="T504" s="566"/>
      <c r="U504" s="566"/>
      <c r="V504" s="566"/>
      <c r="W504" s="566"/>
      <c r="X504" s="566"/>
      <c r="Y504" s="566"/>
      <c r="Z504" s="566"/>
      <c r="AA504" s="566"/>
      <c r="AB504" s="566"/>
      <c r="AC504" s="566"/>
      <c r="AD504" s="566"/>
      <c r="AE504" s="566"/>
      <c r="AF504" s="566"/>
      <c r="AG504" s="566"/>
      <c r="AH504" s="566"/>
      <c r="AI504" s="566"/>
      <c r="AJ504" s="566"/>
      <c r="AK504" s="566"/>
      <c r="AL504" s="566"/>
      <c r="AM504" s="566"/>
      <c r="AN504" s="566"/>
      <c r="AO504" s="566"/>
    </row>
    <row r="505" spans="2:41" x14ac:dyDescent="0.15">
      <c r="B505" s="567">
        <v>11</v>
      </c>
      <c r="C505" s="566">
        <v>0.57066210045662102</v>
      </c>
      <c r="D505" s="566"/>
      <c r="E505" s="566"/>
      <c r="F505" s="566"/>
      <c r="G505" s="566"/>
      <c r="H505" s="566"/>
      <c r="I505" s="566"/>
      <c r="J505" s="566"/>
      <c r="K505" s="566"/>
      <c r="L505" s="566"/>
      <c r="M505" s="566"/>
      <c r="N505" s="566"/>
      <c r="O505" s="566"/>
      <c r="P505" s="566"/>
      <c r="Q505" s="566"/>
      <c r="R505" s="566"/>
      <c r="S505" s="566"/>
      <c r="T505" s="566"/>
      <c r="U505" s="566"/>
      <c r="V505" s="566"/>
      <c r="W505" s="566"/>
      <c r="X505" s="566"/>
      <c r="Y505" s="566"/>
      <c r="Z505" s="566"/>
      <c r="AA505" s="566"/>
      <c r="AB505" s="566"/>
      <c r="AC505" s="566"/>
      <c r="AD505" s="566"/>
      <c r="AE505" s="566"/>
      <c r="AF505" s="566"/>
      <c r="AG505" s="566"/>
      <c r="AH505" s="566"/>
      <c r="AI505" s="566"/>
      <c r="AJ505" s="566"/>
      <c r="AK505" s="566"/>
      <c r="AL505" s="566"/>
      <c r="AM505" s="566"/>
      <c r="AN505" s="566"/>
      <c r="AO505" s="566"/>
    </row>
    <row r="506" spans="2:41" x14ac:dyDescent="0.15">
      <c r="B506" s="567">
        <v>12</v>
      </c>
      <c r="C506" s="566">
        <v>0.61963470319634706</v>
      </c>
      <c r="D506" s="566"/>
      <c r="E506" s="566"/>
      <c r="F506" s="566"/>
      <c r="G506" s="566"/>
      <c r="H506" s="566"/>
      <c r="I506" s="566"/>
      <c r="J506" s="566"/>
      <c r="K506" s="566"/>
      <c r="L506" s="566"/>
      <c r="M506" s="566"/>
      <c r="N506" s="566"/>
      <c r="O506" s="566"/>
      <c r="P506" s="566"/>
      <c r="Q506" s="566"/>
      <c r="R506" s="566"/>
      <c r="S506" s="566"/>
      <c r="T506" s="566"/>
      <c r="U506" s="566"/>
      <c r="V506" s="566"/>
      <c r="W506" s="566"/>
      <c r="X506" s="566"/>
      <c r="Y506" s="566"/>
      <c r="Z506" s="566"/>
      <c r="AA506" s="566"/>
      <c r="AB506" s="566"/>
      <c r="AC506" s="566"/>
      <c r="AD506" s="566"/>
      <c r="AE506" s="566"/>
      <c r="AF506" s="566"/>
      <c r="AG506" s="566"/>
      <c r="AH506" s="566"/>
      <c r="AI506" s="566"/>
      <c r="AJ506" s="566"/>
      <c r="AK506" s="566"/>
      <c r="AL506" s="566"/>
      <c r="AM506" s="566"/>
      <c r="AN506" s="566"/>
      <c r="AO506" s="566"/>
    </row>
    <row r="507" spans="2:41" x14ac:dyDescent="0.15">
      <c r="B507" s="567">
        <v>13</v>
      </c>
      <c r="C507" s="566">
        <v>0.67043378995433789</v>
      </c>
      <c r="D507" s="566"/>
      <c r="E507" s="566"/>
      <c r="F507" s="566"/>
      <c r="G507" s="566"/>
      <c r="H507" s="566"/>
      <c r="I507" s="566"/>
      <c r="J507" s="566"/>
      <c r="K507" s="566"/>
      <c r="L507" s="566"/>
      <c r="M507" s="566"/>
      <c r="N507" s="566"/>
      <c r="O507" s="566"/>
      <c r="P507" s="566"/>
      <c r="Q507" s="566"/>
      <c r="R507" s="566"/>
      <c r="S507" s="566"/>
      <c r="T507" s="566"/>
      <c r="U507" s="566"/>
      <c r="V507" s="566"/>
      <c r="W507" s="566"/>
      <c r="X507" s="566"/>
      <c r="Y507" s="566"/>
      <c r="Z507" s="566"/>
      <c r="AA507" s="566"/>
      <c r="AB507" s="566"/>
      <c r="AC507" s="566"/>
      <c r="AD507" s="566"/>
      <c r="AE507" s="566"/>
      <c r="AF507" s="566"/>
      <c r="AG507" s="566"/>
      <c r="AH507" s="566"/>
      <c r="AI507" s="566"/>
      <c r="AJ507" s="566"/>
      <c r="AK507" s="566"/>
      <c r="AL507" s="566"/>
      <c r="AM507" s="566"/>
      <c r="AN507" s="566"/>
      <c r="AO507" s="566"/>
    </row>
    <row r="508" spans="2:41" x14ac:dyDescent="0.15">
      <c r="B508" s="567">
        <v>14</v>
      </c>
      <c r="C508" s="566">
        <v>0.72328767123287674</v>
      </c>
      <c r="D508" s="566"/>
      <c r="E508" s="566"/>
      <c r="F508" s="566"/>
      <c r="G508" s="566"/>
      <c r="H508" s="566"/>
      <c r="I508" s="566"/>
      <c r="J508" s="566"/>
      <c r="K508" s="566"/>
      <c r="L508" s="566"/>
      <c r="M508" s="566"/>
      <c r="N508" s="566"/>
      <c r="O508" s="566"/>
      <c r="P508" s="566"/>
      <c r="Q508" s="566"/>
      <c r="R508" s="566"/>
      <c r="S508" s="566"/>
      <c r="T508" s="566"/>
      <c r="U508" s="566"/>
      <c r="V508" s="566"/>
      <c r="W508" s="566"/>
      <c r="X508" s="566"/>
      <c r="Y508" s="566"/>
      <c r="Z508" s="566"/>
      <c r="AA508" s="566"/>
      <c r="AB508" s="566"/>
      <c r="AC508" s="566"/>
      <c r="AD508" s="566"/>
      <c r="AE508" s="566"/>
      <c r="AF508" s="566"/>
      <c r="AG508" s="566"/>
      <c r="AH508" s="566"/>
      <c r="AI508" s="566"/>
      <c r="AJ508" s="566"/>
      <c r="AK508" s="566"/>
      <c r="AL508" s="566"/>
      <c r="AM508" s="566"/>
      <c r="AN508" s="566"/>
      <c r="AO508" s="566"/>
    </row>
    <row r="509" spans="2:41" x14ac:dyDescent="0.15">
      <c r="B509" s="567">
        <v>15</v>
      </c>
      <c r="C509" s="566">
        <v>0.77203196347031966</v>
      </c>
      <c r="D509" s="566"/>
      <c r="E509" s="566"/>
      <c r="F509" s="566"/>
      <c r="G509" s="566"/>
      <c r="H509" s="566"/>
      <c r="I509" s="566"/>
      <c r="J509" s="566"/>
      <c r="K509" s="566"/>
      <c r="L509" s="566"/>
      <c r="M509" s="566"/>
      <c r="N509" s="566"/>
      <c r="O509" s="566"/>
      <c r="P509" s="566"/>
      <c r="Q509" s="566"/>
      <c r="R509" s="566"/>
      <c r="S509" s="566"/>
      <c r="T509" s="566"/>
      <c r="U509" s="566"/>
      <c r="V509" s="566"/>
      <c r="W509" s="566"/>
      <c r="X509" s="566"/>
      <c r="Y509" s="566"/>
      <c r="Z509" s="566"/>
      <c r="AA509" s="566"/>
      <c r="AB509" s="566"/>
      <c r="AC509" s="566"/>
      <c r="AD509" s="566"/>
      <c r="AE509" s="566"/>
      <c r="AF509" s="566"/>
      <c r="AG509" s="566"/>
      <c r="AH509" s="566"/>
      <c r="AI509" s="566"/>
      <c r="AJ509" s="566"/>
      <c r="AK509" s="566"/>
      <c r="AL509" s="566"/>
      <c r="AM509" s="566"/>
      <c r="AN509" s="566"/>
      <c r="AO509" s="566"/>
    </row>
    <row r="510" spans="2:41" x14ac:dyDescent="0.15">
      <c r="B510" s="567">
        <v>16</v>
      </c>
      <c r="C510" s="566">
        <v>0.79349315068493154</v>
      </c>
      <c r="D510" s="566"/>
      <c r="E510" s="566"/>
      <c r="F510" s="566"/>
      <c r="G510" s="566"/>
      <c r="H510" s="566"/>
      <c r="I510" s="566"/>
      <c r="J510" s="566"/>
      <c r="K510" s="566"/>
      <c r="L510" s="566"/>
      <c r="M510" s="566"/>
      <c r="N510" s="566"/>
      <c r="O510" s="566"/>
      <c r="P510" s="566"/>
      <c r="Q510" s="566"/>
      <c r="R510" s="566"/>
      <c r="S510" s="566"/>
      <c r="T510" s="566"/>
      <c r="U510" s="566"/>
      <c r="V510" s="566"/>
      <c r="W510" s="566"/>
      <c r="X510" s="566"/>
      <c r="Y510" s="566"/>
      <c r="Z510" s="566"/>
      <c r="AA510" s="566"/>
      <c r="AB510" s="566"/>
      <c r="AC510" s="566"/>
      <c r="AD510" s="566"/>
      <c r="AE510" s="566"/>
      <c r="AF510" s="566"/>
      <c r="AG510" s="566"/>
      <c r="AH510" s="566"/>
      <c r="AI510" s="566"/>
      <c r="AJ510" s="566"/>
      <c r="AK510" s="566"/>
      <c r="AL510" s="566"/>
      <c r="AM510" s="566"/>
      <c r="AN510" s="566"/>
      <c r="AO510" s="566"/>
    </row>
    <row r="511" spans="2:41" x14ac:dyDescent="0.15">
      <c r="B511" s="567">
        <v>17</v>
      </c>
      <c r="C511" s="566">
        <v>0.83253424657534247</v>
      </c>
      <c r="D511" s="566"/>
      <c r="E511" s="566"/>
      <c r="F511" s="566"/>
      <c r="G511" s="566"/>
      <c r="H511" s="566"/>
      <c r="I511" s="566"/>
      <c r="J511" s="566"/>
      <c r="K511" s="566"/>
      <c r="L511" s="566"/>
      <c r="M511" s="566"/>
      <c r="N511" s="566"/>
      <c r="O511" s="566"/>
      <c r="P511" s="566"/>
      <c r="Q511" s="566"/>
      <c r="R511" s="566"/>
      <c r="S511" s="566"/>
      <c r="T511" s="566"/>
      <c r="U511" s="566"/>
      <c r="V511" s="566"/>
      <c r="W511" s="566"/>
      <c r="X511" s="566"/>
      <c r="Y511" s="566"/>
      <c r="Z511" s="566"/>
      <c r="AA511" s="566"/>
      <c r="AB511" s="566"/>
      <c r="AC511" s="566"/>
      <c r="AD511" s="566"/>
      <c r="AE511" s="566"/>
      <c r="AF511" s="566"/>
      <c r="AG511" s="566"/>
      <c r="AH511" s="566"/>
      <c r="AI511" s="566"/>
      <c r="AJ511" s="566"/>
      <c r="AK511" s="566"/>
      <c r="AL511" s="566"/>
      <c r="AM511" s="566"/>
      <c r="AN511" s="566"/>
      <c r="AO511" s="566"/>
    </row>
    <row r="512" spans="2:41" x14ac:dyDescent="0.15">
      <c r="B512" s="567">
        <v>18</v>
      </c>
      <c r="C512" s="566">
        <v>0.86906392694063928</v>
      </c>
      <c r="D512" s="566"/>
      <c r="E512" s="566"/>
      <c r="F512" s="566"/>
      <c r="G512" s="566"/>
      <c r="H512" s="566"/>
      <c r="I512" s="566"/>
      <c r="J512" s="566"/>
      <c r="K512" s="566"/>
      <c r="L512" s="566"/>
      <c r="M512" s="566"/>
      <c r="N512" s="566"/>
      <c r="O512" s="566"/>
      <c r="P512" s="566"/>
      <c r="Q512" s="566"/>
      <c r="R512" s="566"/>
      <c r="S512" s="566"/>
      <c r="T512" s="566"/>
      <c r="U512" s="566"/>
      <c r="V512" s="566"/>
      <c r="W512" s="566"/>
      <c r="X512" s="566"/>
      <c r="Y512" s="566"/>
      <c r="Z512" s="566"/>
      <c r="AA512" s="566"/>
      <c r="AB512" s="566"/>
      <c r="AC512" s="566"/>
      <c r="AD512" s="566"/>
      <c r="AE512" s="566"/>
      <c r="AF512" s="566"/>
      <c r="AG512" s="566"/>
      <c r="AH512" s="566"/>
      <c r="AI512" s="566"/>
      <c r="AJ512" s="566"/>
      <c r="AK512" s="566"/>
      <c r="AL512" s="566"/>
      <c r="AM512" s="566"/>
      <c r="AN512" s="566"/>
      <c r="AO512" s="566"/>
    </row>
    <row r="513" spans="2:41" x14ac:dyDescent="0.15">
      <c r="B513" s="567">
        <v>19</v>
      </c>
      <c r="C513" s="566">
        <v>0.9031963470319635</v>
      </c>
      <c r="D513" s="566"/>
      <c r="E513" s="566"/>
      <c r="F513" s="566"/>
      <c r="G513" s="566"/>
      <c r="H513" s="566"/>
      <c r="I513" s="566"/>
      <c r="J513" s="566"/>
      <c r="K513" s="566"/>
      <c r="L513" s="566"/>
      <c r="M513" s="566"/>
      <c r="N513" s="566"/>
      <c r="O513" s="566"/>
      <c r="P513" s="566"/>
      <c r="Q513" s="566"/>
      <c r="R513" s="566"/>
      <c r="S513" s="566"/>
      <c r="T513" s="566"/>
      <c r="U513" s="566"/>
      <c r="V513" s="566"/>
      <c r="W513" s="566"/>
      <c r="X513" s="566"/>
      <c r="Y513" s="566"/>
      <c r="Z513" s="566"/>
      <c r="AA513" s="566"/>
      <c r="AB513" s="566"/>
      <c r="AC513" s="566"/>
      <c r="AD513" s="566"/>
      <c r="AE513" s="566"/>
      <c r="AF513" s="566"/>
      <c r="AG513" s="566"/>
      <c r="AH513" s="566"/>
      <c r="AI513" s="566"/>
      <c r="AJ513" s="566"/>
      <c r="AK513" s="566"/>
      <c r="AL513" s="566"/>
      <c r="AM513" s="566"/>
      <c r="AN513" s="566"/>
      <c r="AO513" s="566"/>
    </row>
    <row r="514" spans="2:41" x14ac:dyDescent="0.15">
      <c r="B514" s="567">
        <v>20</v>
      </c>
      <c r="C514" s="566">
        <v>0.92842465753424652</v>
      </c>
      <c r="D514" s="566"/>
      <c r="E514" s="566"/>
      <c r="F514" s="566"/>
      <c r="G514" s="566"/>
      <c r="H514" s="566"/>
      <c r="I514" s="566"/>
      <c r="J514" s="566"/>
      <c r="K514" s="566"/>
      <c r="L514" s="566"/>
      <c r="M514" s="566"/>
      <c r="N514" s="566"/>
      <c r="O514" s="566"/>
      <c r="P514" s="566"/>
      <c r="Q514" s="566"/>
      <c r="R514" s="566"/>
      <c r="S514" s="566"/>
      <c r="T514" s="566"/>
      <c r="U514" s="566"/>
      <c r="V514" s="566"/>
      <c r="W514" s="566"/>
      <c r="X514" s="566"/>
      <c r="Y514" s="566"/>
      <c r="Z514" s="566"/>
      <c r="AA514" s="566"/>
      <c r="AB514" s="566"/>
      <c r="AC514" s="566"/>
      <c r="AD514" s="566"/>
      <c r="AE514" s="566"/>
      <c r="AF514" s="566"/>
      <c r="AG514" s="566"/>
      <c r="AH514" s="566"/>
      <c r="AI514" s="566"/>
      <c r="AJ514" s="566"/>
      <c r="AK514" s="566"/>
      <c r="AL514" s="566"/>
      <c r="AM514" s="566"/>
      <c r="AN514" s="566"/>
      <c r="AO514" s="566"/>
    </row>
    <row r="515" spans="2:41" x14ac:dyDescent="0.15">
      <c r="B515" s="567">
        <v>21</v>
      </c>
      <c r="C515" s="566">
        <v>0.9397260273972603</v>
      </c>
      <c r="D515" s="566"/>
      <c r="E515" s="566"/>
      <c r="F515" s="566"/>
      <c r="G515" s="566"/>
      <c r="H515" s="566"/>
      <c r="I515" s="566"/>
      <c r="J515" s="566"/>
      <c r="K515" s="566"/>
      <c r="L515" s="566"/>
      <c r="M515" s="566"/>
      <c r="N515" s="566"/>
      <c r="O515" s="566"/>
      <c r="P515" s="566"/>
      <c r="Q515" s="566"/>
      <c r="R515" s="566"/>
      <c r="S515" s="566"/>
      <c r="T515" s="566"/>
      <c r="U515" s="566"/>
      <c r="V515" s="566"/>
      <c r="W515" s="566"/>
      <c r="X515" s="566"/>
      <c r="Y515" s="566"/>
      <c r="Z515" s="566"/>
      <c r="AA515" s="566"/>
      <c r="AB515" s="566"/>
      <c r="AC515" s="566"/>
      <c r="AD515" s="566"/>
      <c r="AE515" s="566"/>
      <c r="AF515" s="566"/>
      <c r="AG515" s="566"/>
      <c r="AH515" s="566"/>
      <c r="AI515" s="566"/>
      <c r="AJ515" s="566"/>
      <c r="AK515" s="566"/>
      <c r="AL515" s="566"/>
      <c r="AM515" s="566"/>
      <c r="AN515" s="566"/>
      <c r="AO515" s="566"/>
    </row>
    <row r="516" spans="2:41" x14ac:dyDescent="0.15">
      <c r="B516" s="567">
        <v>22</v>
      </c>
      <c r="C516" s="566">
        <v>0.95684931506849313</v>
      </c>
      <c r="D516" s="566"/>
      <c r="E516" s="566"/>
      <c r="F516" s="566"/>
      <c r="G516" s="566"/>
      <c r="H516" s="566"/>
      <c r="I516" s="566"/>
      <c r="J516" s="566"/>
      <c r="K516" s="566"/>
      <c r="L516" s="566"/>
      <c r="M516" s="566"/>
      <c r="N516" s="566"/>
      <c r="O516" s="566"/>
      <c r="P516" s="566"/>
      <c r="Q516" s="566"/>
      <c r="R516" s="566"/>
      <c r="S516" s="566"/>
      <c r="T516" s="566"/>
      <c r="U516" s="566"/>
      <c r="V516" s="566"/>
      <c r="W516" s="566"/>
      <c r="X516" s="566"/>
      <c r="Y516" s="566"/>
      <c r="Z516" s="566"/>
      <c r="AA516" s="566"/>
      <c r="AB516" s="566"/>
      <c r="AC516" s="566"/>
      <c r="AD516" s="566"/>
      <c r="AE516" s="566"/>
      <c r="AF516" s="566"/>
      <c r="AG516" s="566"/>
      <c r="AH516" s="566"/>
      <c r="AI516" s="566"/>
      <c r="AJ516" s="566"/>
      <c r="AK516" s="566"/>
      <c r="AL516" s="566"/>
      <c r="AM516" s="566"/>
      <c r="AN516" s="566"/>
      <c r="AO516" s="566"/>
    </row>
    <row r="517" spans="2:41" x14ac:dyDescent="0.15">
      <c r="B517" s="567">
        <v>23</v>
      </c>
      <c r="C517" s="566">
        <v>0.96986301369863015</v>
      </c>
      <c r="D517" s="566"/>
      <c r="E517" s="566"/>
      <c r="F517" s="566"/>
      <c r="G517" s="566"/>
      <c r="H517" s="566"/>
      <c r="I517" s="566"/>
      <c r="J517" s="566"/>
      <c r="K517" s="566"/>
      <c r="L517" s="566"/>
      <c r="M517" s="566"/>
      <c r="N517" s="566"/>
      <c r="O517" s="566"/>
      <c r="P517" s="566"/>
      <c r="Q517" s="566"/>
      <c r="R517" s="566"/>
      <c r="S517" s="566"/>
      <c r="T517" s="566"/>
      <c r="U517" s="566"/>
      <c r="V517" s="566"/>
      <c r="W517" s="566"/>
      <c r="X517" s="566"/>
      <c r="Y517" s="566"/>
      <c r="Z517" s="566"/>
      <c r="AA517" s="566"/>
      <c r="AB517" s="566"/>
      <c r="AC517" s="566"/>
      <c r="AD517" s="566"/>
      <c r="AE517" s="566"/>
      <c r="AF517" s="566"/>
      <c r="AG517" s="566"/>
      <c r="AH517" s="566"/>
      <c r="AI517" s="566"/>
      <c r="AJ517" s="566"/>
      <c r="AK517" s="566"/>
      <c r="AL517" s="566"/>
      <c r="AM517" s="566"/>
      <c r="AN517" s="566"/>
      <c r="AO517" s="566"/>
    </row>
    <row r="518" spans="2:41" x14ac:dyDescent="0.15">
      <c r="B518" s="567">
        <v>24</v>
      </c>
      <c r="C518" s="566">
        <v>0.98036529680365292</v>
      </c>
      <c r="D518" s="566"/>
      <c r="E518" s="566"/>
      <c r="F518" s="566"/>
      <c r="G518" s="566"/>
      <c r="H518" s="566"/>
      <c r="I518" s="566"/>
      <c r="J518" s="566"/>
      <c r="K518" s="566"/>
      <c r="L518" s="566"/>
      <c r="M518" s="566"/>
      <c r="N518" s="566"/>
      <c r="O518" s="566"/>
      <c r="P518" s="566"/>
      <c r="Q518" s="566"/>
      <c r="R518" s="566"/>
      <c r="S518" s="566"/>
      <c r="T518" s="566"/>
      <c r="U518" s="566"/>
      <c r="V518" s="566"/>
      <c r="W518" s="566"/>
      <c r="X518" s="566"/>
      <c r="Y518" s="566"/>
      <c r="Z518" s="566"/>
      <c r="AA518" s="566"/>
      <c r="AB518" s="566"/>
      <c r="AC518" s="566"/>
      <c r="AD518" s="566"/>
      <c r="AE518" s="566"/>
      <c r="AF518" s="566"/>
      <c r="AG518" s="566"/>
      <c r="AH518" s="566"/>
      <c r="AI518" s="566"/>
      <c r="AJ518" s="566"/>
      <c r="AK518" s="566"/>
      <c r="AL518" s="566"/>
      <c r="AM518" s="566"/>
      <c r="AN518" s="566"/>
      <c r="AO518" s="566"/>
    </row>
    <row r="519" spans="2:41" x14ac:dyDescent="0.15">
      <c r="B519" s="567">
        <v>25</v>
      </c>
      <c r="C519" s="566">
        <v>0.98710045662100454</v>
      </c>
      <c r="D519" s="566"/>
      <c r="E519" s="566"/>
      <c r="F519" s="566"/>
      <c r="G519" s="566"/>
      <c r="H519" s="566"/>
      <c r="I519" s="566"/>
      <c r="J519" s="566"/>
      <c r="K519" s="566"/>
      <c r="L519" s="566"/>
      <c r="M519" s="566"/>
      <c r="N519" s="566"/>
      <c r="O519" s="566"/>
      <c r="P519" s="566"/>
      <c r="Q519" s="566"/>
      <c r="R519" s="566"/>
      <c r="S519" s="566"/>
      <c r="T519" s="566"/>
      <c r="U519" s="566"/>
      <c r="V519" s="566"/>
      <c r="W519" s="566"/>
      <c r="X519" s="566"/>
      <c r="Y519" s="566"/>
      <c r="Z519" s="566"/>
      <c r="AA519" s="566"/>
      <c r="AB519" s="566"/>
      <c r="AC519" s="566"/>
      <c r="AD519" s="566"/>
      <c r="AE519" s="566"/>
      <c r="AF519" s="566"/>
      <c r="AG519" s="566"/>
      <c r="AH519" s="566"/>
      <c r="AI519" s="566"/>
      <c r="AJ519" s="566"/>
      <c r="AK519" s="566"/>
      <c r="AL519" s="566"/>
      <c r="AM519" s="566"/>
      <c r="AN519" s="566"/>
      <c r="AO519" s="566"/>
    </row>
    <row r="520" spans="2:41" x14ac:dyDescent="0.15">
      <c r="B520" s="567">
        <v>26</v>
      </c>
      <c r="C520" s="566">
        <v>0.99075342465753424</v>
      </c>
      <c r="D520" s="566"/>
      <c r="E520" s="566"/>
      <c r="F520" s="566"/>
      <c r="G520" s="566"/>
      <c r="H520" s="566"/>
      <c r="I520" s="566"/>
      <c r="J520" s="566"/>
      <c r="K520" s="566"/>
      <c r="L520" s="566"/>
      <c r="M520" s="566"/>
      <c r="N520" s="566"/>
      <c r="O520" s="566"/>
      <c r="P520" s="566"/>
      <c r="Q520" s="566"/>
      <c r="R520" s="566"/>
      <c r="S520" s="566"/>
      <c r="T520" s="566"/>
      <c r="U520" s="566"/>
      <c r="V520" s="566"/>
      <c r="W520" s="566"/>
      <c r="X520" s="566"/>
      <c r="Y520" s="566"/>
      <c r="Z520" s="566"/>
      <c r="AA520" s="566"/>
      <c r="AB520" s="566"/>
      <c r="AC520" s="566"/>
      <c r="AD520" s="566"/>
      <c r="AE520" s="566"/>
      <c r="AF520" s="566"/>
      <c r="AG520" s="566"/>
      <c r="AH520" s="566"/>
      <c r="AI520" s="566"/>
      <c r="AJ520" s="566"/>
      <c r="AK520" s="566"/>
      <c r="AL520" s="566"/>
      <c r="AM520" s="566"/>
      <c r="AN520" s="566"/>
      <c r="AO520" s="566"/>
    </row>
    <row r="521" spans="2:41" x14ac:dyDescent="0.15">
      <c r="B521" s="567">
        <v>27</v>
      </c>
      <c r="C521" s="566">
        <v>0.99429223744292239</v>
      </c>
      <c r="D521" s="566"/>
      <c r="E521" s="566"/>
      <c r="F521" s="566"/>
      <c r="G521" s="566"/>
      <c r="H521" s="566"/>
      <c r="I521" s="566"/>
      <c r="J521" s="566"/>
      <c r="K521" s="566"/>
      <c r="L521" s="566"/>
      <c r="M521" s="566"/>
      <c r="N521" s="566"/>
      <c r="O521" s="566"/>
      <c r="P521" s="566"/>
      <c r="Q521" s="566"/>
      <c r="R521" s="566"/>
      <c r="S521" s="566"/>
      <c r="T521" s="566"/>
      <c r="U521" s="566"/>
      <c r="V521" s="566"/>
      <c r="W521" s="566"/>
      <c r="X521" s="566"/>
      <c r="Y521" s="566"/>
      <c r="Z521" s="566"/>
      <c r="AA521" s="566"/>
      <c r="AB521" s="566"/>
      <c r="AC521" s="566"/>
      <c r="AD521" s="566"/>
      <c r="AE521" s="566"/>
      <c r="AF521" s="566"/>
      <c r="AG521" s="566"/>
      <c r="AH521" s="566"/>
      <c r="AI521" s="566"/>
      <c r="AJ521" s="566"/>
      <c r="AK521" s="566"/>
      <c r="AL521" s="566"/>
      <c r="AM521" s="566"/>
      <c r="AN521" s="566"/>
      <c r="AO521" s="566"/>
    </row>
    <row r="522" spans="2:41" x14ac:dyDescent="0.15">
      <c r="B522" s="567">
        <v>28</v>
      </c>
      <c r="C522" s="566">
        <v>0.99657534246575341</v>
      </c>
      <c r="D522" s="566"/>
      <c r="E522" s="566"/>
      <c r="F522" s="566"/>
      <c r="G522" s="566"/>
      <c r="H522" s="566"/>
      <c r="I522" s="566"/>
      <c r="J522" s="566"/>
      <c r="K522" s="566"/>
      <c r="L522" s="566"/>
      <c r="M522" s="566"/>
      <c r="N522" s="566"/>
      <c r="O522" s="566"/>
      <c r="P522" s="566"/>
      <c r="Q522" s="566"/>
      <c r="R522" s="566"/>
      <c r="S522" s="566"/>
      <c r="T522" s="566"/>
      <c r="U522" s="566"/>
      <c r="V522" s="566"/>
      <c r="W522" s="566"/>
      <c r="X522" s="566"/>
      <c r="Y522" s="566"/>
      <c r="Z522" s="566"/>
      <c r="AA522" s="566"/>
      <c r="AB522" s="566"/>
      <c r="AC522" s="566"/>
      <c r="AD522" s="566"/>
      <c r="AE522" s="566"/>
      <c r="AF522" s="566"/>
      <c r="AG522" s="566"/>
      <c r="AH522" s="566"/>
      <c r="AI522" s="566"/>
      <c r="AJ522" s="566"/>
      <c r="AK522" s="566"/>
      <c r="AL522" s="566"/>
      <c r="AM522" s="566"/>
      <c r="AN522" s="566"/>
      <c r="AO522" s="566"/>
    </row>
    <row r="523" spans="2:41" x14ac:dyDescent="0.15">
      <c r="B523" s="567">
        <v>29</v>
      </c>
      <c r="C523" s="566">
        <v>0.99885844748858443</v>
      </c>
      <c r="D523" s="566"/>
      <c r="E523" s="566"/>
      <c r="F523" s="566"/>
      <c r="G523" s="566"/>
      <c r="H523" s="566"/>
      <c r="I523" s="566"/>
      <c r="J523" s="566"/>
      <c r="K523" s="566"/>
      <c r="L523" s="566"/>
      <c r="M523" s="566"/>
      <c r="N523" s="566"/>
      <c r="O523" s="566"/>
      <c r="P523" s="566"/>
      <c r="Q523" s="566"/>
      <c r="R523" s="566"/>
      <c r="S523" s="566"/>
      <c r="T523" s="566"/>
      <c r="U523" s="566"/>
      <c r="V523" s="566"/>
      <c r="W523" s="566"/>
      <c r="X523" s="566"/>
      <c r="Y523" s="566"/>
      <c r="Z523" s="566"/>
      <c r="AA523" s="566"/>
      <c r="AB523" s="566"/>
      <c r="AC523" s="566"/>
      <c r="AD523" s="566"/>
      <c r="AE523" s="566"/>
      <c r="AF523" s="566"/>
      <c r="AG523" s="566"/>
      <c r="AH523" s="566"/>
      <c r="AI523" s="566"/>
      <c r="AJ523" s="566"/>
      <c r="AK523" s="566"/>
      <c r="AL523" s="566"/>
      <c r="AM523" s="566"/>
      <c r="AN523" s="566"/>
      <c r="AO523" s="566"/>
    </row>
    <row r="524" spans="2:41" x14ac:dyDescent="0.15">
      <c r="B524" s="567">
        <v>30</v>
      </c>
      <c r="C524" s="566">
        <v>0.99988584474885844</v>
      </c>
      <c r="D524" s="566"/>
      <c r="E524" s="566"/>
      <c r="F524" s="566"/>
      <c r="G524" s="566"/>
      <c r="H524" s="566"/>
      <c r="I524" s="566"/>
      <c r="J524" s="566"/>
      <c r="K524" s="566"/>
      <c r="L524" s="566"/>
      <c r="M524" s="566"/>
      <c r="N524" s="566"/>
      <c r="O524" s="566"/>
      <c r="P524" s="566"/>
      <c r="Q524" s="566"/>
      <c r="R524" s="566"/>
      <c r="S524" s="566"/>
      <c r="T524" s="566"/>
      <c r="U524" s="566"/>
      <c r="V524" s="566"/>
      <c r="W524" s="566"/>
      <c r="X524" s="566"/>
      <c r="Y524" s="566"/>
      <c r="Z524" s="566"/>
      <c r="AA524" s="566"/>
      <c r="AB524" s="566"/>
      <c r="AC524" s="566"/>
      <c r="AD524" s="566"/>
      <c r="AE524" s="566"/>
      <c r="AF524" s="566"/>
      <c r="AG524" s="566"/>
      <c r="AH524" s="566"/>
      <c r="AI524" s="566"/>
      <c r="AJ524" s="566"/>
      <c r="AK524" s="566"/>
      <c r="AL524" s="566"/>
      <c r="AM524" s="566"/>
      <c r="AN524" s="566"/>
      <c r="AO524" s="566"/>
    </row>
    <row r="525" spans="2:41" x14ac:dyDescent="0.15">
      <c r="B525" s="567">
        <v>31</v>
      </c>
      <c r="C525" s="566">
        <v>1</v>
      </c>
      <c r="D525" s="566"/>
      <c r="E525" s="566"/>
      <c r="F525" s="566"/>
      <c r="G525" s="566"/>
      <c r="H525" s="566"/>
      <c r="I525" s="566"/>
      <c r="J525" s="566"/>
      <c r="K525" s="566"/>
      <c r="L525" s="566"/>
      <c r="M525" s="566"/>
      <c r="N525" s="566"/>
      <c r="O525" s="566"/>
      <c r="P525" s="566"/>
      <c r="Q525" s="566"/>
      <c r="R525" s="566"/>
      <c r="S525" s="566"/>
      <c r="T525" s="566"/>
      <c r="U525" s="566"/>
      <c r="V525" s="566"/>
      <c r="W525" s="566"/>
      <c r="X525" s="566"/>
      <c r="Y525" s="566"/>
      <c r="Z525" s="566"/>
      <c r="AA525" s="566"/>
      <c r="AB525" s="566"/>
      <c r="AC525" s="566"/>
      <c r="AD525" s="566"/>
      <c r="AE525" s="566"/>
      <c r="AF525" s="566"/>
      <c r="AG525" s="566"/>
      <c r="AH525" s="566"/>
      <c r="AI525" s="566"/>
      <c r="AJ525" s="566"/>
      <c r="AK525" s="566"/>
      <c r="AL525" s="566"/>
      <c r="AM525" s="566"/>
      <c r="AN525" s="566"/>
      <c r="AO525" s="566"/>
    </row>
    <row r="526" spans="2:41" x14ac:dyDescent="0.15">
      <c r="B526" s="567">
        <v>32</v>
      </c>
      <c r="C526" s="566">
        <v>1</v>
      </c>
      <c r="D526" s="566"/>
      <c r="E526" s="566"/>
      <c r="F526" s="566"/>
      <c r="G526" s="566"/>
      <c r="H526" s="566"/>
      <c r="I526" s="566"/>
      <c r="J526" s="566"/>
      <c r="K526" s="566"/>
      <c r="L526" s="566"/>
      <c r="M526" s="566"/>
      <c r="N526" s="566"/>
      <c r="O526" s="566"/>
      <c r="P526" s="566"/>
      <c r="Q526" s="566"/>
      <c r="R526" s="566"/>
      <c r="S526" s="566"/>
      <c r="T526" s="566"/>
      <c r="U526" s="566"/>
      <c r="V526" s="566"/>
      <c r="W526" s="566"/>
      <c r="X526" s="566"/>
      <c r="Y526" s="566"/>
      <c r="Z526" s="566"/>
      <c r="AA526" s="566"/>
      <c r="AB526" s="566"/>
      <c r="AC526" s="566"/>
      <c r="AD526" s="566"/>
      <c r="AE526" s="566"/>
      <c r="AF526" s="566"/>
      <c r="AG526" s="566"/>
      <c r="AH526" s="566"/>
      <c r="AI526" s="566"/>
      <c r="AJ526" s="566"/>
      <c r="AK526" s="566"/>
      <c r="AL526" s="566"/>
      <c r="AM526" s="566"/>
      <c r="AN526" s="566"/>
      <c r="AO526" s="566"/>
    </row>
    <row r="527" spans="2:41" x14ac:dyDescent="0.15">
      <c r="B527" s="567">
        <v>33</v>
      </c>
      <c r="C527" s="566">
        <v>1</v>
      </c>
      <c r="D527" s="566"/>
      <c r="E527" s="566"/>
      <c r="F527" s="566"/>
      <c r="G527" s="566"/>
      <c r="H527" s="566"/>
      <c r="I527" s="566"/>
      <c r="J527" s="566"/>
      <c r="K527" s="566"/>
      <c r="L527" s="566"/>
      <c r="M527" s="566"/>
      <c r="N527" s="566"/>
      <c r="O527" s="566"/>
      <c r="P527" s="566"/>
      <c r="Q527" s="566"/>
      <c r="R527" s="566"/>
      <c r="S527" s="566"/>
      <c r="T527" s="566"/>
      <c r="U527" s="566"/>
      <c r="V527" s="566"/>
      <c r="W527" s="566"/>
      <c r="X527" s="566"/>
      <c r="Y527" s="566"/>
      <c r="Z527" s="566"/>
      <c r="AA527" s="566"/>
      <c r="AB527" s="566"/>
      <c r="AC527" s="566"/>
      <c r="AD527" s="566"/>
      <c r="AE527" s="566"/>
      <c r="AF527" s="566"/>
      <c r="AG527" s="566"/>
      <c r="AH527" s="566"/>
      <c r="AI527" s="566"/>
      <c r="AJ527" s="566"/>
      <c r="AK527" s="566"/>
      <c r="AL527" s="566"/>
      <c r="AM527" s="566"/>
      <c r="AN527" s="566"/>
      <c r="AO527" s="566"/>
    </row>
    <row r="528" spans="2:41" x14ac:dyDescent="0.15">
      <c r="B528" s="567">
        <v>34</v>
      </c>
      <c r="C528" s="566">
        <v>1</v>
      </c>
      <c r="D528" s="566"/>
      <c r="E528" s="566"/>
      <c r="F528" s="566"/>
      <c r="G528" s="566"/>
      <c r="H528" s="566"/>
      <c r="I528" s="566"/>
      <c r="J528" s="566"/>
      <c r="K528" s="566"/>
      <c r="L528" s="566"/>
      <c r="M528" s="566"/>
      <c r="N528" s="566"/>
      <c r="O528" s="566"/>
      <c r="P528" s="566"/>
      <c r="Q528" s="566"/>
      <c r="R528" s="566"/>
      <c r="S528" s="566"/>
      <c r="T528" s="566"/>
      <c r="U528" s="566"/>
      <c r="V528" s="566"/>
      <c r="W528" s="566"/>
      <c r="X528" s="566"/>
      <c r="Y528" s="566"/>
      <c r="Z528" s="566"/>
      <c r="AA528" s="566"/>
      <c r="AB528" s="566"/>
      <c r="AC528" s="566"/>
      <c r="AD528" s="566"/>
      <c r="AE528" s="566"/>
      <c r="AF528" s="566"/>
      <c r="AG528" s="566"/>
      <c r="AH528" s="566"/>
      <c r="AI528" s="566"/>
      <c r="AJ528" s="566"/>
      <c r="AK528" s="566"/>
      <c r="AL528" s="566"/>
      <c r="AM528" s="566"/>
      <c r="AN528" s="566"/>
      <c r="AO528" s="566"/>
    </row>
    <row r="529" spans="2:41" x14ac:dyDescent="0.15">
      <c r="B529" s="567">
        <v>35</v>
      </c>
      <c r="C529" s="566">
        <v>1</v>
      </c>
      <c r="D529" s="566"/>
      <c r="E529" s="566"/>
      <c r="F529" s="566"/>
      <c r="G529" s="566"/>
      <c r="H529" s="566"/>
      <c r="I529" s="566"/>
      <c r="J529" s="566"/>
      <c r="K529" s="566"/>
      <c r="L529" s="566"/>
      <c r="M529" s="566"/>
      <c r="N529" s="566"/>
      <c r="O529" s="566"/>
      <c r="P529" s="566"/>
      <c r="Q529" s="566"/>
      <c r="R529" s="566"/>
      <c r="S529" s="566"/>
      <c r="T529" s="566"/>
      <c r="U529" s="566"/>
      <c r="V529" s="566"/>
      <c r="W529" s="566"/>
      <c r="X529" s="566"/>
      <c r="Y529" s="566"/>
      <c r="Z529" s="566"/>
      <c r="AA529" s="566"/>
      <c r="AB529" s="566"/>
      <c r="AC529" s="566"/>
      <c r="AD529" s="566"/>
      <c r="AE529" s="566"/>
      <c r="AF529" s="566"/>
      <c r="AG529" s="566"/>
      <c r="AH529" s="566"/>
      <c r="AI529" s="566"/>
      <c r="AJ529" s="566"/>
      <c r="AK529" s="566"/>
      <c r="AL529" s="566"/>
      <c r="AM529" s="566"/>
      <c r="AN529" s="566"/>
      <c r="AO529" s="566"/>
    </row>
    <row r="530" spans="2:41" x14ac:dyDescent="0.15">
      <c r="B530" s="567">
        <v>36</v>
      </c>
      <c r="C530" s="566">
        <v>1</v>
      </c>
      <c r="D530" s="566"/>
      <c r="E530" s="566"/>
      <c r="F530" s="566"/>
      <c r="G530" s="566"/>
      <c r="H530" s="566"/>
      <c r="I530" s="566"/>
      <c r="J530" s="566"/>
      <c r="K530" s="566"/>
      <c r="L530" s="566"/>
      <c r="M530" s="566"/>
      <c r="N530" s="566"/>
      <c r="O530" s="566"/>
      <c r="P530" s="566"/>
      <c r="Q530" s="566"/>
      <c r="R530" s="566"/>
      <c r="S530" s="566"/>
      <c r="T530" s="566"/>
      <c r="U530" s="566"/>
      <c r="V530" s="566"/>
      <c r="W530" s="566"/>
      <c r="X530" s="566"/>
      <c r="Y530" s="566"/>
      <c r="Z530" s="566"/>
      <c r="AA530" s="566"/>
      <c r="AB530" s="566"/>
      <c r="AC530" s="566"/>
      <c r="AD530" s="566"/>
      <c r="AE530" s="566"/>
      <c r="AF530" s="566"/>
      <c r="AG530" s="566"/>
      <c r="AH530" s="566"/>
      <c r="AI530" s="566"/>
      <c r="AJ530" s="566"/>
      <c r="AK530" s="566"/>
      <c r="AL530" s="566"/>
      <c r="AM530" s="566"/>
      <c r="AN530" s="566"/>
      <c r="AO530" s="566"/>
    </row>
    <row r="531" spans="2:41" x14ac:dyDescent="0.15">
      <c r="B531" s="567">
        <v>37</v>
      </c>
      <c r="C531" s="566">
        <v>1</v>
      </c>
      <c r="D531" s="566"/>
      <c r="E531" s="566"/>
      <c r="F531" s="566"/>
      <c r="G531" s="566"/>
      <c r="H531" s="566"/>
      <c r="I531" s="566"/>
      <c r="J531" s="566"/>
      <c r="K531" s="566"/>
      <c r="L531" s="566"/>
      <c r="M531" s="566"/>
      <c r="N531" s="566"/>
      <c r="O531" s="566"/>
      <c r="P531" s="566"/>
      <c r="Q531" s="566"/>
      <c r="R531" s="566"/>
      <c r="S531" s="566"/>
      <c r="T531" s="566"/>
      <c r="U531" s="566"/>
      <c r="V531" s="566"/>
      <c r="W531" s="566"/>
      <c r="X531" s="566"/>
      <c r="Y531" s="566"/>
      <c r="Z531" s="566"/>
      <c r="AA531" s="566"/>
      <c r="AB531" s="566"/>
      <c r="AC531" s="566"/>
      <c r="AD531" s="566"/>
      <c r="AE531" s="566"/>
      <c r="AF531" s="566"/>
      <c r="AG531" s="566"/>
      <c r="AH531" s="566"/>
      <c r="AI531" s="566"/>
      <c r="AJ531" s="566"/>
      <c r="AK531" s="566"/>
      <c r="AL531" s="566"/>
      <c r="AM531" s="566"/>
      <c r="AN531" s="566"/>
      <c r="AO531" s="566"/>
    </row>
    <row r="532" spans="2:41" x14ac:dyDescent="0.15">
      <c r="B532" s="567">
        <v>38</v>
      </c>
      <c r="C532" s="566">
        <v>1</v>
      </c>
      <c r="D532" s="566"/>
      <c r="E532" s="566"/>
      <c r="F532" s="566"/>
      <c r="G532" s="566"/>
      <c r="H532" s="566"/>
      <c r="I532" s="566"/>
      <c r="J532" s="566"/>
      <c r="K532" s="566"/>
      <c r="L532" s="566"/>
      <c r="M532" s="566"/>
      <c r="N532" s="566"/>
      <c r="O532" s="566"/>
      <c r="P532" s="566"/>
      <c r="Q532" s="566"/>
      <c r="R532" s="566"/>
      <c r="S532" s="566"/>
      <c r="T532" s="566"/>
      <c r="U532" s="566"/>
      <c r="V532" s="566"/>
      <c r="W532" s="566"/>
      <c r="X532" s="566"/>
      <c r="Y532" s="566"/>
      <c r="Z532" s="566"/>
      <c r="AA532" s="566"/>
      <c r="AB532" s="566"/>
      <c r="AC532" s="566"/>
      <c r="AD532" s="566"/>
      <c r="AE532" s="566"/>
      <c r="AF532" s="566"/>
      <c r="AG532" s="566"/>
      <c r="AH532" s="566"/>
      <c r="AI532" s="566"/>
      <c r="AJ532" s="566"/>
      <c r="AK532" s="566"/>
      <c r="AL532" s="566"/>
      <c r="AM532" s="566"/>
      <c r="AN532" s="566"/>
      <c r="AO532" s="566"/>
    </row>
    <row r="533" spans="2:41" x14ac:dyDescent="0.15">
      <c r="B533" s="567">
        <v>39</v>
      </c>
      <c r="C533" s="566">
        <v>1</v>
      </c>
      <c r="D533" s="566"/>
      <c r="E533" s="566"/>
      <c r="F533" s="566"/>
      <c r="G533" s="566"/>
      <c r="H533" s="566"/>
      <c r="I533" s="566"/>
      <c r="J533" s="566"/>
      <c r="K533" s="566"/>
      <c r="L533" s="566"/>
      <c r="M533" s="566"/>
      <c r="N533" s="566"/>
      <c r="O533" s="566"/>
      <c r="P533" s="566"/>
      <c r="Q533" s="566"/>
      <c r="R533" s="566"/>
      <c r="S533" s="566"/>
      <c r="T533" s="566"/>
      <c r="U533" s="566"/>
      <c r="V533" s="566"/>
      <c r="W533" s="566"/>
      <c r="X533" s="566"/>
      <c r="Y533" s="566"/>
      <c r="Z533" s="566"/>
      <c r="AA533" s="566"/>
      <c r="AB533" s="566"/>
      <c r="AC533" s="566"/>
      <c r="AD533" s="566"/>
      <c r="AE533" s="566"/>
      <c r="AF533" s="566"/>
      <c r="AG533" s="566"/>
      <c r="AH533" s="566"/>
      <c r="AI533" s="566"/>
      <c r="AJ533" s="566"/>
      <c r="AK533" s="566"/>
      <c r="AL533" s="566"/>
      <c r="AM533" s="566"/>
      <c r="AN533" s="566"/>
      <c r="AO533" s="566"/>
    </row>
    <row r="534" spans="2:41" x14ac:dyDescent="0.15">
      <c r="B534" s="568">
        <v>40</v>
      </c>
      <c r="C534" s="566">
        <v>1</v>
      </c>
      <c r="D534" s="566"/>
      <c r="E534" s="566"/>
      <c r="F534" s="566"/>
      <c r="G534" s="566"/>
      <c r="H534" s="566"/>
      <c r="I534" s="566"/>
      <c r="J534" s="566"/>
      <c r="K534" s="566"/>
      <c r="L534" s="566"/>
      <c r="M534" s="566"/>
      <c r="N534" s="566"/>
      <c r="O534" s="566"/>
      <c r="P534" s="566"/>
      <c r="Q534" s="566"/>
      <c r="R534" s="566"/>
      <c r="S534" s="566"/>
      <c r="T534" s="566"/>
      <c r="U534" s="566"/>
      <c r="V534" s="566"/>
      <c r="W534" s="566"/>
      <c r="X534" s="566"/>
      <c r="Y534" s="566"/>
      <c r="Z534" s="566"/>
      <c r="AA534" s="566"/>
      <c r="AB534" s="566"/>
      <c r="AC534" s="566"/>
      <c r="AD534" s="566"/>
      <c r="AE534" s="566"/>
      <c r="AF534" s="566"/>
      <c r="AG534" s="566"/>
      <c r="AH534" s="566"/>
      <c r="AI534" s="566"/>
      <c r="AJ534" s="566"/>
      <c r="AK534" s="566"/>
      <c r="AL534" s="566"/>
      <c r="AM534" s="566"/>
      <c r="AN534" s="566"/>
      <c r="AO534" s="566"/>
    </row>
    <row r="543" spans="2:41" s="563" customFormat="1" ht="28" x14ac:dyDescent="0.15">
      <c r="B543" s="560" t="str" cm="1">
        <f t="array" ref="B543:AO543">TRANSPOSE('Syötä kaupungit KIRJASTOLINKIT!'!$H$1:$H$40)</f>
        <v>MAA 7</v>
      </c>
      <c r="C543" s="564" t="str">
        <v>POL - Warsaw</v>
      </c>
      <c r="D543" s="564">
        <v>0</v>
      </c>
      <c r="E543" s="564">
        <v>0</v>
      </c>
      <c r="F543" s="564">
        <v>0</v>
      </c>
      <c r="G543" s="564">
        <v>0</v>
      </c>
      <c r="H543" s="564">
        <v>0</v>
      </c>
      <c r="I543" s="564">
        <v>0</v>
      </c>
      <c r="J543" s="564">
        <v>0</v>
      </c>
      <c r="K543" s="564">
        <v>0</v>
      </c>
      <c r="L543" s="564">
        <v>0</v>
      </c>
      <c r="M543" s="564">
        <v>0</v>
      </c>
      <c r="N543" s="564">
        <v>0</v>
      </c>
      <c r="O543" s="564">
        <v>0</v>
      </c>
      <c r="P543" s="564">
        <v>0</v>
      </c>
      <c r="Q543" s="564">
        <v>0</v>
      </c>
      <c r="R543" s="564">
        <v>0</v>
      </c>
      <c r="S543" s="564">
        <v>0</v>
      </c>
      <c r="T543" s="564">
        <v>0</v>
      </c>
      <c r="U543" s="564">
        <v>0</v>
      </c>
      <c r="V543" s="564">
        <v>0</v>
      </c>
      <c r="W543" s="564">
        <v>0</v>
      </c>
      <c r="X543" s="564">
        <v>0</v>
      </c>
      <c r="Y543" s="564">
        <v>0</v>
      </c>
      <c r="Z543" s="564">
        <v>0</v>
      </c>
      <c r="AA543" s="564">
        <v>0</v>
      </c>
      <c r="AB543" s="564">
        <v>0</v>
      </c>
      <c r="AC543" s="564">
        <v>0</v>
      </c>
      <c r="AD543" s="564">
        <v>0</v>
      </c>
      <c r="AE543" s="564">
        <v>0</v>
      </c>
      <c r="AF543" s="564">
        <v>0</v>
      </c>
      <c r="AG543" s="564">
        <v>0</v>
      </c>
      <c r="AH543" s="564">
        <v>0</v>
      </c>
      <c r="AI543" s="564">
        <v>0</v>
      </c>
      <c r="AJ543" s="564">
        <v>0</v>
      </c>
      <c r="AK543" s="564">
        <v>0</v>
      </c>
      <c r="AL543" s="564">
        <v>0</v>
      </c>
      <c r="AM543" s="564">
        <v>0</v>
      </c>
      <c r="AN543" s="564">
        <v>0</v>
      </c>
      <c r="AO543" s="564">
        <v>0</v>
      </c>
    </row>
    <row r="544" spans="2:41" x14ac:dyDescent="0.15">
      <c r="B544" s="565">
        <v>-40</v>
      </c>
      <c r="C544" s="566">
        <v>0</v>
      </c>
      <c r="D544" s="566"/>
      <c r="E544" s="566"/>
      <c r="F544" s="566"/>
      <c r="G544" s="566"/>
      <c r="H544" s="566"/>
      <c r="I544" s="566"/>
      <c r="J544" s="566"/>
      <c r="K544" s="566"/>
      <c r="L544" s="566"/>
      <c r="M544" s="566"/>
      <c r="N544" s="566"/>
      <c r="O544" s="566"/>
      <c r="P544" s="566"/>
      <c r="Q544" s="566"/>
      <c r="R544" s="566"/>
      <c r="S544" s="566"/>
      <c r="T544" s="566"/>
      <c r="U544" s="566"/>
      <c r="V544" s="566"/>
      <c r="W544" s="566"/>
      <c r="X544" s="566"/>
      <c r="Y544" s="566"/>
      <c r="Z544" s="566"/>
      <c r="AA544" s="566"/>
      <c r="AB544" s="566"/>
      <c r="AC544" s="566"/>
      <c r="AD544" s="566"/>
      <c r="AE544" s="566"/>
      <c r="AF544" s="566"/>
      <c r="AG544" s="566"/>
      <c r="AH544" s="566"/>
      <c r="AI544" s="566"/>
      <c r="AJ544" s="566"/>
      <c r="AK544" s="566"/>
      <c r="AL544" s="566"/>
      <c r="AM544" s="566"/>
      <c r="AN544" s="566"/>
      <c r="AO544" s="566"/>
    </row>
    <row r="545" spans="2:41" x14ac:dyDescent="0.15">
      <c r="B545" s="567">
        <v>-39</v>
      </c>
      <c r="C545" s="566">
        <v>0</v>
      </c>
      <c r="D545" s="566"/>
      <c r="E545" s="566"/>
      <c r="F545" s="566"/>
      <c r="G545" s="566"/>
      <c r="H545" s="566"/>
      <c r="I545" s="566"/>
      <c r="J545" s="566"/>
      <c r="K545" s="566"/>
      <c r="L545" s="566"/>
      <c r="M545" s="566"/>
      <c r="N545" s="566"/>
      <c r="O545" s="566"/>
      <c r="P545" s="566"/>
      <c r="Q545" s="566"/>
      <c r="R545" s="566"/>
      <c r="S545" s="566"/>
      <c r="T545" s="566"/>
      <c r="U545" s="566"/>
      <c r="V545" s="566"/>
      <c r="W545" s="566"/>
      <c r="X545" s="566"/>
      <c r="Y545" s="566"/>
      <c r="Z545" s="566"/>
      <c r="AA545" s="566"/>
      <c r="AB545" s="566"/>
      <c r="AC545" s="566"/>
      <c r="AD545" s="566"/>
      <c r="AE545" s="566"/>
      <c r="AF545" s="566"/>
      <c r="AG545" s="566"/>
      <c r="AH545" s="566"/>
      <c r="AI545" s="566"/>
      <c r="AJ545" s="566"/>
      <c r="AK545" s="566"/>
      <c r="AL545" s="566"/>
      <c r="AM545" s="566"/>
      <c r="AN545" s="566"/>
      <c r="AO545" s="566"/>
    </row>
    <row r="546" spans="2:41" x14ac:dyDescent="0.15">
      <c r="B546" s="567">
        <v>-38</v>
      </c>
      <c r="C546" s="566">
        <v>0</v>
      </c>
      <c r="D546" s="566"/>
      <c r="E546" s="566"/>
      <c r="F546" s="566"/>
      <c r="G546" s="566"/>
      <c r="H546" s="566"/>
      <c r="I546" s="566"/>
      <c r="J546" s="566"/>
      <c r="K546" s="566"/>
      <c r="L546" s="566"/>
      <c r="M546" s="566"/>
      <c r="N546" s="566"/>
      <c r="O546" s="566"/>
      <c r="P546" s="566"/>
      <c r="Q546" s="566"/>
      <c r="R546" s="566"/>
      <c r="S546" s="566"/>
      <c r="T546" s="566"/>
      <c r="U546" s="566"/>
      <c r="V546" s="566"/>
      <c r="W546" s="566"/>
      <c r="X546" s="566"/>
      <c r="Y546" s="566"/>
      <c r="Z546" s="566"/>
      <c r="AA546" s="566"/>
      <c r="AB546" s="566"/>
      <c r="AC546" s="566"/>
      <c r="AD546" s="566"/>
      <c r="AE546" s="566"/>
      <c r="AF546" s="566"/>
      <c r="AG546" s="566"/>
      <c r="AH546" s="566"/>
      <c r="AI546" s="566"/>
      <c r="AJ546" s="566"/>
      <c r="AK546" s="566"/>
      <c r="AL546" s="566"/>
      <c r="AM546" s="566"/>
      <c r="AN546" s="566"/>
      <c r="AO546" s="566"/>
    </row>
    <row r="547" spans="2:41" x14ac:dyDescent="0.15">
      <c r="B547" s="567">
        <v>-37</v>
      </c>
      <c r="C547" s="566">
        <v>0</v>
      </c>
      <c r="D547" s="566"/>
      <c r="E547" s="566"/>
      <c r="F547" s="566"/>
      <c r="G547" s="566"/>
      <c r="H547" s="566"/>
      <c r="I547" s="566"/>
      <c r="J547" s="566"/>
      <c r="K547" s="566"/>
      <c r="L547" s="566"/>
      <c r="M547" s="566"/>
      <c r="N547" s="566"/>
      <c r="O547" s="566"/>
      <c r="P547" s="566"/>
      <c r="Q547" s="566"/>
      <c r="R547" s="566"/>
      <c r="S547" s="566"/>
      <c r="T547" s="566"/>
      <c r="U547" s="566"/>
      <c r="V547" s="566"/>
      <c r="W547" s="566"/>
      <c r="X547" s="566"/>
      <c r="Y547" s="566"/>
      <c r="Z547" s="566"/>
      <c r="AA547" s="566"/>
      <c r="AB547" s="566"/>
      <c r="AC547" s="566"/>
      <c r="AD547" s="566"/>
      <c r="AE547" s="566"/>
      <c r="AF547" s="566"/>
      <c r="AG547" s="566"/>
      <c r="AH547" s="566"/>
      <c r="AI547" s="566"/>
      <c r="AJ547" s="566"/>
      <c r="AK547" s="566"/>
      <c r="AL547" s="566"/>
      <c r="AM547" s="566"/>
      <c r="AN547" s="566"/>
      <c r="AO547" s="566"/>
    </row>
    <row r="548" spans="2:41" x14ac:dyDescent="0.15">
      <c r="B548" s="567">
        <v>-36</v>
      </c>
      <c r="C548" s="566">
        <v>0</v>
      </c>
      <c r="D548" s="566"/>
      <c r="E548" s="566"/>
      <c r="F548" s="566"/>
      <c r="G548" s="566"/>
      <c r="H548" s="566"/>
      <c r="I548" s="566"/>
      <c r="J548" s="566"/>
      <c r="K548" s="566"/>
      <c r="L548" s="566"/>
      <c r="M548" s="566"/>
      <c r="N548" s="566"/>
      <c r="O548" s="566"/>
      <c r="P548" s="566"/>
      <c r="Q548" s="566"/>
      <c r="R548" s="566"/>
      <c r="S548" s="566"/>
      <c r="T548" s="566"/>
      <c r="U548" s="566"/>
      <c r="V548" s="566"/>
      <c r="W548" s="566"/>
      <c r="X548" s="566"/>
      <c r="Y548" s="566"/>
      <c r="Z548" s="566"/>
      <c r="AA548" s="566"/>
      <c r="AB548" s="566"/>
      <c r="AC548" s="566"/>
      <c r="AD548" s="566"/>
      <c r="AE548" s="566"/>
      <c r="AF548" s="566"/>
      <c r="AG548" s="566"/>
      <c r="AH548" s="566"/>
      <c r="AI548" s="566"/>
      <c r="AJ548" s="566"/>
      <c r="AK548" s="566"/>
      <c r="AL548" s="566"/>
      <c r="AM548" s="566"/>
      <c r="AN548" s="566"/>
      <c r="AO548" s="566"/>
    </row>
    <row r="549" spans="2:41" x14ac:dyDescent="0.15">
      <c r="B549" s="567">
        <v>-35</v>
      </c>
      <c r="C549" s="566">
        <v>0</v>
      </c>
      <c r="D549" s="566"/>
      <c r="E549" s="566"/>
      <c r="F549" s="566"/>
      <c r="G549" s="566"/>
      <c r="H549" s="566"/>
      <c r="I549" s="566"/>
      <c r="J549" s="566"/>
      <c r="K549" s="566"/>
      <c r="L549" s="566"/>
      <c r="M549" s="566"/>
      <c r="N549" s="566"/>
      <c r="O549" s="566"/>
      <c r="P549" s="566"/>
      <c r="Q549" s="566"/>
      <c r="R549" s="566"/>
      <c r="S549" s="566"/>
      <c r="T549" s="566"/>
      <c r="U549" s="566"/>
      <c r="V549" s="566"/>
      <c r="W549" s="566"/>
      <c r="X549" s="566"/>
      <c r="Y549" s="566"/>
      <c r="Z549" s="566"/>
      <c r="AA549" s="566"/>
      <c r="AB549" s="566"/>
      <c r="AC549" s="566"/>
      <c r="AD549" s="566"/>
      <c r="AE549" s="566"/>
      <c r="AF549" s="566"/>
      <c r="AG549" s="566"/>
      <c r="AH549" s="566"/>
      <c r="AI549" s="566"/>
      <c r="AJ549" s="566"/>
      <c r="AK549" s="566"/>
      <c r="AL549" s="566"/>
      <c r="AM549" s="566"/>
      <c r="AN549" s="566"/>
      <c r="AO549" s="566"/>
    </row>
    <row r="550" spans="2:41" x14ac:dyDescent="0.15">
      <c r="B550" s="567">
        <v>-34</v>
      </c>
      <c r="C550" s="566">
        <v>0</v>
      </c>
      <c r="D550" s="566"/>
      <c r="E550" s="566"/>
      <c r="F550" s="566"/>
      <c r="G550" s="566"/>
      <c r="H550" s="566"/>
      <c r="I550" s="566"/>
      <c r="J550" s="566"/>
      <c r="K550" s="566"/>
      <c r="L550" s="566"/>
      <c r="M550" s="566"/>
      <c r="N550" s="566"/>
      <c r="O550" s="566"/>
      <c r="P550" s="566"/>
      <c r="Q550" s="566"/>
      <c r="R550" s="566"/>
      <c r="S550" s="566"/>
      <c r="T550" s="566"/>
      <c r="U550" s="566"/>
      <c r="V550" s="566"/>
      <c r="W550" s="566"/>
      <c r="X550" s="566"/>
      <c r="Y550" s="566"/>
      <c r="Z550" s="566"/>
      <c r="AA550" s="566"/>
      <c r="AB550" s="566"/>
      <c r="AC550" s="566"/>
      <c r="AD550" s="566"/>
      <c r="AE550" s="566"/>
      <c r="AF550" s="566"/>
      <c r="AG550" s="566"/>
      <c r="AH550" s="566"/>
      <c r="AI550" s="566"/>
      <c r="AJ550" s="566"/>
      <c r="AK550" s="566"/>
      <c r="AL550" s="566"/>
      <c r="AM550" s="566"/>
      <c r="AN550" s="566"/>
      <c r="AO550" s="566"/>
    </row>
    <row r="551" spans="2:41" x14ac:dyDescent="0.15">
      <c r="B551" s="567">
        <v>-33</v>
      </c>
      <c r="C551" s="566">
        <v>0</v>
      </c>
      <c r="D551" s="566"/>
      <c r="E551" s="566"/>
      <c r="F551" s="566"/>
      <c r="G551" s="566"/>
      <c r="H551" s="566"/>
      <c r="I551" s="566"/>
      <c r="J551" s="566"/>
      <c r="K551" s="566"/>
      <c r="L551" s="566"/>
      <c r="M551" s="566"/>
      <c r="N551" s="566"/>
      <c r="O551" s="566"/>
      <c r="P551" s="566"/>
      <c r="Q551" s="566"/>
      <c r="R551" s="566"/>
      <c r="S551" s="566"/>
      <c r="T551" s="566"/>
      <c r="U551" s="566"/>
      <c r="V551" s="566"/>
      <c r="W551" s="566"/>
      <c r="X551" s="566"/>
      <c r="Y551" s="566"/>
      <c r="Z551" s="566"/>
      <c r="AA551" s="566"/>
      <c r="AB551" s="566"/>
      <c r="AC551" s="566"/>
      <c r="AD551" s="566"/>
      <c r="AE551" s="566"/>
      <c r="AF551" s="566"/>
      <c r="AG551" s="566"/>
      <c r="AH551" s="566"/>
      <c r="AI551" s="566"/>
      <c r="AJ551" s="566"/>
      <c r="AK551" s="566"/>
      <c r="AL551" s="566"/>
      <c r="AM551" s="566"/>
      <c r="AN551" s="566"/>
      <c r="AO551" s="566"/>
    </row>
    <row r="552" spans="2:41" x14ac:dyDescent="0.15">
      <c r="B552" s="567">
        <v>-32</v>
      </c>
      <c r="C552" s="566">
        <v>0</v>
      </c>
      <c r="D552" s="566"/>
      <c r="E552" s="566"/>
      <c r="F552" s="566"/>
      <c r="G552" s="566"/>
      <c r="H552" s="566"/>
      <c r="I552" s="566"/>
      <c r="J552" s="566"/>
      <c r="K552" s="566"/>
      <c r="L552" s="566"/>
      <c r="M552" s="566"/>
      <c r="N552" s="566"/>
      <c r="O552" s="566"/>
      <c r="P552" s="566"/>
      <c r="Q552" s="566"/>
      <c r="R552" s="566"/>
      <c r="S552" s="566"/>
      <c r="T552" s="566"/>
      <c r="U552" s="566"/>
      <c r="V552" s="566"/>
      <c r="W552" s="566"/>
      <c r="X552" s="566"/>
      <c r="Y552" s="566"/>
      <c r="Z552" s="566"/>
      <c r="AA552" s="566"/>
      <c r="AB552" s="566"/>
      <c r="AC552" s="566"/>
      <c r="AD552" s="566"/>
      <c r="AE552" s="566"/>
      <c r="AF552" s="566"/>
      <c r="AG552" s="566"/>
      <c r="AH552" s="566"/>
      <c r="AI552" s="566"/>
      <c r="AJ552" s="566"/>
      <c r="AK552" s="566"/>
      <c r="AL552" s="566"/>
      <c r="AM552" s="566"/>
      <c r="AN552" s="566"/>
      <c r="AO552" s="566"/>
    </row>
    <row r="553" spans="2:41" x14ac:dyDescent="0.15">
      <c r="B553" s="567">
        <v>-31</v>
      </c>
      <c r="C553" s="566">
        <v>0</v>
      </c>
      <c r="D553" s="566"/>
      <c r="E553" s="566"/>
      <c r="F553" s="566"/>
      <c r="G553" s="566"/>
      <c r="H553" s="566"/>
      <c r="I553" s="566"/>
      <c r="J553" s="566"/>
      <c r="K553" s="566"/>
      <c r="L553" s="566"/>
      <c r="M553" s="566"/>
      <c r="N553" s="566"/>
      <c r="O553" s="566"/>
      <c r="P553" s="566"/>
      <c r="Q553" s="566"/>
      <c r="R553" s="566"/>
      <c r="S553" s="566"/>
      <c r="T553" s="566"/>
      <c r="U553" s="566"/>
      <c r="V553" s="566"/>
      <c r="W553" s="566"/>
      <c r="X553" s="566"/>
      <c r="Y553" s="566"/>
      <c r="Z553" s="566"/>
      <c r="AA553" s="566"/>
      <c r="AB553" s="566"/>
      <c r="AC553" s="566"/>
      <c r="AD553" s="566"/>
      <c r="AE553" s="566"/>
      <c r="AF553" s="566"/>
      <c r="AG553" s="566"/>
      <c r="AH553" s="566"/>
      <c r="AI553" s="566"/>
      <c r="AJ553" s="566"/>
      <c r="AK553" s="566"/>
      <c r="AL553" s="566"/>
      <c r="AM553" s="566"/>
      <c r="AN553" s="566"/>
      <c r="AO553" s="566"/>
    </row>
    <row r="554" spans="2:41" x14ac:dyDescent="0.15">
      <c r="B554" s="567">
        <v>-30</v>
      </c>
      <c r="C554" s="566">
        <v>0</v>
      </c>
      <c r="D554" s="566"/>
      <c r="E554" s="566"/>
      <c r="F554" s="566"/>
      <c r="G554" s="566"/>
      <c r="H554" s="566"/>
      <c r="I554" s="566"/>
      <c r="J554" s="566"/>
      <c r="K554" s="566"/>
      <c r="L554" s="566"/>
      <c r="M554" s="566"/>
      <c r="N554" s="566"/>
      <c r="O554" s="566"/>
      <c r="P554" s="566"/>
      <c r="Q554" s="566"/>
      <c r="R554" s="566"/>
      <c r="S554" s="566"/>
      <c r="T554" s="566"/>
      <c r="U554" s="566"/>
      <c r="V554" s="566"/>
      <c r="W554" s="566"/>
      <c r="X554" s="566"/>
      <c r="Y554" s="566"/>
      <c r="Z554" s="566"/>
      <c r="AA554" s="566"/>
      <c r="AB554" s="566"/>
      <c r="AC554" s="566"/>
      <c r="AD554" s="566"/>
      <c r="AE554" s="566"/>
      <c r="AF554" s="566"/>
      <c r="AG554" s="566"/>
      <c r="AH554" s="566"/>
      <c r="AI554" s="566"/>
      <c r="AJ554" s="566"/>
      <c r="AK554" s="566"/>
      <c r="AL554" s="566"/>
      <c r="AM554" s="566"/>
      <c r="AN554" s="566"/>
      <c r="AO554" s="566"/>
    </row>
    <row r="555" spans="2:41" x14ac:dyDescent="0.15">
      <c r="B555" s="567">
        <v>-29</v>
      </c>
      <c r="C555" s="566">
        <v>0</v>
      </c>
      <c r="D555" s="566"/>
      <c r="E555" s="566"/>
      <c r="F555" s="566"/>
      <c r="G555" s="566"/>
      <c r="H555" s="566"/>
      <c r="I555" s="566"/>
      <c r="J555" s="566"/>
      <c r="K555" s="566"/>
      <c r="L555" s="566"/>
      <c r="M555" s="566"/>
      <c r="N555" s="566"/>
      <c r="O555" s="566"/>
      <c r="P555" s="566"/>
      <c r="Q555" s="566"/>
      <c r="R555" s="566"/>
      <c r="S555" s="566"/>
      <c r="T555" s="566"/>
      <c r="U555" s="566"/>
      <c r="V555" s="566"/>
      <c r="W555" s="566"/>
      <c r="X555" s="566"/>
      <c r="Y555" s="566"/>
      <c r="Z555" s="566"/>
      <c r="AA555" s="566"/>
      <c r="AB555" s="566"/>
      <c r="AC555" s="566"/>
      <c r="AD555" s="566"/>
      <c r="AE555" s="566"/>
      <c r="AF555" s="566"/>
      <c r="AG555" s="566"/>
      <c r="AH555" s="566"/>
      <c r="AI555" s="566"/>
      <c r="AJ555" s="566"/>
      <c r="AK555" s="566"/>
      <c r="AL555" s="566"/>
      <c r="AM555" s="566"/>
      <c r="AN555" s="566"/>
      <c r="AO555" s="566"/>
    </row>
    <row r="556" spans="2:41" x14ac:dyDescent="0.15">
      <c r="B556" s="567">
        <v>-28</v>
      </c>
      <c r="C556" s="566">
        <v>0</v>
      </c>
      <c r="D556" s="566"/>
      <c r="E556" s="566"/>
      <c r="F556" s="566"/>
      <c r="G556" s="566"/>
      <c r="H556" s="566"/>
      <c r="I556" s="566"/>
      <c r="J556" s="566"/>
      <c r="K556" s="566"/>
      <c r="L556" s="566"/>
      <c r="M556" s="566"/>
      <c r="N556" s="566"/>
      <c r="O556" s="566"/>
      <c r="P556" s="566"/>
      <c r="Q556" s="566"/>
      <c r="R556" s="566"/>
      <c r="S556" s="566"/>
      <c r="T556" s="566"/>
      <c r="U556" s="566"/>
      <c r="V556" s="566"/>
      <c r="W556" s="566"/>
      <c r="X556" s="566"/>
      <c r="Y556" s="566"/>
      <c r="Z556" s="566"/>
      <c r="AA556" s="566"/>
      <c r="AB556" s="566"/>
      <c r="AC556" s="566"/>
      <c r="AD556" s="566"/>
      <c r="AE556" s="566"/>
      <c r="AF556" s="566"/>
      <c r="AG556" s="566"/>
      <c r="AH556" s="566"/>
      <c r="AI556" s="566"/>
      <c r="AJ556" s="566"/>
      <c r="AK556" s="566"/>
      <c r="AL556" s="566"/>
      <c r="AM556" s="566"/>
      <c r="AN556" s="566"/>
      <c r="AO556" s="566"/>
    </row>
    <row r="557" spans="2:41" x14ac:dyDescent="0.15">
      <c r="B557" s="567">
        <v>-27</v>
      </c>
      <c r="C557" s="566">
        <v>0</v>
      </c>
      <c r="D557" s="566"/>
      <c r="E557" s="566"/>
      <c r="F557" s="566"/>
      <c r="G557" s="566"/>
      <c r="H557" s="566"/>
      <c r="I557" s="566"/>
      <c r="J557" s="566"/>
      <c r="K557" s="566"/>
      <c r="L557" s="566"/>
      <c r="M557" s="566"/>
      <c r="N557" s="566"/>
      <c r="O557" s="566"/>
      <c r="P557" s="566"/>
      <c r="Q557" s="566"/>
      <c r="R557" s="566"/>
      <c r="S557" s="566"/>
      <c r="T557" s="566"/>
      <c r="U557" s="566"/>
      <c r="V557" s="566"/>
      <c r="W557" s="566"/>
      <c r="X557" s="566"/>
      <c r="Y557" s="566"/>
      <c r="Z557" s="566"/>
      <c r="AA557" s="566"/>
      <c r="AB557" s="566"/>
      <c r="AC557" s="566"/>
      <c r="AD557" s="566"/>
      <c r="AE557" s="566"/>
      <c r="AF557" s="566"/>
      <c r="AG557" s="566"/>
      <c r="AH557" s="566"/>
      <c r="AI557" s="566"/>
      <c r="AJ557" s="566"/>
      <c r="AK557" s="566"/>
      <c r="AL557" s="566"/>
      <c r="AM557" s="566"/>
      <c r="AN557" s="566"/>
      <c r="AO557" s="566"/>
    </row>
    <row r="558" spans="2:41" x14ac:dyDescent="0.15">
      <c r="B558" s="567">
        <v>-26</v>
      </c>
      <c r="C558" s="566">
        <v>0</v>
      </c>
      <c r="D558" s="566"/>
      <c r="E558" s="566"/>
      <c r="F558" s="566"/>
      <c r="G558" s="566"/>
      <c r="H558" s="566"/>
      <c r="I558" s="566"/>
      <c r="J558" s="566"/>
      <c r="K558" s="566"/>
      <c r="L558" s="566"/>
      <c r="M558" s="566"/>
      <c r="N558" s="566"/>
      <c r="O558" s="566"/>
      <c r="P558" s="566"/>
      <c r="Q558" s="566"/>
      <c r="R558" s="566"/>
      <c r="S558" s="566"/>
      <c r="T558" s="566"/>
      <c r="U558" s="566"/>
      <c r="V558" s="566"/>
      <c r="W558" s="566"/>
      <c r="X558" s="566"/>
      <c r="Y558" s="566"/>
      <c r="Z558" s="566"/>
      <c r="AA558" s="566"/>
      <c r="AB558" s="566"/>
      <c r="AC558" s="566"/>
      <c r="AD558" s="566"/>
      <c r="AE558" s="566"/>
      <c r="AF558" s="566"/>
      <c r="AG558" s="566"/>
      <c r="AH558" s="566"/>
      <c r="AI558" s="566"/>
      <c r="AJ558" s="566"/>
      <c r="AK558" s="566"/>
      <c r="AL558" s="566"/>
      <c r="AM558" s="566"/>
      <c r="AN558" s="566"/>
      <c r="AO558" s="566"/>
    </row>
    <row r="559" spans="2:41" x14ac:dyDescent="0.15">
      <c r="B559" s="567">
        <v>-25</v>
      </c>
      <c r="C559" s="566">
        <v>0</v>
      </c>
      <c r="D559" s="566"/>
      <c r="E559" s="566"/>
      <c r="F559" s="566"/>
      <c r="G559" s="566"/>
      <c r="H559" s="566"/>
      <c r="I559" s="566"/>
      <c r="J559" s="566"/>
      <c r="K559" s="566"/>
      <c r="L559" s="566"/>
      <c r="M559" s="566"/>
      <c r="N559" s="566"/>
      <c r="O559" s="566"/>
      <c r="P559" s="566"/>
      <c r="Q559" s="566"/>
      <c r="R559" s="566"/>
      <c r="S559" s="566"/>
      <c r="T559" s="566"/>
      <c r="U559" s="566"/>
      <c r="V559" s="566"/>
      <c r="W559" s="566"/>
      <c r="X559" s="566"/>
      <c r="Y559" s="566"/>
      <c r="Z559" s="566"/>
      <c r="AA559" s="566"/>
      <c r="AB559" s="566"/>
      <c r="AC559" s="566"/>
      <c r="AD559" s="566"/>
      <c r="AE559" s="566"/>
      <c r="AF559" s="566"/>
      <c r="AG559" s="566"/>
      <c r="AH559" s="566"/>
      <c r="AI559" s="566"/>
      <c r="AJ559" s="566"/>
      <c r="AK559" s="566"/>
      <c r="AL559" s="566"/>
      <c r="AM559" s="566"/>
      <c r="AN559" s="566"/>
      <c r="AO559" s="566"/>
    </row>
    <row r="560" spans="2:41" x14ac:dyDescent="0.15">
      <c r="B560" s="567">
        <v>-24</v>
      </c>
      <c r="C560" s="566">
        <v>0</v>
      </c>
      <c r="D560" s="566"/>
      <c r="E560" s="566"/>
      <c r="F560" s="566"/>
      <c r="G560" s="566"/>
      <c r="H560" s="566"/>
      <c r="I560" s="566"/>
      <c r="J560" s="566"/>
      <c r="K560" s="566"/>
      <c r="L560" s="566"/>
      <c r="M560" s="566"/>
      <c r="N560" s="566"/>
      <c r="O560" s="566"/>
      <c r="P560" s="566"/>
      <c r="Q560" s="566"/>
      <c r="R560" s="566"/>
      <c r="S560" s="566"/>
      <c r="T560" s="566"/>
      <c r="U560" s="566"/>
      <c r="V560" s="566"/>
      <c r="W560" s="566"/>
      <c r="X560" s="566"/>
      <c r="Y560" s="566"/>
      <c r="Z560" s="566"/>
      <c r="AA560" s="566"/>
      <c r="AB560" s="566"/>
      <c r="AC560" s="566"/>
      <c r="AD560" s="566"/>
      <c r="AE560" s="566"/>
      <c r="AF560" s="566"/>
      <c r="AG560" s="566"/>
      <c r="AH560" s="566"/>
      <c r="AI560" s="566"/>
      <c r="AJ560" s="566"/>
      <c r="AK560" s="566"/>
      <c r="AL560" s="566"/>
      <c r="AM560" s="566"/>
      <c r="AN560" s="566"/>
      <c r="AO560" s="566"/>
    </row>
    <row r="561" spans="2:41" x14ac:dyDescent="0.15">
      <c r="B561" s="567">
        <v>-23</v>
      </c>
      <c r="C561" s="566">
        <v>0</v>
      </c>
      <c r="D561" s="566"/>
      <c r="E561" s="566"/>
      <c r="F561" s="566"/>
      <c r="G561" s="566"/>
      <c r="H561" s="566"/>
      <c r="I561" s="566"/>
      <c r="J561" s="566"/>
      <c r="K561" s="566"/>
      <c r="L561" s="566"/>
      <c r="M561" s="566"/>
      <c r="N561" s="566"/>
      <c r="O561" s="566"/>
      <c r="P561" s="566"/>
      <c r="Q561" s="566"/>
      <c r="R561" s="566"/>
      <c r="S561" s="566"/>
      <c r="T561" s="566"/>
      <c r="U561" s="566"/>
      <c r="V561" s="566"/>
      <c r="W561" s="566"/>
      <c r="X561" s="566"/>
      <c r="Y561" s="566"/>
      <c r="Z561" s="566"/>
      <c r="AA561" s="566"/>
      <c r="AB561" s="566"/>
      <c r="AC561" s="566"/>
      <c r="AD561" s="566"/>
      <c r="AE561" s="566"/>
      <c r="AF561" s="566"/>
      <c r="AG561" s="566"/>
      <c r="AH561" s="566"/>
      <c r="AI561" s="566"/>
      <c r="AJ561" s="566"/>
      <c r="AK561" s="566"/>
      <c r="AL561" s="566"/>
      <c r="AM561" s="566"/>
      <c r="AN561" s="566"/>
      <c r="AO561" s="566"/>
    </row>
    <row r="562" spans="2:41" x14ac:dyDescent="0.15">
      <c r="B562" s="567">
        <v>-22</v>
      </c>
      <c r="C562" s="566">
        <v>0</v>
      </c>
      <c r="D562" s="566"/>
      <c r="E562" s="566"/>
      <c r="F562" s="566"/>
      <c r="G562" s="566"/>
      <c r="H562" s="566"/>
      <c r="I562" s="566"/>
      <c r="J562" s="566"/>
      <c r="K562" s="566"/>
      <c r="L562" s="566"/>
      <c r="M562" s="566"/>
      <c r="N562" s="566"/>
      <c r="O562" s="566"/>
      <c r="P562" s="566"/>
      <c r="Q562" s="566"/>
      <c r="R562" s="566"/>
      <c r="S562" s="566"/>
      <c r="T562" s="566"/>
      <c r="U562" s="566"/>
      <c r="V562" s="566"/>
      <c r="W562" s="566"/>
      <c r="X562" s="566"/>
      <c r="Y562" s="566"/>
      <c r="Z562" s="566"/>
      <c r="AA562" s="566"/>
      <c r="AB562" s="566"/>
      <c r="AC562" s="566"/>
      <c r="AD562" s="566"/>
      <c r="AE562" s="566"/>
      <c r="AF562" s="566"/>
      <c r="AG562" s="566"/>
      <c r="AH562" s="566"/>
      <c r="AI562" s="566"/>
      <c r="AJ562" s="566"/>
      <c r="AK562" s="566"/>
      <c r="AL562" s="566"/>
      <c r="AM562" s="566"/>
      <c r="AN562" s="566"/>
      <c r="AO562" s="566"/>
    </row>
    <row r="563" spans="2:41" x14ac:dyDescent="0.15">
      <c r="B563" s="567">
        <v>-21</v>
      </c>
      <c r="C563" s="566">
        <v>0</v>
      </c>
      <c r="D563" s="566"/>
      <c r="E563" s="566"/>
      <c r="F563" s="566"/>
      <c r="G563" s="566"/>
      <c r="H563" s="566"/>
      <c r="I563" s="566"/>
      <c r="J563" s="566"/>
      <c r="K563" s="566"/>
      <c r="L563" s="566"/>
      <c r="M563" s="566"/>
      <c r="N563" s="566"/>
      <c r="O563" s="566"/>
      <c r="P563" s="566"/>
      <c r="Q563" s="566"/>
      <c r="R563" s="566"/>
      <c r="S563" s="566"/>
      <c r="T563" s="566"/>
      <c r="U563" s="566"/>
      <c r="V563" s="566"/>
      <c r="W563" s="566"/>
      <c r="X563" s="566"/>
      <c r="Y563" s="566"/>
      <c r="Z563" s="566"/>
      <c r="AA563" s="566"/>
      <c r="AB563" s="566"/>
      <c r="AC563" s="566"/>
      <c r="AD563" s="566"/>
      <c r="AE563" s="566"/>
      <c r="AF563" s="566"/>
      <c r="AG563" s="566"/>
      <c r="AH563" s="566"/>
      <c r="AI563" s="566"/>
      <c r="AJ563" s="566"/>
      <c r="AK563" s="566"/>
      <c r="AL563" s="566"/>
      <c r="AM563" s="566"/>
      <c r="AN563" s="566"/>
      <c r="AO563" s="566"/>
    </row>
    <row r="564" spans="2:41" x14ac:dyDescent="0.15">
      <c r="B564" s="567">
        <v>-20</v>
      </c>
      <c r="C564" s="566">
        <v>0</v>
      </c>
      <c r="D564" s="566"/>
      <c r="E564" s="566"/>
      <c r="F564" s="566"/>
      <c r="G564" s="566"/>
      <c r="H564" s="566"/>
      <c r="I564" s="566"/>
      <c r="J564" s="566"/>
      <c r="K564" s="566"/>
      <c r="L564" s="566"/>
      <c r="M564" s="566"/>
      <c r="N564" s="566"/>
      <c r="O564" s="566"/>
      <c r="P564" s="566"/>
      <c r="Q564" s="566"/>
      <c r="R564" s="566"/>
      <c r="S564" s="566"/>
      <c r="T564" s="566"/>
      <c r="U564" s="566"/>
      <c r="V564" s="566"/>
      <c r="W564" s="566"/>
      <c r="X564" s="566"/>
      <c r="Y564" s="566"/>
      <c r="Z564" s="566"/>
      <c r="AA564" s="566"/>
      <c r="AB564" s="566"/>
      <c r="AC564" s="566"/>
      <c r="AD564" s="566"/>
      <c r="AE564" s="566"/>
      <c r="AF564" s="566"/>
      <c r="AG564" s="566"/>
      <c r="AH564" s="566"/>
      <c r="AI564" s="566"/>
      <c r="AJ564" s="566"/>
      <c r="AK564" s="566"/>
      <c r="AL564" s="566"/>
      <c r="AM564" s="566"/>
      <c r="AN564" s="566"/>
      <c r="AO564" s="566"/>
    </row>
    <row r="565" spans="2:41" x14ac:dyDescent="0.15">
      <c r="B565" s="567">
        <v>-19</v>
      </c>
      <c r="C565" s="566">
        <v>0</v>
      </c>
      <c r="D565" s="566"/>
      <c r="E565" s="566"/>
      <c r="F565" s="566"/>
      <c r="G565" s="566"/>
      <c r="H565" s="566"/>
      <c r="I565" s="566"/>
      <c r="J565" s="566"/>
      <c r="K565" s="566"/>
      <c r="L565" s="566"/>
      <c r="M565" s="566"/>
      <c r="N565" s="566"/>
      <c r="O565" s="566"/>
      <c r="P565" s="566"/>
      <c r="Q565" s="566"/>
      <c r="R565" s="566"/>
      <c r="S565" s="566"/>
      <c r="T565" s="566"/>
      <c r="U565" s="566"/>
      <c r="V565" s="566"/>
      <c r="W565" s="566"/>
      <c r="X565" s="566"/>
      <c r="Y565" s="566"/>
      <c r="Z565" s="566"/>
      <c r="AA565" s="566"/>
      <c r="AB565" s="566"/>
      <c r="AC565" s="566"/>
      <c r="AD565" s="566"/>
      <c r="AE565" s="566"/>
      <c r="AF565" s="566"/>
      <c r="AG565" s="566"/>
      <c r="AH565" s="566"/>
      <c r="AI565" s="566"/>
      <c r="AJ565" s="566"/>
      <c r="AK565" s="566"/>
      <c r="AL565" s="566"/>
      <c r="AM565" s="566"/>
      <c r="AN565" s="566"/>
      <c r="AO565" s="566"/>
    </row>
    <row r="566" spans="2:41" x14ac:dyDescent="0.15">
      <c r="B566" s="567">
        <v>-18</v>
      </c>
      <c r="C566" s="566">
        <v>0</v>
      </c>
      <c r="D566" s="566"/>
      <c r="E566" s="566"/>
      <c r="F566" s="566"/>
      <c r="G566" s="566"/>
      <c r="H566" s="566"/>
      <c r="I566" s="566"/>
      <c r="J566" s="566"/>
      <c r="K566" s="566"/>
      <c r="L566" s="566"/>
      <c r="M566" s="566"/>
      <c r="N566" s="566"/>
      <c r="O566" s="566"/>
      <c r="P566" s="566"/>
      <c r="Q566" s="566"/>
      <c r="R566" s="566"/>
      <c r="S566" s="566"/>
      <c r="T566" s="566"/>
      <c r="U566" s="566"/>
      <c r="V566" s="566"/>
      <c r="W566" s="566"/>
      <c r="X566" s="566"/>
      <c r="Y566" s="566"/>
      <c r="Z566" s="566"/>
      <c r="AA566" s="566"/>
      <c r="AB566" s="566"/>
      <c r="AC566" s="566"/>
      <c r="AD566" s="566"/>
      <c r="AE566" s="566"/>
      <c r="AF566" s="566"/>
      <c r="AG566" s="566"/>
      <c r="AH566" s="566"/>
      <c r="AI566" s="566"/>
      <c r="AJ566" s="566"/>
      <c r="AK566" s="566"/>
      <c r="AL566" s="566"/>
      <c r="AM566" s="566"/>
      <c r="AN566" s="566"/>
      <c r="AO566" s="566"/>
    </row>
    <row r="567" spans="2:41" x14ac:dyDescent="0.15">
      <c r="B567" s="567">
        <v>-17</v>
      </c>
      <c r="C567" s="566">
        <v>0</v>
      </c>
      <c r="D567" s="566"/>
      <c r="E567" s="566"/>
      <c r="F567" s="566"/>
      <c r="G567" s="566"/>
      <c r="H567" s="566"/>
      <c r="I567" s="566"/>
      <c r="J567" s="566"/>
      <c r="K567" s="566"/>
      <c r="L567" s="566"/>
      <c r="M567" s="566"/>
      <c r="N567" s="566"/>
      <c r="O567" s="566"/>
      <c r="P567" s="566"/>
      <c r="Q567" s="566"/>
      <c r="R567" s="566"/>
      <c r="S567" s="566"/>
      <c r="T567" s="566"/>
      <c r="U567" s="566"/>
      <c r="V567" s="566"/>
      <c r="W567" s="566"/>
      <c r="X567" s="566"/>
      <c r="Y567" s="566"/>
      <c r="Z567" s="566"/>
      <c r="AA567" s="566"/>
      <c r="AB567" s="566"/>
      <c r="AC567" s="566"/>
      <c r="AD567" s="566"/>
      <c r="AE567" s="566"/>
      <c r="AF567" s="566"/>
      <c r="AG567" s="566"/>
      <c r="AH567" s="566"/>
      <c r="AI567" s="566"/>
      <c r="AJ567" s="566"/>
      <c r="AK567" s="566"/>
      <c r="AL567" s="566"/>
      <c r="AM567" s="566"/>
      <c r="AN567" s="566"/>
      <c r="AO567" s="566"/>
    </row>
    <row r="568" spans="2:41" x14ac:dyDescent="0.15">
      <c r="B568" s="567">
        <v>-16</v>
      </c>
      <c r="C568" s="566">
        <v>0</v>
      </c>
      <c r="D568" s="566"/>
      <c r="E568" s="566"/>
      <c r="F568" s="566"/>
      <c r="G568" s="566"/>
      <c r="H568" s="566"/>
      <c r="I568" s="566"/>
      <c r="J568" s="566"/>
      <c r="K568" s="566"/>
      <c r="L568" s="566"/>
      <c r="M568" s="566"/>
      <c r="N568" s="566"/>
      <c r="O568" s="566"/>
      <c r="P568" s="566"/>
      <c r="Q568" s="566"/>
      <c r="R568" s="566"/>
      <c r="S568" s="566"/>
      <c r="T568" s="566"/>
      <c r="U568" s="566"/>
      <c r="V568" s="566"/>
      <c r="W568" s="566"/>
      <c r="X568" s="566"/>
      <c r="Y568" s="566"/>
      <c r="Z568" s="566"/>
      <c r="AA568" s="566"/>
      <c r="AB568" s="566"/>
      <c r="AC568" s="566"/>
      <c r="AD568" s="566"/>
      <c r="AE568" s="566"/>
      <c r="AF568" s="566"/>
      <c r="AG568" s="566"/>
      <c r="AH568" s="566"/>
      <c r="AI568" s="566"/>
      <c r="AJ568" s="566"/>
      <c r="AK568" s="566"/>
      <c r="AL568" s="566"/>
      <c r="AM568" s="566"/>
      <c r="AN568" s="566"/>
      <c r="AO568" s="566"/>
    </row>
    <row r="569" spans="2:41" x14ac:dyDescent="0.15">
      <c r="B569" s="567">
        <v>-15</v>
      </c>
      <c r="C569" s="566">
        <v>0</v>
      </c>
      <c r="D569" s="566"/>
      <c r="E569" s="566"/>
      <c r="F569" s="566"/>
      <c r="G569" s="566"/>
      <c r="H569" s="566"/>
      <c r="I569" s="566"/>
      <c r="J569" s="566"/>
      <c r="K569" s="566"/>
      <c r="L569" s="566"/>
      <c r="M569" s="566"/>
      <c r="N569" s="566"/>
      <c r="O569" s="566"/>
      <c r="P569" s="566"/>
      <c r="Q569" s="566"/>
      <c r="R569" s="566"/>
      <c r="S569" s="566"/>
      <c r="T569" s="566"/>
      <c r="U569" s="566"/>
      <c r="V569" s="566"/>
      <c r="W569" s="566"/>
      <c r="X569" s="566"/>
      <c r="Y569" s="566"/>
      <c r="Z569" s="566"/>
      <c r="AA569" s="566"/>
      <c r="AB569" s="566"/>
      <c r="AC569" s="566"/>
      <c r="AD569" s="566"/>
      <c r="AE569" s="566"/>
      <c r="AF569" s="566"/>
      <c r="AG569" s="566"/>
      <c r="AH569" s="566"/>
      <c r="AI569" s="566"/>
      <c r="AJ569" s="566"/>
      <c r="AK569" s="566"/>
      <c r="AL569" s="566"/>
      <c r="AM569" s="566"/>
      <c r="AN569" s="566"/>
      <c r="AO569" s="566"/>
    </row>
    <row r="570" spans="2:41" x14ac:dyDescent="0.15">
      <c r="B570" s="567">
        <v>-14</v>
      </c>
      <c r="C570" s="566">
        <v>0</v>
      </c>
      <c r="D570" s="566"/>
      <c r="E570" s="566"/>
      <c r="F570" s="566"/>
      <c r="G570" s="566"/>
      <c r="H570" s="566"/>
      <c r="I570" s="566"/>
      <c r="J570" s="566"/>
      <c r="K570" s="566"/>
      <c r="L570" s="566"/>
      <c r="M570" s="566"/>
      <c r="N570" s="566"/>
      <c r="O570" s="566"/>
      <c r="P570" s="566"/>
      <c r="Q570" s="566"/>
      <c r="R570" s="566"/>
      <c r="S570" s="566"/>
      <c r="T570" s="566"/>
      <c r="U570" s="566"/>
      <c r="V570" s="566"/>
      <c r="W570" s="566"/>
      <c r="X570" s="566"/>
      <c r="Y570" s="566"/>
      <c r="Z570" s="566"/>
      <c r="AA570" s="566"/>
      <c r="AB570" s="566"/>
      <c r="AC570" s="566"/>
      <c r="AD570" s="566"/>
      <c r="AE570" s="566"/>
      <c r="AF570" s="566"/>
      <c r="AG570" s="566"/>
      <c r="AH570" s="566"/>
      <c r="AI570" s="566"/>
      <c r="AJ570" s="566"/>
      <c r="AK570" s="566"/>
      <c r="AL570" s="566"/>
      <c r="AM570" s="566"/>
      <c r="AN570" s="566"/>
      <c r="AO570" s="566"/>
    </row>
    <row r="571" spans="2:41" x14ac:dyDescent="0.15">
      <c r="B571" s="567">
        <v>-13</v>
      </c>
      <c r="C571" s="566">
        <v>0</v>
      </c>
      <c r="D571" s="566"/>
      <c r="E571" s="566"/>
      <c r="F571" s="566"/>
      <c r="G571" s="566"/>
      <c r="H571" s="566"/>
      <c r="I571" s="566"/>
      <c r="J571" s="566"/>
      <c r="K571" s="566"/>
      <c r="L571" s="566"/>
      <c r="M571" s="566"/>
      <c r="N571" s="566"/>
      <c r="O571" s="566"/>
      <c r="P571" s="566"/>
      <c r="Q571" s="566"/>
      <c r="R571" s="566"/>
      <c r="S571" s="566"/>
      <c r="T571" s="566"/>
      <c r="U571" s="566"/>
      <c r="V571" s="566"/>
      <c r="W571" s="566"/>
      <c r="X571" s="566"/>
      <c r="Y571" s="566"/>
      <c r="Z571" s="566"/>
      <c r="AA571" s="566"/>
      <c r="AB571" s="566"/>
      <c r="AC571" s="566"/>
      <c r="AD571" s="566"/>
      <c r="AE571" s="566"/>
      <c r="AF571" s="566"/>
      <c r="AG571" s="566"/>
      <c r="AH571" s="566"/>
      <c r="AI571" s="566"/>
      <c r="AJ571" s="566"/>
      <c r="AK571" s="566"/>
      <c r="AL571" s="566"/>
      <c r="AM571" s="566"/>
      <c r="AN571" s="566"/>
      <c r="AO571" s="566"/>
    </row>
    <row r="572" spans="2:41" x14ac:dyDescent="0.15">
      <c r="B572" s="567">
        <v>-12</v>
      </c>
      <c r="C572" s="566">
        <v>0</v>
      </c>
      <c r="D572" s="566"/>
      <c r="E572" s="566"/>
      <c r="F572" s="566"/>
      <c r="G572" s="566"/>
      <c r="H572" s="566"/>
      <c r="I572" s="566"/>
      <c r="J572" s="566"/>
      <c r="K572" s="566"/>
      <c r="L572" s="566"/>
      <c r="M572" s="566"/>
      <c r="N572" s="566"/>
      <c r="O572" s="566"/>
      <c r="P572" s="566"/>
      <c r="Q572" s="566"/>
      <c r="R572" s="566"/>
      <c r="S572" s="566"/>
      <c r="T572" s="566"/>
      <c r="U572" s="566"/>
      <c r="V572" s="566"/>
      <c r="W572" s="566"/>
      <c r="X572" s="566"/>
      <c r="Y572" s="566"/>
      <c r="Z572" s="566"/>
      <c r="AA572" s="566"/>
      <c r="AB572" s="566"/>
      <c r="AC572" s="566"/>
      <c r="AD572" s="566"/>
      <c r="AE572" s="566"/>
      <c r="AF572" s="566"/>
      <c r="AG572" s="566"/>
      <c r="AH572" s="566"/>
      <c r="AI572" s="566"/>
      <c r="AJ572" s="566"/>
      <c r="AK572" s="566"/>
      <c r="AL572" s="566"/>
      <c r="AM572" s="566"/>
      <c r="AN572" s="566"/>
      <c r="AO572" s="566"/>
    </row>
    <row r="573" spans="2:41" x14ac:dyDescent="0.15">
      <c r="B573" s="567">
        <v>-11</v>
      </c>
      <c r="C573" s="566">
        <v>1.2557077625570776E-3</v>
      </c>
      <c r="D573" s="566"/>
      <c r="E573" s="566"/>
      <c r="F573" s="566"/>
      <c r="G573" s="566"/>
      <c r="H573" s="566"/>
      <c r="I573" s="566"/>
      <c r="J573" s="566"/>
      <c r="K573" s="566"/>
      <c r="L573" s="566"/>
      <c r="M573" s="566"/>
      <c r="N573" s="566"/>
      <c r="O573" s="566"/>
      <c r="P573" s="566"/>
      <c r="Q573" s="566"/>
      <c r="R573" s="566"/>
      <c r="S573" s="566"/>
      <c r="T573" s="566"/>
      <c r="U573" s="566"/>
      <c r="V573" s="566"/>
      <c r="W573" s="566"/>
      <c r="X573" s="566"/>
      <c r="Y573" s="566"/>
      <c r="Z573" s="566"/>
      <c r="AA573" s="566"/>
      <c r="AB573" s="566"/>
      <c r="AC573" s="566"/>
      <c r="AD573" s="566"/>
      <c r="AE573" s="566"/>
      <c r="AF573" s="566"/>
      <c r="AG573" s="566"/>
      <c r="AH573" s="566"/>
      <c r="AI573" s="566"/>
      <c r="AJ573" s="566"/>
      <c r="AK573" s="566"/>
      <c r="AL573" s="566"/>
      <c r="AM573" s="566"/>
      <c r="AN573" s="566"/>
      <c r="AO573" s="566"/>
    </row>
    <row r="574" spans="2:41" x14ac:dyDescent="0.15">
      <c r="B574" s="567">
        <v>-10</v>
      </c>
      <c r="C574" s="566">
        <v>3.6529680365296802E-3</v>
      </c>
      <c r="D574" s="566"/>
      <c r="E574" s="566"/>
      <c r="F574" s="566"/>
      <c r="G574" s="566"/>
      <c r="H574" s="566"/>
      <c r="I574" s="566"/>
      <c r="J574" s="566"/>
      <c r="K574" s="566"/>
      <c r="L574" s="566"/>
      <c r="M574" s="566"/>
      <c r="N574" s="566"/>
      <c r="O574" s="566"/>
      <c r="P574" s="566"/>
      <c r="Q574" s="566"/>
      <c r="R574" s="566"/>
      <c r="S574" s="566"/>
      <c r="T574" s="566"/>
      <c r="U574" s="566"/>
      <c r="V574" s="566"/>
      <c r="W574" s="566"/>
      <c r="X574" s="566"/>
      <c r="Y574" s="566"/>
      <c r="Z574" s="566"/>
      <c r="AA574" s="566"/>
      <c r="AB574" s="566"/>
      <c r="AC574" s="566"/>
      <c r="AD574" s="566"/>
      <c r="AE574" s="566"/>
      <c r="AF574" s="566"/>
      <c r="AG574" s="566"/>
      <c r="AH574" s="566"/>
      <c r="AI574" s="566"/>
      <c r="AJ574" s="566"/>
      <c r="AK574" s="566"/>
      <c r="AL574" s="566"/>
      <c r="AM574" s="566"/>
      <c r="AN574" s="566"/>
      <c r="AO574" s="566"/>
    </row>
    <row r="575" spans="2:41" x14ac:dyDescent="0.15">
      <c r="B575" s="567">
        <v>-9</v>
      </c>
      <c r="C575" s="566">
        <v>4.7945205479452057E-3</v>
      </c>
      <c r="D575" s="566"/>
      <c r="E575" s="566"/>
      <c r="F575" s="566"/>
      <c r="G575" s="566"/>
      <c r="H575" s="566"/>
      <c r="I575" s="566"/>
      <c r="J575" s="566"/>
      <c r="K575" s="566"/>
      <c r="L575" s="566"/>
      <c r="M575" s="566"/>
      <c r="N575" s="566"/>
      <c r="O575" s="566"/>
      <c r="P575" s="566"/>
      <c r="Q575" s="566"/>
      <c r="R575" s="566"/>
      <c r="S575" s="566"/>
      <c r="T575" s="566"/>
      <c r="U575" s="566"/>
      <c r="V575" s="566"/>
      <c r="W575" s="566"/>
      <c r="X575" s="566"/>
      <c r="Y575" s="566"/>
      <c r="Z575" s="566"/>
      <c r="AA575" s="566"/>
      <c r="AB575" s="566"/>
      <c r="AC575" s="566"/>
      <c r="AD575" s="566"/>
      <c r="AE575" s="566"/>
      <c r="AF575" s="566"/>
      <c r="AG575" s="566"/>
      <c r="AH575" s="566"/>
      <c r="AI575" s="566"/>
      <c r="AJ575" s="566"/>
      <c r="AK575" s="566"/>
      <c r="AL575" s="566"/>
      <c r="AM575" s="566"/>
      <c r="AN575" s="566"/>
      <c r="AO575" s="566"/>
    </row>
    <row r="576" spans="2:41" x14ac:dyDescent="0.15">
      <c r="B576" s="567">
        <v>-8</v>
      </c>
      <c r="C576" s="566">
        <v>9.0182648401826489E-3</v>
      </c>
      <c r="D576" s="566"/>
      <c r="E576" s="566"/>
      <c r="F576" s="566"/>
      <c r="G576" s="566"/>
      <c r="H576" s="566"/>
      <c r="I576" s="566"/>
      <c r="J576" s="566"/>
      <c r="K576" s="566"/>
      <c r="L576" s="566"/>
      <c r="M576" s="566"/>
      <c r="N576" s="566"/>
      <c r="O576" s="566"/>
      <c r="P576" s="566"/>
      <c r="Q576" s="566"/>
      <c r="R576" s="566"/>
      <c r="S576" s="566"/>
      <c r="T576" s="566"/>
      <c r="U576" s="566"/>
      <c r="V576" s="566"/>
      <c r="W576" s="566"/>
      <c r="X576" s="566"/>
      <c r="Y576" s="566"/>
      <c r="Z576" s="566"/>
      <c r="AA576" s="566"/>
      <c r="AB576" s="566"/>
      <c r="AC576" s="566"/>
      <c r="AD576" s="566"/>
      <c r="AE576" s="566"/>
      <c r="AF576" s="566"/>
      <c r="AG576" s="566"/>
      <c r="AH576" s="566"/>
      <c r="AI576" s="566"/>
      <c r="AJ576" s="566"/>
      <c r="AK576" s="566"/>
      <c r="AL576" s="566"/>
      <c r="AM576" s="566"/>
      <c r="AN576" s="566"/>
      <c r="AO576" s="566"/>
    </row>
    <row r="577" spans="2:41" x14ac:dyDescent="0.15">
      <c r="B577" s="567">
        <v>-7</v>
      </c>
      <c r="C577" s="566">
        <v>1.3356164383561644E-2</v>
      </c>
      <c r="D577" s="566"/>
      <c r="E577" s="566"/>
      <c r="F577" s="566"/>
      <c r="G577" s="566"/>
      <c r="H577" s="566"/>
      <c r="I577" s="566"/>
      <c r="J577" s="566"/>
      <c r="K577" s="566"/>
      <c r="L577" s="566"/>
      <c r="M577" s="566"/>
      <c r="N577" s="566"/>
      <c r="O577" s="566"/>
      <c r="P577" s="566"/>
      <c r="Q577" s="566"/>
      <c r="R577" s="566"/>
      <c r="S577" s="566"/>
      <c r="T577" s="566"/>
      <c r="U577" s="566"/>
      <c r="V577" s="566"/>
      <c r="W577" s="566"/>
      <c r="X577" s="566"/>
      <c r="Y577" s="566"/>
      <c r="Z577" s="566"/>
      <c r="AA577" s="566"/>
      <c r="AB577" s="566"/>
      <c r="AC577" s="566"/>
      <c r="AD577" s="566"/>
      <c r="AE577" s="566"/>
      <c r="AF577" s="566"/>
      <c r="AG577" s="566"/>
      <c r="AH577" s="566"/>
      <c r="AI577" s="566"/>
      <c r="AJ577" s="566"/>
      <c r="AK577" s="566"/>
      <c r="AL577" s="566"/>
      <c r="AM577" s="566"/>
      <c r="AN577" s="566"/>
      <c r="AO577" s="566"/>
    </row>
    <row r="578" spans="2:41" x14ac:dyDescent="0.15">
      <c r="B578" s="567">
        <v>-6</v>
      </c>
      <c r="C578" s="566">
        <v>2.2716894977168951E-2</v>
      </c>
      <c r="D578" s="566"/>
      <c r="E578" s="566"/>
      <c r="F578" s="566"/>
      <c r="G578" s="566"/>
      <c r="H578" s="566"/>
      <c r="I578" s="566"/>
      <c r="J578" s="566"/>
      <c r="K578" s="566"/>
      <c r="L578" s="566"/>
      <c r="M578" s="566"/>
      <c r="N578" s="566"/>
      <c r="O578" s="566"/>
      <c r="P578" s="566"/>
      <c r="Q578" s="566"/>
      <c r="R578" s="566"/>
      <c r="S578" s="566"/>
      <c r="T578" s="566"/>
      <c r="U578" s="566"/>
      <c r="V578" s="566"/>
      <c r="W578" s="566"/>
      <c r="X578" s="566"/>
      <c r="Y578" s="566"/>
      <c r="Z578" s="566"/>
      <c r="AA578" s="566"/>
      <c r="AB578" s="566"/>
      <c r="AC578" s="566"/>
      <c r="AD578" s="566"/>
      <c r="AE578" s="566"/>
      <c r="AF578" s="566"/>
      <c r="AG578" s="566"/>
      <c r="AH578" s="566"/>
      <c r="AI578" s="566"/>
      <c r="AJ578" s="566"/>
      <c r="AK578" s="566"/>
      <c r="AL578" s="566"/>
      <c r="AM578" s="566"/>
      <c r="AN578" s="566"/>
      <c r="AO578" s="566"/>
    </row>
    <row r="579" spans="2:41" x14ac:dyDescent="0.15">
      <c r="B579" s="567">
        <v>-5</v>
      </c>
      <c r="C579" s="566">
        <v>4.1894977168949771E-2</v>
      </c>
      <c r="D579" s="566"/>
      <c r="E579" s="566"/>
      <c r="F579" s="566"/>
      <c r="G579" s="566"/>
      <c r="H579" s="566"/>
      <c r="I579" s="566"/>
      <c r="J579" s="566"/>
      <c r="K579" s="566"/>
      <c r="L579" s="566"/>
      <c r="M579" s="566"/>
      <c r="N579" s="566"/>
      <c r="O579" s="566"/>
      <c r="P579" s="566"/>
      <c r="Q579" s="566"/>
      <c r="R579" s="566"/>
      <c r="S579" s="566"/>
      <c r="T579" s="566"/>
      <c r="U579" s="566"/>
      <c r="V579" s="566"/>
      <c r="W579" s="566"/>
      <c r="X579" s="566"/>
      <c r="Y579" s="566"/>
      <c r="Z579" s="566"/>
      <c r="AA579" s="566"/>
      <c r="AB579" s="566"/>
      <c r="AC579" s="566"/>
      <c r="AD579" s="566"/>
      <c r="AE579" s="566"/>
      <c r="AF579" s="566"/>
      <c r="AG579" s="566"/>
      <c r="AH579" s="566"/>
      <c r="AI579" s="566"/>
      <c r="AJ579" s="566"/>
      <c r="AK579" s="566"/>
      <c r="AL579" s="566"/>
      <c r="AM579" s="566"/>
      <c r="AN579" s="566"/>
      <c r="AO579" s="566"/>
    </row>
    <row r="580" spans="2:41" x14ac:dyDescent="0.15">
      <c r="B580" s="567">
        <v>-4</v>
      </c>
      <c r="C580" s="566">
        <v>4.942922374429224E-2</v>
      </c>
      <c r="D580" s="566"/>
      <c r="E580" s="566"/>
      <c r="F580" s="566"/>
      <c r="G580" s="566"/>
      <c r="H580" s="566"/>
      <c r="I580" s="566"/>
      <c r="J580" s="566"/>
      <c r="K580" s="566"/>
      <c r="L580" s="566"/>
      <c r="M580" s="566"/>
      <c r="N580" s="566"/>
      <c r="O580" s="566"/>
      <c r="P580" s="566"/>
      <c r="Q580" s="566"/>
      <c r="R580" s="566"/>
      <c r="S580" s="566"/>
      <c r="T580" s="566"/>
      <c r="U580" s="566"/>
      <c r="V580" s="566"/>
      <c r="W580" s="566"/>
      <c r="X580" s="566"/>
      <c r="Y580" s="566"/>
      <c r="Z580" s="566"/>
      <c r="AA580" s="566"/>
      <c r="AB580" s="566"/>
      <c r="AC580" s="566"/>
      <c r="AD580" s="566"/>
      <c r="AE580" s="566"/>
      <c r="AF580" s="566"/>
      <c r="AG580" s="566"/>
      <c r="AH580" s="566"/>
      <c r="AI580" s="566"/>
      <c r="AJ580" s="566"/>
      <c r="AK580" s="566"/>
      <c r="AL580" s="566"/>
      <c r="AM580" s="566"/>
      <c r="AN580" s="566"/>
      <c r="AO580" s="566"/>
    </row>
    <row r="581" spans="2:41" x14ac:dyDescent="0.15">
      <c r="B581" s="567">
        <v>-3</v>
      </c>
      <c r="C581" s="566">
        <v>7.8538812785388129E-2</v>
      </c>
      <c r="D581" s="566"/>
      <c r="E581" s="566"/>
      <c r="F581" s="566"/>
      <c r="G581" s="566"/>
      <c r="H581" s="566"/>
      <c r="I581" s="566"/>
      <c r="J581" s="566"/>
      <c r="K581" s="566"/>
      <c r="L581" s="566"/>
      <c r="M581" s="566"/>
      <c r="N581" s="566"/>
      <c r="O581" s="566"/>
      <c r="P581" s="566"/>
      <c r="Q581" s="566"/>
      <c r="R581" s="566"/>
      <c r="S581" s="566"/>
      <c r="T581" s="566"/>
      <c r="U581" s="566"/>
      <c r="V581" s="566"/>
      <c r="W581" s="566"/>
      <c r="X581" s="566"/>
      <c r="Y581" s="566"/>
      <c r="Z581" s="566"/>
      <c r="AA581" s="566"/>
      <c r="AB581" s="566"/>
      <c r="AC581" s="566"/>
      <c r="AD581" s="566"/>
      <c r="AE581" s="566"/>
      <c r="AF581" s="566"/>
      <c r="AG581" s="566"/>
      <c r="AH581" s="566"/>
      <c r="AI581" s="566"/>
      <c r="AJ581" s="566"/>
      <c r="AK581" s="566"/>
      <c r="AL581" s="566"/>
      <c r="AM581" s="566"/>
      <c r="AN581" s="566"/>
      <c r="AO581" s="566"/>
    </row>
    <row r="582" spans="2:41" x14ac:dyDescent="0.15">
      <c r="B582" s="567">
        <v>-2</v>
      </c>
      <c r="C582" s="566">
        <v>0.11723744292237442</v>
      </c>
      <c r="D582" s="566"/>
      <c r="E582" s="566"/>
      <c r="F582" s="566"/>
      <c r="G582" s="566"/>
      <c r="H582" s="566"/>
      <c r="I582" s="566"/>
      <c r="J582" s="566"/>
      <c r="K582" s="566"/>
      <c r="L582" s="566"/>
      <c r="M582" s="566"/>
      <c r="N582" s="566"/>
      <c r="O582" s="566"/>
      <c r="P582" s="566"/>
      <c r="Q582" s="566"/>
      <c r="R582" s="566"/>
      <c r="S582" s="566"/>
      <c r="T582" s="566"/>
      <c r="U582" s="566"/>
      <c r="V582" s="566"/>
      <c r="W582" s="566"/>
      <c r="X582" s="566"/>
      <c r="Y582" s="566"/>
      <c r="Z582" s="566"/>
      <c r="AA582" s="566"/>
      <c r="AB582" s="566"/>
      <c r="AC582" s="566"/>
      <c r="AD582" s="566"/>
      <c r="AE582" s="566"/>
      <c r="AF582" s="566"/>
      <c r="AG582" s="566"/>
      <c r="AH582" s="566"/>
      <c r="AI582" s="566"/>
      <c r="AJ582" s="566"/>
      <c r="AK582" s="566"/>
      <c r="AL582" s="566"/>
      <c r="AM582" s="566"/>
      <c r="AN582" s="566"/>
      <c r="AO582" s="566"/>
    </row>
    <row r="583" spans="2:41" x14ac:dyDescent="0.15">
      <c r="B583" s="567">
        <v>-1</v>
      </c>
      <c r="C583" s="566">
        <v>0.15570776255707763</v>
      </c>
      <c r="D583" s="566"/>
      <c r="E583" s="566"/>
      <c r="F583" s="566"/>
      <c r="G583" s="566"/>
      <c r="H583" s="566"/>
      <c r="I583" s="566"/>
      <c r="J583" s="566"/>
      <c r="K583" s="566"/>
      <c r="L583" s="566"/>
      <c r="M583" s="566"/>
      <c r="N583" s="566"/>
      <c r="O583" s="566"/>
      <c r="P583" s="566"/>
      <c r="Q583" s="566"/>
      <c r="R583" s="566"/>
      <c r="S583" s="566"/>
      <c r="T583" s="566"/>
      <c r="U583" s="566"/>
      <c r="V583" s="566"/>
      <c r="W583" s="566"/>
      <c r="X583" s="566"/>
      <c r="Y583" s="566"/>
      <c r="Z583" s="566"/>
      <c r="AA583" s="566"/>
      <c r="AB583" s="566"/>
      <c r="AC583" s="566"/>
      <c r="AD583" s="566"/>
      <c r="AE583" s="566"/>
      <c r="AF583" s="566"/>
      <c r="AG583" s="566"/>
      <c r="AH583" s="566"/>
      <c r="AI583" s="566"/>
      <c r="AJ583" s="566"/>
      <c r="AK583" s="566"/>
      <c r="AL583" s="566"/>
      <c r="AM583" s="566"/>
      <c r="AN583" s="566"/>
      <c r="AO583" s="566"/>
    </row>
    <row r="584" spans="2:41" x14ac:dyDescent="0.15">
      <c r="B584" s="567">
        <v>0</v>
      </c>
      <c r="C584" s="566">
        <v>0.20273972602739726</v>
      </c>
      <c r="D584" s="566"/>
      <c r="E584" s="566"/>
      <c r="F584" s="566"/>
      <c r="G584" s="566"/>
      <c r="H584" s="566"/>
      <c r="I584" s="566"/>
      <c r="J584" s="566"/>
      <c r="K584" s="566"/>
      <c r="L584" s="566"/>
      <c r="M584" s="566"/>
      <c r="N584" s="566"/>
      <c r="O584" s="566"/>
      <c r="P584" s="566"/>
      <c r="Q584" s="566"/>
      <c r="R584" s="566"/>
      <c r="S584" s="566"/>
      <c r="T584" s="566"/>
      <c r="U584" s="566"/>
      <c r="V584" s="566"/>
      <c r="W584" s="566"/>
      <c r="X584" s="566"/>
      <c r="Y584" s="566"/>
      <c r="Z584" s="566"/>
      <c r="AA584" s="566"/>
      <c r="AB584" s="566"/>
      <c r="AC584" s="566"/>
      <c r="AD584" s="566"/>
      <c r="AE584" s="566"/>
      <c r="AF584" s="566"/>
      <c r="AG584" s="566"/>
      <c r="AH584" s="566"/>
      <c r="AI584" s="566"/>
      <c r="AJ584" s="566"/>
      <c r="AK584" s="566"/>
      <c r="AL584" s="566"/>
      <c r="AM584" s="566"/>
      <c r="AN584" s="566"/>
      <c r="AO584" s="566"/>
    </row>
    <row r="585" spans="2:41" x14ac:dyDescent="0.15">
      <c r="B585" s="567">
        <v>1</v>
      </c>
      <c r="C585" s="566">
        <v>0.23378995433789954</v>
      </c>
      <c r="D585" s="566"/>
      <c r="E585" s="566"/>
      <c r="F585" s="566"/>
      <c r="G585" s="566"/>
      <c r="H585" s="566"/>
      <c r="I585" s="566"/>
      <c r="J585" s="566"/>
      <c r="K585" s="566"/>
      <c r="L585" s="566"/>
      <c r="M585" s="566"/>
      <c r="N585" s="566"/>
      <c r="O585" s="566"/>
      <c r="P585" s="566"/>
      <c r="Q585" s="566"/>
      <c r="R585" s="566"/>
      <c r="S585" s="566"/>
      <c r="T585" s="566"/>
      <c r="U585" s="566"/>
      <c r="V585" s="566"/>
      <c r="W585" s="566"/>
      <c r="X585" s="566"/>
      <c r="Y585" s="566"/>
      <c r="Z585" s="566"/>
      <c r="AA585" s="566"/>
      <c r="AB585" s="566"/>
      <c r="AC585" s="566"/>
      <c r="AD585" s="566"/>
      <c r="AE585" s="566"/>
      <c r="AF585" s="566"/>
      <c r="AG585" s="566"/>
      <c r="AH585" s="566"/>
      <c r="AI585" s="566"/>
      <c r="AJ585" s="566"/>
      <c r="AK585" s="566"/>
      <c r="AL585" s="566"/>
      <c r="AM585" s="566"/>
      <c r="AN585" s="566"/>
      <c r="AO585" s="566"/>
    </row>
    <row r="586" spans="2:41" x14ac:dyDescent="0.15">
      <c r="B586" s="567">
        <v>2</v>
      </c>
      <c r="C586" s="566">
        <v>0.29497716894977166</v>
      </c>
      <c r="D586" s="566"/>
      <c r="E586" s="566"/>
      <c r="F586" s="566"/>
      <c r="G586" s="566"/>
      <c r="H586" s="566"/>
      <c r="I586" s="566"/>
      <c r="J586" s="566"/>
      <c r="K586" s="566"/>
      <c r="L586" s="566"/>
      <c r="M586" s="566"/>
      <c r="N586" s="566"/>
      <c r="O586" s="566"/>
      <c r="P586" s="566"/>
      <c r="Q586" s="566"/>
      <c r="R586" s="566"/>
      <c r="S586" s="566"/>
      <c r="T586" s="566"/>
      <c r="U586" s="566"/>
      <c r="V586" s="566"/>
      <c r="W586" s="566"/>
      <c r="X586" s="566"/>
      <c r="Y586" s="566"/>
      <c r="Z586" s="566"/>
      <c r="AA586" s="566"/>
      <c r="AB586" s="566"/>
      <c r="AC586" s="566"/>
      <c r="AD586" s="566"/>
      <c r="AE586" s="566"/>
      <c r="AF586" s="566"/>
      <c r="AG586" s="566"/>
      <c r="AH586" s="566"/>
      <c r="AI586" s="566"/>
      <c r="AJ586" s="566"/>
      <c r="AK586" s="566"/>
      <c r="AL586" s="566"/>
      <c r="AM586" s="566"/>
      <c r="AN586" s="566"/>
      <c r="AO586" s="566"/>
    </row>
    <row r="587" spans="2:41" x14ac:dyDescent="0.15">
      <c r="B587" s="567">
        <v>3</v>
      </c>
      <c r="C587" s="566">
        <v>0.35856164383561645</v>
      </c>
      <c r="D587" s="566"/>
      <c r="E587" s="566"/>
      <c r="F587" s="566"/>
      <c r="G587" s="566"/>
      <c r="H587" s="566"/>
      <c r="I587" s="566"/>
      <c r="J587" s="566"/>
      <c r="K587" s="566"/>
      <c r="L587" s="566"/>
      <c r="M587" s="566"/>
      <c r="N587" s="566"/>
      <c r="O587" s="566"/>
      <c r="P587" s="566"/>
      <c r="Q587" s="566"/>
      <c r="R587" s="566"/>
      <c r="S587" s="566"/>
      <c r="T587" s="566"/>
      <c r="U587" s="566"/>
      <c r="V587" s="566"/>
      <c r="W587" s="566"/>
      <c r="X587" s="566"/>
      <c r="Y587" s="566"/>
      <c r="Z587" s="566"/>
      <c r="AA587" s="566"/>
      <c r="AB587" s="566"/>
      <c r="AC587" s="566"/>
      <c r="AD587" s="566"/>
      <c r="AE587" s="566"/>
      <c r="AF587" s="566"/>
      <c r="AG587" s="566"/>
      <c r="AH587" s="566"/>
      <c r="AI587" s="566"/>
      <c r="AJ587" s="566"/>
      <c r="AK587" s="566"/>
      <c r="AL587" s="566"/>
      <c r="AM587" s="566"/>
      <c r="AN587" s="566"/>
      <c r="AO587" s="566"/>
    </row>
    <row r="588" spans="2:41" x14ac:dyDescent="0.15">
      <c r="B588" s="567">
        <v>4</v>
      </c>
      <c r="C588" s="566">
        <v>0.41586757990867579</v>
      </c>
      <c r="D588" s="566"/>
      <c r="E588" s="566"/>
      <c r="F588" s="566"/>
      <c r="G588" s="566"/>
      <c r="H588" s="566"/>
      <c r="I588" s="566"/>
      <c r="J588" s="566"/>
      <c r="K588" s="566"/>
      <c r="L588" s="566"/>
      <c r="M588" s="566"/>
      <c r="N588" s="566"/>
      <c r="O588" s="566"/>
      <c r="P588" s="566"/>
      <c r="Q588" s="566"/>
      <c r="R588" s="566"/>
      <c r="S588" s="566"/>
      <c r="T588" s="566"/>
      <c r="U588" s="566"/>
      <c r="V588" s="566"/>
      <c r="W588" s="566"/>
      <c r="X588" s="566"/>
      <c r="Y588" s="566"/>
      <c r="Z588" s="566"/>
      <c r="AA588" s="566"/>
      <c r="AB588" s="566"/>
      <c r="AC588" s="566"/>
      <c r="AD588" s="566"/>
      <c r="AE588" s="566"/>
      <c r="AF588" s="566"/>
      <c r="AG588" s="566"/>
      <c r="AH588" s="566"/>
      <c r="AI588" s="566"/>
      <c r="AJ588" s="566"/>
      <c r="AK588" s="566"/>
      <c r="AL588" s="566"/>
      <c r="AM588" s="566"/>
      <c r="AN588" s="566"/>
      <c r="AO588" s="566"/>
    </row>
    <row r="589" spans="2:41" x14ac:dyDescent="0.15">
      <c r="B589" s="567">
        <v>5</v>
      </c>
      <c r="C589" s="566">
        <v>0.48139269406392693</v>
      </c>
      <c r="D589" s="566"/>
      <c r="E589" s="566"/>
      <c r="F589" s="566"/>
      <c r="G589" s="566"/>
      <c r="H589" s="566"/>
      <c r="I589" s="566"/>
      <c r="J589" s="566"/>
      <c r="K589" s="566"/>
      <c r="L589" s="566"/>
      <c r="M589" s="566"/>
      <c r="N589" s="566"/>
      <c r="O589" s="566"/>
      <c r="P589" s="566"/>
      <c r="Q589" s="566"/>
      <c r="R589" s="566"/>
      <c r="S589" s="566"/>
      <c r="T589" s="566"/>
      <c r="U589" s="566"/>
      <c r="V589" s="566"/>
      <c r="W589" s="566"/>
      <c r="X589" s="566"/>
      <c r="Y589" s="566"/>
      <c r="Z589" s="566"/>
      <c r="AA589" s="566"/>
      <c r="AB589" s="566"/>
      <c r="AC589" s="566"/>
      <c r="AD589" s="566"/>
      <c r="AE589" s="566"/>
      <c r="AF589" s="566"/>
      <c r="AG589" s="566"/>
      <c r="AH589" s="566"/>
      <c r="AI589" s="566"/>
      <c r="AJ589" s="566"/>
      <c r="AK589" s="566"/>
      <c r="AL589" s="566"/>
      <c r="AM589" s="566"/>
      <c r="AN589" s="566"/>
      <c r="AO589" s="566"/>
    </row>
    <row r="590" spans="2:41" x14ac:dyDescent="0.15">
      <c r="B590" s="567">
        <v>6</v>
      </c>
      <c r="C590" s="566">
        <v>0.51940639269406397</v>
      </c>
      <c r="D590" s="566"/>
      <c r="E590" s="566"/>
      <c r="F590" s="566"/>
      <c r="G590" s="566"/>
      <c r="H590" s="566"/>
      <c r="I590" s="566"/>
      <c r="J590" s="566"/>
      <c r="K590" s="566"/>
      <c r="L590" s="566"/>
      <c r="M590" s="566"/>
      <c r="N590" s="566"/>
      <c r="O590" s="566"/>
      <c r="P590" s="566"/>
      <c r="Q590" s="566"/>
      <c r="R590" s="566"/>
      <c r="S590" s="566"/>
      <c r="T590" s="566"/>
      <c r="U590" s="566"/>
      <c r="V590" s="566"/>
      <c r="W590" s="566"/>
      <c r="X590" s="566"/>
      <c r="Y590" s="566"/>
      <c r="Z590" s="566"/>
      <c r="AA590" s="566"/>
      <c r="AB590" s="566"/>
      <c r="AC590" s="566"/>
      <c r="AD590" s="566"/>
      <c r="AE590" s="566"/>
      <c r="AF590" s="566"/>
      <c r="AG590" s="566"/>
      <c r="AH590" s="566"/>
      <c r="AI590" s="566"/>
      <c r="AJ590" s="566"/>
      <c r="AK590" s="566"/>
      <c r="AL590" s="566"/>
      <c r="AM590" s="566"/>
      <c r="AN590" s="566"/>
      <c r="AO590" s="566"/>
    </row>
    <row r="591" spans="2:41" x14ac:dyDescent="0.15">
      <c r="B591" s="567">
        <v>7</v>
      </c>
      <c r="C591" s="566">
        <v>0.59178082191780823</v>
      </c>
      <c r="D591" s="566"/>
      <c r="E591" s="566"/>
      <c r="F591" s="566"/>
      <c r="G591" s="566"/>
      <c r="H591" s="566"/>
      <c r="I591" s="566"/>
      <c r="J591" s="566"/>
      <c r="K591" s="566"/>
      <c r="L591" s="566"/>
      <c r="M591" s="566"/>
      <c r="N591" s="566"/>
      <c r="O591" s="566"/>
      <c r="P591" s="566"/>
      <c r="Q591" s="566"/>
      <c r="R591" s="566"/>
      <c r="S591" s="566"/>
      <c r="T591" s="566"/>
      <c r="U591" s="566"/>
      <c r="V591" s="566"/>
      <c r="W591" s="566"/>
      <c r="X591" s="566"/>
      <c r="Y591" s="566"/>
      <c r="Z591" s="566"/>
      <c r="AA591" s="566"/>
      <c r="AB591" s="566"/>
      <c r="AC591" s="566"/>
      <c r="AD591" s="566"/>
      <c r="AE591" s="566"/>
      <c r="AF591" s="566"/>
      <c r="AG591" s="566"/>
      <c r="AH591" s="566"/>
      <c r="AI591" s="566"/>
      <c r="AJ591" s="566"/>
      <c r="AK591" s="566"/>
      <c r="AL591" s="566"/>
      <c r="AM591" s="566"/>
      <c r="AN591" s="566"/>
      <c r="AO591" s="566"/>
    </row>
    <row r="592" spans="2:41" x14ac:dyDescent="0.15">
      <c r="B592" s="567">
        <v>8</v>
      </c>
      <c r="C592" s="566">
        <v>0.66038812785388123</v>
      </c>
      <c r="D592" s="566"/>
      <c r="E592" s="566"/>
      <c r="F592" s="566"/>
      <c r="G592" s="566"/>
      <c r="H592" s="566"/>
      <c r="I592" s="566"/>
      <c r="J592" s="566"/>
      <c r="K592" s="566"/>
      <c r="L592" s="566"/>
      <c r="M592" s="566"/>
      <c r="N592" s="566"/>
      <c r="O592" s="566"/>
      <c r="P592" s="566"/>
      <c r="Q592" s="566"/>
      <c r="R592" s="566"/>
      <c r="S592" s="566"/>
      <c r="T592" s="566"/>
      <c r="U592" s="566"/>
      <c r="V592" s="566"/>
      <c r="W592" s="566"/>
      <c r="X592" s="566"/>
      <c r="Y592" s="566"/>
      <c r="Z592" s="566"/>
      <c r="AA592" s="566"/>
      <c r="AB592" s="566"/>
      <c r="AC592" s="566"/>
      <c r="AD592" s="566"/>
      <c r="AE592" s="566"/>
      <c r="AF592" s="566"/>
      <c r="AG592" s="566"/>
      <c r="AH592" s="566"/>
      <c r="AI592" s="566"/>
      <c r="AJ592" s="566"/>
      <c r="AK592" s="566"/>
      <c r="AL592" s="566"/>
      <c r="AM592" s="566"/>
      <c r="AN592" s="566"/>
      <c r="AO592" s="566"/>
    </row>
    <row r="593" spans="2:41" x14ac:dyDescent="0.15">
      <c r="B593" s="567">
        <v>9</v>
      </c>
      <c r="C593" s="566">
        <v>0.73002283105022836</v>
      </c>
      <c r="D593" s="566"/>
      <c r="E593" s="566"/>
      <c r="F593" s="566"/>
      <c r="G593" s="566"/>
      <c r="H593" s="566"/>
      <c r="I593" s="566"/>
      <c r="J593" s="566"/>
      <c r="K593" s="566"/>
      <c r="L593" s="566"/>
      <c r="M593" s="566"/>
      <c r="N593" s="566"/>
      <c r="O593" s="566"/>
      <c r="P593" s="566"/>
      <c r="Q593" s="566"/>
      <c r="R593" s="566"/>
      <c r="S593" s="566"/>
      <c r="T593" s="566"/>
      <c r="U593" s="566"/>
      <c r="V593" s="566"/>
      <c r="W593" s="566"/>
      <c r="X593" s="566"/>
      <c r="Y593" s="566"/>
      <c r="Z593" s="566"/>
      <c r="AA593" s="566"/>
      <c r="AB593" s="566"/>
      <c r="AC593" s="566"/>
      <c r="AD593" s="566"/>
      <c r="AE593" s="566"/>
      <c r="AF593" s="566"/>
      <c r="AG593" s="566"/>
      <c r="AH593" s="566"/>
      <c r="AI593" s="566"/>
      <c r="AJ593" s="566"/>
      <c r="AK593" s="566"/>
      <c r="AL593" s="566"/>
      <c r="AM593" s="566"/>
      <c r="AN593" s="566"/>
      <c r="AO593" s="566"/>
    </row>
    <row r="594" spans="2:41" x14ac:dyDescent="0.15">
      <c r="B594" s="567">
        <v>10</v>
      </c>
      <c r="C594" s="566">
        <v>0.79885844748858448</v>
      </c>
      <c r="D594" s="566"/>
      <c r="E594" s="566"/>
      <c r="F594" s="566"/>
      <c r="G594" s="566"/>
      <c r="H594" s="566"/>
      <c r="I594" s="566"/>
      <c r="J594" s="566"/>
      <c r="K594" s="566"/>
      <c r="L594" s="566"/>
      <c r="M594" s="566"/>
      <c r="N594" s="566"/>
      <c r="O594" s="566"/>
      <c r="P594" s="566"/>
      <c r="Q594" s="566"/>
      <c r="R594" s="566"/>
      <c r="S594" s="566"/>
      <c r="T594" s="566"/>
      <c r="U594" s="566"/>
      <c r="V594" s="566"/>
      <c r="W594" s="566"/>
      <c r="X594" s="566"/>
      <c r="Y594" s="566"/>
      <c r="Z594" s="566"/>
      <c r="AA594" s="566"/>
      <c r="AB594" s="566"/>
      <c r="AC594" s="566"/>
      <c r="AD594" s="566"/>
      <c r="AE594" s="566"/>
      <c r="AF594" s="566"/>
      <c r="AG594" s="566"/>
      <c r="AH594" s="566"/>
      <c r="AI594" s="566"/>
      <c r="AJ594" s="566"/>
      <c r="AK594" s="566"/>
      <c r="AL594" s="566"/>
      <c r="AM594" s="566"/>
      <c r="AN594" s="566"/>
      <c r="AO594" s="566"/>
    </row>
    <row r="595" spans="2:41" x14ac:dyDescent="0.15">
      <c r="B595" s="567">
        <v>11</v>
      </c>
      <c r="C595" s="566">
        <v>0.8348173515981735</v>
      </c>
      <c r="D595" s="566"/>
      <c r="E595" s="566"/>
      <c r="F595" s="566"/>
      <c r="G595" s="566"/>
      <c r="H595" s="566"/>
      <c r="I595" s="566"/>
      <c r="J595" s="566"/>
      <c r="K595" s="566"/>
      <c r="L595" s="566"/>
      <c r="M595" s="566"/>
      <c r="N595" s="566"/>
      <c r="O595" s="566"/>
      <c r="P595" s="566"/>
      <c r="Q595" s="566"/>
      <c r="R595" s="566"/>
      <c r="S595" s="566"/>
      <c r="T595" s="566"/>
      <c r="U595" s="566"/>
      <c r="V595" s="566"/>
      <c r="W595" s="566"/>
      <c r="X595" s="566"/>
      <c r="Y595" s="566"/>
      <c r="Z595" s="566"/>
      <c r="AA595" s="566"/>
      <c r="AB595" s="566"/>
      <c r="AC595" s="566"/>
      <c r="AD595" s="566"/>
      <c r="AE595" s="566"/>
      <c r="AF595" s="566"/>
      <c r="AG595" s="566"/>
      <c r="AH595" s="566"/>
      <c r="AI595" s="566"/>
      <c r="AJ595" s="566"/>
      <c r="AK595" s="566"/>
      <c r="AL595" s="566"/>
      <c r="AM595" s="566"/>
      <c r="AN595" s="566"/>
      <c r="AO595" s="566"/>
    </row>
    <row r="596" spans="2:41" x14ac:dyDescent="0.15">
      <c r="B596" s="567">
        <v>12</v>
      </c>
      <c r="C596" s="566">
        <v>0.89908675799086757</v>
      </c>
      <c r="D596" s="566"/>
      <c r="E596" s="566"/>
      <c r="F596" s="566"/>
      <c r="G596" s="566"/>
      <c r="H596" s="566"/>
      <c r="I596" s="566"/>
      <c r="J596" s="566"/>
      <c r="K596" s="566"/>
      <c r="L596" s="566"/>
      <c r="M596" s="566"/>
      <c r="N596" s="566"/>
      <c r="O596" s="566"/>
      <c r="P596" s="566"/>
      <c r="Q596" s="566"/>
      <c r="R596" s="566"/>
      <c r="S596" s="566"/>
      <c r="T596" s="566"/>
      <c r="U596" s="566"/>
      <c r="V596" s="566"/>
      <c r="W596" s="566"/>
      <c r="X596" s="566"/>
      <c r="Y596" s="566"/>
      <c r="Z596" s="566"/>
      <c r="AA596" s="566"/>
      <c r="AB596" s="566"/>
      <c r="AC596" s="566"/>
      <c r="AD596" s="566"/>
      <c r="AE596" s="566"/>
      <c r="AF596" s="566"/>
      <c r="AG596" s="566"/>
      <c r="AH596" s="566"/>
      <c r="AI596" s="566"/>
      <c r="AJ596" s="566"/>
      <c r="AK596" s="566"/>
      <c r="AL596" s="566"/>
      <c r="AM596" s="566"/>
      <c r="AN596" s="566"/>
      <c r="AO596" s="566"/>
    </row>
    <row r="597" spans="2:41" x14ac:dyDescent="0.15">
      <c r="B597" s="567">
        <v>13</v>
      </c>
      <c r="C597" s="566">
        <v>0.94417808219178079</v>
      </c>
      <c r="D597" s="566"/>
      <c r="E597" s="566"/>
      <c r="F597" s="566"/>
      <c r="G597" s="566"/>
      <c r="H597" s="566"/>
      <c r="I597" s="566"/>
      <c r="J597" s="566"/>
      <c r="K597" s="566"/>
      <c r="L597" s="566"/>
      <c r="M597" s="566"/>
      <c r="N597" s="566"/>
      <c r="O597" s="566"/>
      <c r="P597" s="566"/>
      <c r="Q597" s="566"/>
      <c r="R597" s="566"/>
      <c r="S597" s="566"/>
      <c r="T597" s="566"/>
      <c r="U597" s="566"/>
      <c r="V597" s="566"/>
      <c r="W597" s="566"/>
      <c r="X597" s="566"/>
      <c r="Y597" s="566"/>
      <c r="Z597" s="566"/>
      <c r="AA597" s="566"/>
      <c r="AB597" s="566"/>
      <c r="AC597" s="566"/>
      <c r="AD597" s="566"/>
      <c r="AE597" s="566"/>
      <c r="AF597" s="566"/>
      <c r="AG597" s="566"/>
      <c r="AH597" s="566"/>
      <c r="AI597" s="566"/>
      <c r="AJ597" s="566"/>
      <c r="AK597" s="566"/>
      <c r="AL597" s="566"/>
      <c r="AM597" s="566"/>
      <c r="AN597" s="566"/>
      <c r="AO597" s="566"/>
    </row>
    <row r="598" spans="2:41" x14ac:dyDescent="0.15">
      <c r="B598" s="567">
        <v>14</v>
      </c>
      <c r="C598" s="566">
        <v>0.97648401826484021</v>
      </c>
      <c r="D598" s="566"/>
      <c r="E598" s="566"/>
      <c r="F598" s="566"/>
      <c r="G598" s="566"/>
      <c r="H598" s="566"/>
      <c r="I598" s="566"/>
      <c r="J598" s="566"/>
      <c r="K598" s="566"/>
      <c r="L598" s="566"/>
      <c r="M598" s="566"/>
      <c r="N598" s="566"/>
      <c r="O598" s="566"/>
      <c r="P598" s="566"/>
      <c r="Q598" s="566"/>
      <c r="R598" s="566"/>
      <c r="S598" s="566"/>
      <c r="T598" s="566"/>
      <c r="U598" s="566"/>
      <c r="V598" s="566"/>
      <c r="W598" s="566"/>
      <c r="X598" s="566"/>
      <c r="Y598" s="566"/>
      <c r="Z598" s="566"/>
      <c r="AA598" s="566"/>
      <c r="AB598" s="566"/>
      <c r="AC598" s="566"/>
      <c r="AD598" s="566"/>
      <c r="AE598" s="566"/>
      <c r="AF598" s="566"/>
      <c r="AG598" s="566"/>
      <c r="AH598" s="566"/>
      <c r="AI598" s="566"/>
      <c r="AJ598" s="566"/>
      <c r="AK598" s="566"/>
      <c r="AL598" s="566"/>
      <c r="AM598" s="566"/>
      <c r="AN598" s="566"/>
      <c r="AO598" s="566"/>
    </row>
    <row r="599" spans="2:41" x14ac:dyDescent="0.15">
      <c r="B599" s="567">
        <v>15</v>
      </c>
      <c r="C599" s="566">
        <v>0.99235159817351604</v>
      </c>
      <c r="D599" s="566"/>
      <c r="E599" s="566"/>
      <c r="F599" s="566"/>
      <c r="G599" s="566"/>
      <c r="H599" s="566"/>
      <c r="I599" s="566"/>
      <c r="J599" s="566"/>
      <c r="K599" s="566"/>
      <c r="L599" s="566"/>
      <c r="M599" s="566"/>
      <c r="N599" s="566"/>
      <c r="O599" s="566"/>
      <c r="P599" s="566"/>
      <c r="Q599" s="566"/>
      <c r="R599" s="566"/>
      <c r="S599" s="566"/>
      <c r="T599" s="566"/>
      <c r="U599" s="566"/>
      <c r="V599" s="566"/>
      <c r="W599" s="566"/>
      <c r="X599" s="566"/>
      <c r="Y599" s="566"/>
      <c r="Z599" s="566"/>
      <c r="AA599" s="566"/>
      <c r="AB599" s="566"/>
      <c r="AC599" s="566"/>
      <c r="AD599" s="566"/>
      <c r="AE599" s="566"/>
      <c r="AF599" s="566"/>
      <c r="AG599" s="566"/>
      <c r="AH599" s="566"/>
      <c r="AI599" s="566"/>
      <c r="AJ599" s="566"/>
      <c r="AK599" s="566"/>
      <c r="AL599" s="566"/>
      <c r="AM599" s="566"/>
      <c r="AN599" s="566"/>
      <c r="AO599" s="566"/>
    </row>
    <row r="600" spans="2:41" x14ac:dyDescent="0.15">
      <c r="B600" s="567">
        <v>16</v>
      </c>
      <c r="C600" s="566">
        <v>0.99509132420091329</v>
      </c>
      <c r="D600" s="566"/>
      <c r="E600" s="566"/>
      <c r="F600" s="566"/>
      <c r="G600" s="566"/>
      <c r="H600" s="566"/>
      <c r="I600" s="566"/>
      <c r="J600" s="566"/>
      <c r="K600" s="566"/>
      <c r="L600" s="566"/>
      <c r="M600" s="566"/>
      <c r="N600" s="566"/>
      <c r="O600" s="566"/>
      <c r="P600" s="566"/>
      <c r="Q600" s="566"/>
      <c r="R600" s="566"/>
      <c r="S600" s="566"/>
      <c r="T600" s="566"/>
      <c r="U600" s="566"/>
      <c r="V600" s="566"/>
      <c r="W600" s="566"/>
      <c r="X600" s="566"/>
      <c r="Y600" s="566"/>
      <c r="Z600" s="566"/>
      <c r="AA600" s="566"/>
      <c r="AB600" s="566"/>
      <c r="AC600" s="566"/>
      <c r="AD600" s="566"/>
      <c r="AE600" s="566"/>
      <c r="AF600" s="566"/>
      <c r="AG600" s="566"/>
      <c r="AH600" s="566"/>
      <c r="AI600" s="566"/>
      <c r="AJ600" s="566"/>
      <c r="AK600" s="566"/>
      <c r="AL600" s="566"/>
      <c r="AM600" s="566"/>
      <c r="AN600" s="566"/>
      <c r="AO600" s="566"/>
    </row>
    <row r="601" spans="2:41" x14ac:dyDescent="0.15">
      <c r="B601" s="567">
        <v>17</v>
      </c>
      <c r="C601" s="566">
        <v>0.99840182648401832</v>
      </c>
      <c r="D601" s="566"/>
      <c r="E601" s="566"/>
      <c r="F601" s="566"/>
      <c r="G601" s="566"/>
      <c r="H601" s="566"/>
      <c r="I601" s="566"/>
      <c r="J601" s="566"/>
      <c r="K601" s="566"/>
      <c r="L601" s="566"/>
      <c r="M601" s="566"/>
      <c r="N601" s="566"/>
      <c r="O601" s="566"/>
      <c r="P601" s="566"/>
      <c r="Q601" s="566"/>
      <c r="R601" s="566"/>
      <c r="S601" s="566"/>
      <c r="T601" s="566"/>
      <c r="U601" s="566"/>
      <c r="V601" s="566"/>
      <c r="W601" s="566"/>
      <c r="X601" s="566"/>
      <c r="Y601" s="566"/>
      <c r="Z601" s="566"/>
      <c r="AA601" s="566"/>
      <c r="AB601" s="566"/>
      <c r="AC601" s="566"/>
      <c r="AD601" s="566"/>
      <c r="AE601" s="566"/>
      <c r="AF601" s="566"/>
      <c r="AG601" s="566"/>
      <c r="AH601" s="566"/>
      <c r="AI601" s="566"/>
      <c r="AJ601" s="566"/>
      <c r="AK601" s="566"/>
      <c r="AL601" s="566"/>
      <c r="AM601" s="566"/>
      <c r="AN601" s="566"/>
      <c r="AO601" s="566"/>
    </row>
    <row r="602" spans="2:41" x14ac:dyDescent="0.15">
      <c r="B602" s="567">
        <v>18</v>
      </c>
      <c r="C602" s="566">
        <v>1</v>
      </c>
      <c r="D602" s="566"/>
      <c r="E602" s="566"/>
      <c r="F602" s="566"/>
      <c r="G602" s="566"/>
      <c r="H602" s="566"/>
      <c r="I602" s="566"/>
      <c r="J602" s="566"/>
      <c r="K602" s="566"/>
      <c r="L602" s="566"/>
      <c r="M602" s="566"/>
      <c r="N602" s="566"/>
      <c r="O602" s="566"/>
      <c r="P602" s="566"/>
      <c r="Q602" s="566"/>
      <c r="R602" s="566"/>
      <c r="S602" s="566"/>
      <c r="T602" s="566"/>
      <c r="U602" s="566"/>
      <c r="V602" s="566"/>
      <c r="W602" s="566"/>
      <c r="X602" s="566"/>
      <c r="Y602" s="566"/>
      <c r="Z602" s="566"/>
      <c r="AA602" s="566"/>
      <c r="AB602" s="566"/>
      <c r="AC602" s="566"/>
      <c r="AD602" s="566"/>
      <c r="AE602" s="566"/>
      <c r="AF602" s="566"/>
      <c r="AG602" s="566"/>
      <c r="AH602" s="566"/>
      <c r="AI602" s="566"/>
      <c r="AJ602" s="566"/>
      <c r="AK602" s="566"/>
      <c r="AL602" s="566"/>
      <c r="AM602" s="566"/>
      <c r="AN602" s="566"/>
      <c r="AO602" s="566"/>
    </row>
    <row r="603" spans="2:41" x14ac:dyDescent="0.15">
      <c r="B603" s="567">
        <v>19</v>
      </c>
      <c r="C603" s="566">
        <v>1</v>
      </c>
      <c r="D603" s="566"/>
      <c r="E603" s="566"/>
      <c r="F603" s="566"/>
      <c r="G603" s="566"/>
      <c r="H603" s="566"/>
      <c r="I603" s="566"/>
      <c r="J603" s="566"/>
      <c r="K603" s="566"/>
      <c r="L603" s="566"/>
      <c r="M603" s="566"/>
      <c r="N603" s="566"/>
      <c r="O603" s="566"/>
      <c r="P603" s="566"/>
      <c r="Q603" s="566"/>
      <c r="R603" s="566"/>
      <c r="S603" s="566"/>
      <c r="T603" s="566"/>
      <c r="U603" s="566"/>
      <c r="V603" s="566"/>
      <c r="W603" s="566"/>
      <c r="X603" s="566"/>
      <c r="Y603" s="566"/>
      <c r="Z603" s="566"/>
      <c r="AA603" s="566"/>
      <c r="AB603" s="566"/>
      <c r="AC603" s="566"/>
      <c r="AD603" s="566"/>
      <c r="AE603" s="566"/>
      <c r="AF603" s="566"/>
      <c r="AG603" s="566"/>
      <c r="AH603" s="566"/>
      <c r="AI603" s="566"/>
      <c r="AJ603" s="566"/>
      <c r="AK603" s="566"/>
      <c r="AL603" s="566"/>
      <c r="AM603" s="566"/>
      <c r="AN603" s="566"/>
      <c r="AO603" s="566"/>
    </row>
    <row r="604" spans="2:41" x14ac:dyDescent="0.15">
      <c r="B604" s="567">
        <v>20</v>
      </c>
      <c r="C604" s="566">
        <v>1</v>
      </c>
      <c r="D604" s="566"/>
      <c r="E604" s="566"/>
      <c r="F604" s="566"/>
      <c r="G604" s="566"/>
      <c r="H604" s="566"/>
      <c r="I604" s="566"/>
      <c r="J604" s="566"/>
      <c r="K604" s="566"/>
      <c r="L604" s="566"/>
      <c r="M604" s="566"/>
      <c r="N604" s="566"/>
      <c r="O604" s="566"/>
      <c r="P604" s="566"/>
      <c r="Q604" s="566"/>
      <c r="R604" s="566"/>
      <c r="S604" s="566"/>
      <c r="T604" s="566"/>
      <c r="U604" s="566"/>
      <c r="V604" s="566"/>
      <c r="W604" s="566"/>
      <c r="X604" s="566"/>
      <c r="Y604" s="566"/>
      <c r="Z604" s="566"/>
      <c r="AA604" s="566"/>
      <c r="AB604" s="566"/>
      <c r="AC604" s="566"/>
      <c r="AD604" s="566"/>
      <c r="AE604" s="566"/>
      <c r="AF604" s="566"/>
      <c r="AG604" s="566"/>
      <c r="AH604" s="566"/>
      <c r="AI604" s="566"/>
      <c r="AJ604" s="566"/>
      <c r="AK604" s="566"/>
      <c r="AL604" s="566"/>
      <c r="AM604" s="566"/>
      <c r="AN604" s="566"/>
      <c r="AO604" s="566"/>
    </row>
    <row r="605" spans="2:41" x14ac:dyDescent="0.15">
      <c r="B605" s="567">
        <v>21</v>
      </c>
      <c r="C605" s="566">
        <v>1</v>
      </c>
      <c r="D605" s="566"/>
      <c r="E605" s="566"/>
      <c r="F605" s="566"/>
      <c r="G605" s="566"/>
      <c r="H605" s="566"/>
      <c r="I605" s="566"/>
      <c r="J605" s="566"/>
      <c r="K605" s="566"/>
      <c r="L605" s="566"/>
      <c r="M605" s="566"/>
      <c r="N605" s="566"/>
      <c r="O605" s="566"/>
      <c r="P605" s="566"/>
      <c r="Q605" s="566"/>
      <c r="R605" s="566"/>
      <c r="S605" s="566"/>
      <c r="T605" s="566"/>
      <c r="U605" s="566"/>
      <c r="V605" s="566"/>
      <c r="W605" s="566"/>
      <c r="X605" s="566"/>
      <c r="Y605" s="566"/>
      <c r="Z605" s="566"/>
      <c r="AA605" s="566"/>
      <c r="AB605" s="566"/>
      <c r="AC605" s="566"/>
      <c r="AD605" s="566"/>
      <c r="AE605" s="566"/>
      <c r="AF605" s="566"/>
      <c r="AG605" s="566"/>
      <c r="AH605" s="566"/>
      <c r="AI605" s="566"/>
      <c r="AJ605" s="566"/>
      <c r="AK605" s="566"/>
      <c r="AL605" s="566"/>
      <c r="AM605" s="566"/>
      <c r="AN605" s="566"/>
      <c r="AO605" s="566"/>
    </row>
    <row r="606" spans="2:41" x14ac:dyDescent="0.15">
      <c r="B606" s="567">
        <v>22</v>
      </c>
      <c r="C606" s="566">
        <v>1</v>
      </c>
      <c r="D606" s="566"/>
      <c r="E606" s="566"/>
      <c r="F606" s="566"/>
      <c r="G606" s="566"/>
      <c r="H606" s="566"/>
      <c r="I606" s="566"/>
      <c r="J606" s="566"/>
      <c r="K606" s="566"/>
      <c r="L606" s="566"/>
      <c r="M606" s="566"/>
      <c r="N606" s="566"/>
      <c r="O606" s="566"/>
      <c r="P606" s="566"/>
      <c r="Q606" s="566"/>
      <c r="R606" s="566"/>
      <c r="S606" s="566"/>
      <c r="T606" s="566"/>
      <c r="U606" s="566"/>
      <c r="V606" s="566"/>
      <c r="W606" s="566"/>
      <c r="X606" s="566"/>
      <c r="Y606" s="566"/>
      <c r="Z606" s="566"/>
      <c r="AA606" s="566"/>
      <c r="AB606" s="566"/>
      <c r="AC606" s="566"/>
      <c r="AD606" s="566"/>
      <c r="AE606" s="566"/>
      <c r="AF606" s="566"/>
      <c r="AG606" s="566"/>
      <c r="AH606" s="566"/>
      <c r="AI606" s="566"/>
      <c r="AJ606" s="566"/>
      <c r="AK606" s="566"/>
      <c r="AL606" s="566"/>
      <c r="AM606" s="566"/>
      <c r="AN606" s="566"/>
      <c r="AO606" s="566"/>
    </row>
    <row r="607" spans="2:41" x14ac:dyDescent="0.15">
      <c r="B607" s="567">
        <v>23</v>
      </c>
      <c r="C607" s="566">
        <v>1</v>
      </c>
      <c r="D607" s="566"/>
      <c r="E607" s="566"/>
      <c r="F607" s="566"/>
      <c r="G607" s="566"/>
      <c r="H607" s="566"/>
      <c r="I607" s="566"/>
      <c r="J607" s="566"/>
      <c r="K607" s="566"/>
      <c r="L607" s="566"/>
      <c r="M607" s="566"/>
      <c r="N607" s="566"/>
      <c r="O607" s="566"/>
      <c r="P607" s="566"/>
      <c r="Q607" s="566"/>
      <c r="R607" s="566"/>
      <c r="S607" s="566"/>
      <c r="T607" s="566"/>
      <c r="U607" s="566"/>
      <c r="V607" s="566"/>
      <c r="W607" s="566"/>
      <c r="X607" s="566"/>
      <c r="Y607" s="566"/>
      <c r="Z607" s="566"/>
      <c r="AA607" s="566"/>
      <c r="AB607" s="566"/>
      <c r="AC607" s="566"/>
      <c r="AD607" s="566"/>
      <c r="AE607" s="566"/>
      <c r="AF607" s="566"/>
      <c r="AG607" s="566"/>
      <c r="AH607" s="566"/>
      <c r="AI607" s="566"/>
      <c r="AJ607" s="566"/>
      <c r="AK607" s="566"/>
      <c r="AL607" s="566"/>
      <c r="AM607" s="566"/>
      <c r="AN607" s="566"/>
      <c r="AO607" s="566"/>
    </row>
    <row r="608" spans="2:41" x14ac:dyDescent="0.15">
      <c r="B608" s="567">
        <v>24</v>
      </c>
      <c r="C608" s="566">
        <v>1</v>
      </c>
      <c r="D608" s="566"/>
      <c r="E608" s="566"/>
      <c r="F608" s="566"/>
      <c r="G608" s="566"/>
      <c r="H608" s="566"/>
      <c r="I608" s="566"/>
      <c r="J608" s="566"/>
      <c r="K608" s="566"/>
      <c r="L608" s="566"/>
      <c r="M608" s="566"/>
      <c r="N608" s="566"/>
      <c r="O608" s="566"/>
      <c r="P608" s="566"/>
      <c r="Q608" s="566"/>
      <c r="R608" s="566"/>
      <c r="S608" s="566"/>
      <c r="T608" s="566"/>
      <c r="U608" s="566"/>
      <c r="V608" s="566"/>
      <c r="W608" s="566"/>
      <c r="X608" s="566"/>
      <c r="Y608" s="566"/>
      <c r="Z608" s="566"/>
      <c r="AA608" s="566"/>
      <c r="AB608" s="566"/>
      <c r="AC608" s="566"/>
      <c r="AD608" s="566"/>
      <c r="AE608" s="566"/>
      <c r="AF608" s="566"/>
      <c r="AG608" s="566"/>
      <c r="AH608" s="566"/>
      <c r="AI608" s="566"/>
      <c r="AJ608" s="566"/>
      <c r="AK608" s="566"/>
      <c r="AL608" s="566"/>
      <c r="AM608" s="566"/>
      <c r="AN608" s="566"/>
      <c r="AO608" s="566"/>
    </row>
    <row r="609" spans="2:41" x14ac:dyDescent="0.15">
      <c r="B609" s="567">
        <v>25</v>
      </c>
      <c r="C609" s="566">
        <v>1</v>
      </c>
      <c r="D609" s="566"/>
      <c r="E609" s="566"/>
      <c r="F609" s="566"/>
      <c r="G609" s="566"/>
      <c r="H609" s="566"/>
      <c r="I609" s="566"/>
      <c r="J609" s="566"/>
      <c r="K609" s="566"/>
      <c r="L609" s="566"/>
      <c r="M609" s="566"/>
      <c r="N609" s="566"/>
      <c r="O609" s="566"/>
      <c r="P609" s="566"/>
      <c r="Q609" s="566"/>
      <c r="R609" s="566"/>
      <c r="S609" s="566"/>
      <c r="T609" s="566"/>
      <c r="U609" s="566"/>
      <c r="V609" s="566"/>
      <c r="W609" s="566"/>
      <c r="X609" s="566"/>
      <c r="Y609" s="566"/>
      <c r="Z609" s="566"/>
      <c r="AA609" s="566"/>
      <c r="AB609" s="566"/>
      <c r="AC609" s="566"/>
      <c r="AD609" s="566"/>
      <c r="AE609" s="566"/>
      <c r="AF609" s="566"/>
      <c r="AG609" s="566"/>
      <c r="AH609" s="566"/>
      <c r="AI609" s="566"/>
      <c r="AJ609" s="566"/>
      <c r="AK609" s="566"/>
      <c r="AL609" s="566"/>
      <c r="AM609" s="566"/>
      <c r="AN609" s="566"/>
      <c r="AO609" s="566"/>
    </row>
    <row r="610" spans="2:41" x14ac:dyDescent="0.15">
      <c r="B610" s="567">
        <v>26</v>
      </c>
      <c r="C610" s="566">
        <v>1</v>
      </c>
      <c r="D610" s="566"/>
      <c r="E610" s="566"/>
      <c r="F610" s="566"/>
      <c r="G610" s="566"/>
      <c r="H610" s="566"/>
      <c r="I610" s="566"/>
      <c r="J610" s="566"/>
      <c r="K610" s="566"/>
      <c r="L610" s="566"/>
      <c r="M610" s="566"/>
      <c r="N610" s="566"/>
      <c r="O610" s="566"/>
      <c r="P610" s="566"/>
      <c r="Q610" s="566"/>
      <c r="R610" s="566"/>
      <c r="S610" s="566"/>
      <c r="T610" s="566"/>
      <c r="U610" s="566"/>
      <c r="V610" s="566"/>
      <c r="W610" s="566"/>
      <c r="X610" s="566"/>
      <c r="Y610" s="566"/>
      <c r="Z610" s="566"/>
      <c r="AA610" s="566"/>
      <c r="AB610" s="566"/>
      <c r="AC610" s="566"/>
      <c r="AD610" s="566"/>
      <c r="AE610" s="566"/>
      <c r="AF610" s="566"/>
      <c r="AG610" s="566"/>
      <c r="AH610" s="566"/>
      <c r="AI610" s="566"/>
      <c r="AJ610" s="566"/>
      <c r="AK610" s="566"/>
      <c r="AL610" s="566"/>
      <c r="AM610" s="566"/>
      <c r="AN610" s="566"/>
      <c r="AO610" s="566"/>
    </row>
    <row r="611" spans="2:41" x14ac:dyDescent="0.15">
      <c r="B611" s="567">
        <v>27</v>
      </c>
      <c r="C611" s="566">
        <v>1</v>
      </c>
      <c r="D611" s="566"/>
      <c r="E611" s="566"/>
      <c r="F611" s="566"/>
      <c r="G611" s="566"/>
      <c r="H611" s="566"/>
      <c r="I611" s="566"/>
      <c r="J611" s="566"/>
      <c r="K611" s="566"/>
      <c r="L611" s="566"/>
      <c r="M611" s="566"/>
      <c r="N611" s="566"/>
      <c r="O611" s="566"/>
      <c r="P611" s="566"/>
      <c r="Q611" s="566"/>
      <c r="R611" s="566"/>
      <c r="S611" s="566"/>
      <c r="T611" s="566"/>
      <c r="U611" s="566"/>
      <c r="V611" s="566"/>
      <c r="W611" s="566"/>
      <c r="X611" s="566"/>
      <c r="Y611" s="566"/>
      <c r="Z611" s="566"/>
      <c r="AA611" s="566"/>
      <c r="AB611" s="566"/>
      <c r="AC611" s="566"/>
      <c r="AD611" s="566"/>
      <c r="AE611" s="566"/>
      <c r="AF611" s="566"/>
      <c r="AG611" s="566"/>
      <c r="AH611" s="566"/>
      <c r="AI611" s="566"/>
      <c r="AJ611" s="566"/>
      <c r="AK611" s="566"/>
      <c r="AL611" s="566"/>
      <c r="AM611" s="566"/>
      <c r="AN611" s="566"/>
      <c r="AO611" s="566"/>
    </row>
    <row r="612" spans="2:41" x14ac:dyDescent="0.15">
      <c r="B612" s="567">
        <v>28</v>
      </c>
      <c r="C612" s="566">
        <v>1</v>
      </c>
      <c r="D612" s="566"/>
      <c r="E612" s="566"/>
      <c r="F612" s="566"/>
      <c r="G612" s="566"/>
      <c r="H612" s="566"/>
      <c r="I612" s="566"/>
      <c r="J612" s="566"/>
      <c r="K612" s="566"/>
      <c r="L612" s="566"/>
      <c r="M612" s="566"/>
      <c r="N612" s="566"/>
      <c r="O612" s="566"/>
      <c r="P612" s="566"/>
      <c r="Q612" s="566"/>
      <c r="R612" s="566"/>
      <c r="S612" s="566"/>
      <c r="T612" s="566"/>
      <c r="U612" s="566"/>
      <c r="V612" s="566"/>
      <c r="W612" s="566"/>
      <c r="X612" s="566"/>
      <c r="Y612" s="566"/>
      <c r="Z612" s="566"/>
      <c r="AA612" s="566"/>
      <c r="AB612" s="566"/>
      <c r="AC612" s="566"/>
      <c r="AD612" s="566"/>
      <c r="AE612" s="566"/>
      <c r="AF612" s="566"/>
      <c r="AG612" s="566"/>
      <c r="AH612" s="566"/>
      <c r="AI612" s="566"/>
      <c r="AJ612" s="566"/>
      <c r="AK612" s="566"/>
      <c r="AL612" s="566"/>
      <c r="AM612" s="566"/>
      <c r="AN612" s="566"/>
      <c r="AO612" s="566"/>
    </row>
    <row r="613" spans="2:41" x14ac:dyDescent="0.15">
      <c r="B613" s="567">
        <v>29</v>
      </c>
      <c r="C613" s="566">
        <v>1</v>
      </c>
      <c r="D613" s="566"/>
      <c r="E613" s="566"/>
      <c r="F613" s="566"/>
      <c r="G613" s="566"/>
      <c r="H613" s="566"/>
      <c r="I613" s="566"/>
      <c r="J613" s="566"/>
      <c r="K613" s="566"/>
      <c r="L613" s="566"/>
      <c r="M613" s="566"/>
      <c r="N613" s="566"/>
      <c r="O613" s="566"/>
      <c r="P613" s="566"/>
      <c r="Q613" s="566"/>
      <c r="R613" s="566"/>
      <c r="S613" s="566"/>
      <c r="T613" s="566"/>
      <c r="U613" s="566"/>
      <c r="V613" s="566"/>
      <c r="W613" s="566"/>
      <c r="X613" s="566"/>
      <c r="Y613" s="566"/>
      <c r="Z613" s="566"/>
      <c r="AA613" s="566"/>
      <c r="AB613" s="566"/>
      <c r="AC613" s="566"/>
      <c r="AD613" s="566"/>
      <c r="AE613" s="566"/>
      <c r="AF613" s="566"/>
      <c r="AG613" s="566"/>
      <c r="AH613" s="566"/>
      <c r="AI613" s="566"/>
      <c r="AJ613" s="566"/>
      <c r="AK613" s="566"/>
      <c r="AL613" s="566"/>
      <c r="AM613" s="566"/>
      <c r="AN613" s="566"/>
      <c r="AO613" s="566"/>
    </row>
    <row r="614" spans="2:41" x14ac:dyDescent="0.15">
      <c r="B614" s="567">
        <v>30</v>
      </c>
      <c r="C614" s="566">
        <v>1</v>
      </c>
      <c r="D614" s="566"/>
      <c r="E614" s="566"/>
      <c r="F614" s="566"/>
      <c r="G614" s="566"/>
      <c r="H614" s="566"/>
      <c r="I614" s="566"/>
      <c r="J614" s="566"/>
      <c r="K614" s="566"/>
      <c r="L614" s="566"/>
      <c r="M614" s="566"/>
      <c r="N614" s="566"/>
      <c r="O614" s="566"/>
      <c r="P614" s="566"/>
      <c r="Q614" s="566"/>
      <c r="R614" s="566"/>
      <c r="S614" s="566"/>
      <c r="T614" s="566"/>
      <c r="U614" s="566"/>
      <c r="V614" s="566"/>
      <c r="W614" s="566"/>
      <c r="X614" s="566"/>
      <c r="Y614" s="566"/>
      <c r="Z614" s="566"/>
      <c r="AA614" s="566"/>
      <c r="AB614" s="566"/>
      <c r="AC614" s="566"/>
      <c r="AD614" s="566"/>
      <c r="AE614" s="566"/>
      <c r="AF614" s="566"/>
      <c r="AG614" s="566"/>
      <c r="AH614" s="566"/>
      <c r="AI614" s="566"/>
      <c r="AJ614" s="566"/>
      <c r="AK614" s="566"/>
      <c r="AL614" s="566"/>
      <c r="AM614" s="566"/>
      <c r="AN614" s="566"/>
      <c r="AO614" s="566"/>
    </row>
    <row r="615" spans="2:41" x14ac:dyDescent="0.15">
      <c r="B615" s="567">
        <v>31</v>
      </c>
      <c r="C615" s="566">
        <v>1</v>
      </c>
      <c r="D615" s="566"/>
      <c r="E615" s="566"/>
      <c r="F615" s="566"/>
      <c r="G615" s="566"/>
      <c r="H615" s="566"/>
      <c r="I615" s="566"/>
      <c r="J615" s="566"/>
      <c r="K615" s="566"/>
      <c r="L615" s="566"/>
      <c r="M615" s="566"/>
      <c r="N615" s="566"/>
      <c r="O615" s="566"/>
      <c r="P615" s="566"/>
      <c r="Q615" s="566"/>
      <c r="R615" s="566"/>
      <c r="S615" s="566"/>
      <c r="T615" s="566"/>
      <c r="U615" s="566"/>
      <c r="V615" s="566"/>
      <c r="W615" s="566"/>
      <c r="X615" s="566"/>
      <c r="Y615" s="566"/>
      <c r="Z615" s="566"/>
      <c r="AA615" s="566"/>
      <c r="AB615" s="566"/>
      <c r="AC615" s="566"/>
      <c r="AD615" s="566"/>
      <c r="AE615" s="566"/>
      <c r="AF615" s="566"/>
      <c r="AG615" s="566"/>
      <c r="AH615" s="566"/>
      <c r="AI615" s="566"/>
      <c r="AJ615" s="566"/>
      <c r="AK615" s="566"/>
      <c r="AL615" s="566"/>
      <c r="AM615" s="566"/>
      <c r="AN615" s="566"/>
      <c r="AO615" s="566"/>
    </row>
    <row r="616" spans="2:41" x14ac:dyDescent="0.15">
      <c r="B616" s="567">
        <v>32</v>
      </c>
      <c r="C616" s="566">
        <v>1</v>
      </c>
      <c r="D616" s="566"/>
      <c r="E616" s="566"/>
      <c r="F616" s="566"/>
      <c r="G616" s="566"/>
      <c r="H616" s="566"/>
      <c r="I616" s="566"/>
      <c r="J616" s="566"/>
      <c r="K616" s="566"/>
      <c r="L616" s="566"/>
      <c r="M616" s="566"/>
      <c r="N616" s="566"/>
      <c r="O616" s="566"/>
      <c r="P616" s="566"/>
      <c r="Q616" s="566"/>
      <c r="R616" s="566"/>
      <c r="S616" s="566"/>
      <c r="T616" s="566"/>
      <c r="U616" s="566"/>
      <c r="V616" s="566"/>
      <c r="W616" s="566"/>
      <c r="X616" s="566"/>
      <c r="Y616" s="566"/>
      <c r="Z616" s="566"/>
      <c r="AA616" s="566"/>
      <c r="AB616" s="566"/>
      <c r="AC616" s="566"/>
      <c r="AD616" s="566"/>
      <c r="AE616" s="566"/>
      <c r="AF616" s="566"/>
      <c r="AG616" s="566"/>
      <c r="AH616" s="566"/>
      <c r="AI616" s="566"/>
      <c r="AJ616" s="566"/>
      <c r="AK616" s="566"/>
      <c r="AL616" s="566"/>
      <c r="AM616" s="566"/>
      <c r="AN616" s="566"/>
      <c r="AO616" s="566"/>
    </row>
    <row r="617" spans="2:41" x14ac:dyDescent="0.15">
      <c r="B617" s="567">
        <v>33</v>
      </c>
      <c r="C617" s="566">
        <v>1</v>
      </c>
      <c r="D617" s="566"/>
      <c r="E617" s="566"/>
      <c r="F617" s="566"/>
      <c r="G617" s="566"/>
      <c r="H617" s="566"/>
      <c r="I617" s="566"/>
      <c r="J617" s="566"/>
      <c r="K617" s="566"/>
      <c r="L617" s="566"/>
      <c r="M617" s="566"/>
      <c r="N617" s="566"/>
      <c r="O617" s="566"/>
      <c r="P617" s="566"/>
      <c r="Q617" s="566"/>
      <c r="R617" s="566"/>
      <c r="S617" s="566"/>
      <c r="T617" s="566"/>
      <c r="U617" s="566"/>
      <c r="V617" s="566"/>
      <c r="W617" s="566"/>
      <c r="X617" s="566"/>
      <c r="Y617" s="566"/>
      <c r="Z617" s="566"/>
      <c r="AA617" s="566"/>
      <c r="AB617" s="566"/>
      <c r="AC617" s="566"/>
      <c r="AD617" s="566"/>
      <c r="AE617" s="566"/>
      <c r="AF617" s="566"/>
      <c r="AG617" s="566"/>
      <c r="AH617" s="566"/>
      <c r="AI617" s="566"/>
      <c r="AJ617" s="566"/>
      <c r="AK617" s="566"/>
      <c r="AL617" s="566"/>
      <c r="AM617" s="566"/>
      <c r="AN617" s="566"/>
      <c r="AO617" s="566"/>
    </row>
    <row r="618" spans="2:41" x14ac:dyDescent="0.15">
      <c r="B618" s="567">
        <v>34</v>
      </c>
      <c r="C618" s="566">
        <v>1</v>
      </c>
      <c r="D618" s="566"/>
      <c r="E618" s="566"/>
      <c r="F618" s="566"/>
      <c r="G618" s="566"/>
      <c r="H618" s="566"/>
      <c r="I618" s="566"/>
      <c r="J618" s="566"/>
      <c r="K618" s="566"/>
      <c r="L618" s="566"/>
      <c r="M618" s="566"/>
      <c r="N618" s="566"/>
      <c r="O618" s="566"/>
      <c r="P618" s="566"/>
      <c r="Q618" s="566"/>
      <c r="R618" s="566"/>
      <c r="S618" s="566"/>
      <c r="T618" s="566"/>
      <c r="U618" s="566"/>
      <c r="V618" s="566"/>
      <c r="W618" s="566"/>
      <c r="X618" s="566"/>
      <c r="Y618" s="566"/>
      <c r="Z618" s="566"/>
      <c r="AA618" s="566"/>
      <c r="AB618" s="566"/>
      <c r="AC618" s="566"/>
      <c r="AD618" s="566"/>
      <c r="AE618" s="566"/>
      <c r="AF618" s="566"/>
      <c r="AG618" s="566"/>
      <c r="AH618" s="566"/>
      <c r="AI618" s="566"/>
      <c r="AJ618" s="566"/>
      <c r="AK618" s="566"/>
      <c r="AL618" s="566"/>
      <c r="AM618" s="566"/>
      <c r="AN618" s="566"/>
      <c r="AO618" s="566"/>
    </row>
    <row r="619" spans="2:41" x14ac:dyDescent="0.15">
      <c r="B619" s="567">
        <v>35</v>
      </c>
      <c r="C619" s="566">
        <v>1</v>
      </c>
      <c r="D619" s="566"/>
      <c r="E619" s="566"/>
      <c r="F619" s="566"/>
      <c r="G619" s="566"/>
      <c r="H619" s="566"/>
      <c r="I619" s="566"/>
      <c r="J619" s="566"/>
      <c r="K619" s="566"/>
      <c r="L619" s="566"/>
      <c r="M619" s="566"/>
      <c r="N619" s="566"/>
      <c r="O619" s="566"/>
      <c r="P619" s="566"/>
      <c r="Q619" s="566"/>
      <c r="R619" s="566"/>
      <c r="S619" s="566"/>
      <c r="T619" s="566"/>
      <c r="U619" s="566"/>
      <c r="V619" s="566"/>
      <c r="W619" s="566"/>
      <c r="X619" s="566"/>
      <c r="Y619" s="566"/>
      <c r="Z619" s="566"/>
      <c r="AA619" s="566"/>
      <c r="AB619" s="566"/>
      <c r="AC619" s="566"/>
      <c r="AD619" s="566"/>
      <c r="AE619" s="566"/>
      <c r="AF619" s="566"/>
      <c r="AG619" s="566"/>
      <c r="AH619" s="566"/>
      <c r="AI619" s="566"/>
      <c r="AJ619" s="566"/>
      <c r="AK619" s="566"/>
      <c r="AL619" s="566"/>
      <c r="AM619" s="566"/>
      <c r="AN619" s="566"/>
      <c r="AO619" s="566"/>
    </row>
    <row r="620" spans="2:41" x14ac:dyDescent="0.15">
      <c r="B620" s="567">
        <v>36</v>
      </c>
      <c r="C620" s="566">
        <v>1</v>
      </c>
      <c r="D620" s="566"/>
      <c r="E620" s="566"/>
      <c r="F620" s="566"/>
      <c r="G620" s="566"/>
      <c r="H620" s="566"/>
      <c r="I620" s="566"/>
      <c r="J620" s="566"/>
      <c r="K620" s="566"/>
      <c r="L620" s="566"/>
      <c r="M620" s="566"/>
      <c r="N620" s="566"/>
      <c r="O620" s="566"/>
      <c r="P620" s="566"/>
      <c r="Q620" s="566"/>
      <c r="R620" s="566"/>
      <c r="S620" s="566"/>
      <c r="T620" s="566"/>
      <c r="U620" s="566"/>
      <c r="V620" s="566"/>
      <c r="W620" s="566"/>
      <c r="X620" s="566"/>
      <c r="Y620" s="566"/>
      <c r="Z620" s="566"/>
      <c r="AA620" s="566"/>
      <c r="AB620" s="566"/>
      <c r="AC620" s="566"/>
      <c r="AD620" s="566"/>
      <c r="AE620" s="566"/>
      <c r="AF620" s="566"/>
      <c r="AG620" s="566"/>
      <c r="AH620" s="566"/>
      <c r="AI620" s="566"/>
      <c r="AJ620" s="566"/>
      <c r="AK620" s="566"/>
      <c r="AL620" s="566"/>
      <c r="AM620" s="566"/>
      <c r="AN620" s="566"/>
      <c r="AO620" s="566"/>
    </row>
    <row r="621" spans="2:41" x14ac:dyDescent="0.15">
      <c r="B621" s="567">
        <v>37</v>
      </c>
      <c r="C621" s="566">
        <v>1</v>
      </c>
      <c r="D621" s="566"/>
      <c r="E621" s="566"/>
      <c r="F621" s="566"/>
      <c r="G621" s="566"/>
      <c r="H621" s="566"/>
      <c r="I621" s="566"/>
      <c r="J621" s="566"/>
      <c r="K621" s="566"/>
      <c r="L621" s="566"/>
      <c r="M621" s="566"/>
      <c r="N621" s="566"/>
      <c r="O621" s="566"/>
      <c r="P621" s="566"/>
      <c r="Q621" s="566"/>
      <c r="R621" s="566"/>
      <c r="S621" s="566"/>
      <c r="T621" s="566"/>
      <c r="U621" s="566"/>
      <c r="V621" s="566"/>
      <c r="W621" s="566"/>
      <c r="X621" s="566"/>
      <c r="Y621" s="566"/>
      <c r="Z621" s="566"/>
      <c r="AA621" s="566"/>
      <c r="AB621" s="566"/>
      <c r="AC621" s="566"/>
      <c r="AD621" s="566"/>
      <c r="AE621" s="566"/>
      <c r="AF621" s="566"/>
      <c r="AG621" s="566"/>
      <c r="AH621" s="566"/>
      <c r="AI621" s="566"/>
      <c r="AJ621" s="566"/>
      <c r="AK621" s="566"/>
      <c r="AL621" s="566"/>
      <c r="AM621" s="566"/>
      <c r="AN621" s="566"/>
      <c r="AO621" s="566"/>
    </row>
    <row r="622" spans="2:41" x14ac:dyDescent="0.15">
      <c r="B622" s="567">
        <v>38</v>
      </c>
      <c r="C622" s="566">
        <v>1</v>
      </c>
      <c r="D622" s="566"/>
      <c r="E622" s="566"/>
      <c r="F622" s="566"/>
      <c r="G622" s="566"/>
      <c r="H622" s="566"/>
      <c r="I622" s="566"/>
      <c r="J622" s="566"/>
      <c r="K622" s="566"/>
      <c r="L622" s="566"/>
      <c r="M622" s="566"/>
      <c r="N622" s="566"/>
      <c r="O622" s="566"/>
      <c r="P622" s="566"/>
      <c r="Q622" s="566"/>
      <c r="R622" s="566"/>
      <c r="S622" s="566"/>
      <c r="T622" s="566"/>
      <c r="U622" s="566"/>
      <c r="V622" s="566"/>
      <c r="W622" s="566"/>
      <c r="X622" s="566"/>
      <c r="Y622" s="566"/>
      <c r="Z622" s="566"/>
      <c r="AA622" s="566"/>
      <c r="AB622" s="566"/>
      <c r="AC622" s="566"/>
      <c r="AD622" s="566"/>
      <c r="AE622" s="566"/>
      <c r="AF622" s="566"/>
      <c r="AG622" s="566"/>
      <c r="AH622" s="566"/>
      <c r="AI622" s="566"/>
      <c r="AJ622" s="566"/>
      <c r="AK622" s="566"/>
      <c r="AL622" s="566"/>
      <c r="AM622" s="566"/>
      <c r="AN622" s="566"/>
      <c r="AO622" s="566"/>
    </row>
    <row r="623" spans="2:41" x14ac:dyDescent="0.15">
      <c r="B623" s="567">
        <v>39</v>
      </c>
      <c r="C623" s="566">
        <v>1</v>
      </c>
      <c r="D623" s="566"/>
      <c r="E623" s="566"/>
      <c r="F623" s="566"/>
      <c r="G623" s="566"/>
      <c r="H623" s="566"/>
      <c r="I623" s="566"/>
      <c r="J623" s="566"/>
      <c r="K623" s="566"/>
      <c r="L623" s="566"/>
      <c r="M623" s="566"/>
      <c r="N623" s="566"/>
      <c r="O623" s="566"/>
      <c r="P623" s="566"/>
      <c r="Q623" s="566"/>
      <c r="R623" s="566"/>
      <c r="S623" s="566"/>
      <c r="T623" s="566"/>
      <c r="U623" s="566"/>
      <c r="V623" s="566"/>
      <c r="W623" s="566"/>
      <c r="X623" s="566"/>
      <c r="Y623" s="566"/>
      <c r="Z623" s="566"/>
      <c r="AA623" s="566"/>
      <c r="AB623" s="566"/>
      <c r="AC623" s="566"/>
      <c r="AD623" s="566"/>
      <c r="AE623" s="566"/>
      <c r="AF623" s="566"/>
      <c r="AG623" s="566"/>
      <c r="AH623" s="566"/>
      <c r="AI623" s="566"/>
      <c r="AJ623" s="566"/>
      <c r="AK623" s="566"/>
      <c r="AL623" s="566"/>
      <c r="AM623" s="566"/>
      <c r="AN623" s="566"/>
      <c r="AO623" s="566"/>
    </row>
    <row r="624" spans="2:41" x14ac:dyDescent="0.15">
      <c r="B624" s="568">
        <v>40</v>
      </c>
      <c r="C624" s="566">
        <v>1</v>
      </c>
      <c r="D624" s="566"/>
      <c r="E624" s="566"/>
      <c r="F624" s="566"/>
      <c r="G624" s="566"/>
      <c r="H624" s="566"/>
      <c r="I624" s="566"/>
      <c r="J624" s="566"/>
      <c r="K624" s="566"/>
      <c r="L624" s="566"/>
      <c r="M624" s="566"/>
      <c r="N624" s="566"/>
      <c r="O624" s="566"/>
      <c r="P624" s="566"/>
      <c r="Q624" s="566"/>
      <c r="R624" s="566"/>
      <c r="S624" s="566"/>
      <c r="T624" s="566"/>
      <c r="U624" s="566"/>
      <c r="V624" s="566"/>
      <c r="W624" s="566"/>
      <c r="X624" s="566"/>
      <c r="Y624" s="566"/>
      <c r="Z624" s="566"/>
      <c r="AA624" s="566"/>
      <c r="AB624" s="566"/>
      <c r="AC624" s="566"/>
      <c r="AD624" s="566"/>
      <c r="AE624" s="566"/>
      <c r="AF624" s="566"/>
      <c r="AG624" s="566"/>
      <c r="AH624" s="566"/>
      <c r="AI624" s="566"/>
      <c r="AJ624" s="566"/>
      <c r="AK624" s="566"/>
      <c r="AL624" s="566"/>
      <c r="AM624" s="566"/>
      <c r="AN624" s="566"/>
      <c r="AO624" s="566"/>
    </row>
    <row r="633" spans="2:41" s="563" customFormat="1" ht="14" x14ac:dyDescent="0.15">
      <c r="B633" s="560" t="str" cm="1">
        <f t="array" ref="B633:AO633">TRANSPOSE('Syötä kaupungit KIRJASTOLINKIT!'!$I$1:$I$40)</f>
        <v>MAA 8</v>
      </c>
      <c r="C633" s="564" t="str">
        <v>Riga</v>
      </c>
      <c r="D633" s="564">
        <v>0</v>
      </c>
      <c r="E633" s="564">
        <v>0</v>
      </c>
      <c r="F633" s="564">
        <v>0</v>
      </c>
      <c r="G633" s="564">
        <v>0</v>
      </c>
      <c r="H633" s="564">
        <v>0</v>
      </c>
      <c r="I633" s="564">
        <v>0</v>
      </c>
      <c r="J633" s="564">
        <v>0</v>
      </c>
      <c r="K633" s="564">
        <v>0</v>
      </c>
      <c r="L633" s="564">
        <v>0</v>
      </c>
      <c r="M633" s="564">
        <v>0</v>
      </c>
      <c r="N633" s="564">
        <v>0</v>
      </c>
      <c r="O633" s="564">
        <v>0</v>
      </c>
      <c r="P633" s="564">
        <v>0</v>
      </c>
      <c r="Q633" s="564">
        <v>0</v>
      </c>
      <c r="R633" s="564">
        <v>0</v>
      </c>
      <c r="S633" s="564">
        <v>0</v>
      </c>
      <c r="T633" s="564">
        <v>0</v>
      </c>
      <c r="U633" s="564">
        <v>0</v>
      </c>
      <c r="V633" s="564">
        <v>0</v>
      </c>
      <c r="W633" s="564">
        <v>0</v>
      </c>
      <c r="X633" s="564">
        <v>0</v>
      </c>
      <c r="Y633" s="564">
        <v>0</v>
      </c>
      <c r="Z633" s="564">
        <v>0</v>
      </c>
      <c r="AA633" s="564">
        <v>0</v>
      </c>
      <c r="AB633" s="564">
        <v>0</v>
      </c>
      <c r="AC633" s="564">
        <v>0</v>
      </c>
      <c r="AD633" s="564">
        <v>0</v>
      </c>
      <c r="AE633" s="564">
        <v>0</v>
      </c>
      <c r="AF633" s="564">
        <v>0</v>
      </c>
      <c r="AG633" s="564">
        <v>0</v>
      </c>
      <c r="AH633" s="564">
        <v>0</v>
      </c>
      <c r="AI633" s="564">
        <v>0</v>
      </c>
      <c r="AJ633" s="564">
        <v>0</v>
      </c>
      <c r="AK633" s="564">
        <v>0</v>
      </c>
      <c r="AL633" s="564">
        <v>0</v>
      </c>
      <c r="AM633" s="564">
        <v>0</v>
      </c>
      <c r="AN633" s="564">
        <v>0</v>
      </c>
      <c r="AO633" s="564">
        <v>0</v>
      </c>
    </row>
    <row r="634" spans="2:41" x14ac:dyDescent="0.15">
      <c r="B634" s="565">
        <v>-40</v>
      </c>
      <c r="C634" s="566"/>
      <c r="D634" s="566"/>
      <c r="E634" s="566"/>
      <c r="F634" s="566"/>
      <c r="G634" s="566"/>
      <c r="H634" s="566"/>
      <c r="I634" s="566"/>
      <c r="J634" s="566"/>
      <c r="K634" s="566"/>
      <c r="L634" s="566"/>
      <c r="M634" s="566"/>
      <c r="N634" s="566"/>
      <c r="O634" s="566"/>
      <c r="P634" s="566"/>
      <c r="Q634" s="566"/>
      <c r="R634" s="566"/>
      <c r="S634" s="566"/>
      <c r="T634" s="566"/>
      <c r="U634" s="566"/>
      <c r="V634" s="566"/>
      <c r="W634" s="566"/>
      <c r="X634" s="566"/>
      <c r="Y634" s="566"/>
      <c r="Z634" s="566"/>
      <c r="AA634" s="566"/>
      <c r="AB634" s="566"/>
      <c r="AC634" s="566"/>
      <c r="AD634" s="566"/>
      <c r="AE634" s="566"/>
      <c r="AF634" s="566"/>
      <c r="AG634" s="566"/>
      <c r="AH634" s="566"/>
      <c r="AI634" s="566"/>
      <c r="AJ634" s="566"/>
      <c r="AK634" s="566"/>
      <c r="AL634" s="566"/>
      <c r="AM634" s="566"/>
      <c r="AN634" s="566"/>
      <c r="AO634" s="566"/>
    </row>
    <row r="635" spans="2:41" x14ac:dyDescent="0.15">
      <c r="B635" s="567">
        <v>-39</v>
      </c>
      <c r="C635" s="566"/>
      <c r="D635" s="566"/>
      <c r="E635" s="566"/>
      <c r="F635" s="566"/>
      <c r="G635" s="566"/>
      <c r="H635" s="566"/>
      <c r="I635" s="566"/>
      <c r="J635" s="566"/>
      <c r="K635" s="566"/>
      <c r="L635" s="566"/>
      <c r="M635" s="566"/>
      <c r="N635" s="566"/>
      <c r="O635" s="566"/>
      <c r="P635" s="566"/>
      <c r="Q635" s="566"/>
      <c r="R635" s="566"/>
      <c r="S635" s="566"/>
      <c r="T635" s="566"/>
      <c r="U635" s="566"/>
      <c r="V635" s="566"/>
      <c r="W635" s="566"/>
      <c r="X635" s="566"/>
      <c r="Y635" s="566"/>
      <c r="Z635" s="566"/>
      <c r="AA635" s="566"/>
      <c r="AB635" s="566"/>
      <c r="AC635" s="566"/>
      <c r="AD635" s="566"/>
      <c r="AE635" s="566"/>
      <c r="AF635" s="566"/>
      <c r="AG635" s="566"/>
      <c r="AH635" s="566"/>
      <c r="AI635" s="566"/>
      <c r="AJ635" s="566"/>
      <c r="AK635" s="566"/>
      <c r="AL635" s="566"/>
      <c r="AM635" s="566"/>
      <c r="AN635" s="566"/>
      <c r="AO635" s="566"/>
    </row>
    <row r="636" spans="2:41" x14ac:dyDescent="0.15">
      <c r="B636" s="567">
        <v>-38</v>
      </c>
      <c r="C636" s="566"/>
      <c r="D636" s="566"/>
      <c r="E636" s="566"/>
      <c r="F636" s="566"/>
      <c r="G636" s="566"/>
      <c r="H636" s="566"/>
      <c r="I636" s="566"/>
      <c r="J636" s="566"/>
      <c r="K636" s="566"/>
      <c r="L636" s="566"/>
      <c r="M636" s="566"/>
      <c r="N636" s="566"/>
      <c r="O636" s="566"/>
      <c r="P636" s="566"/>
      <c r="Q636" s="566"/>
      <c r="R636" s="566"/>
      <c r="S636" s="566"/>
      <c r="T636" s="566"/>
      <c r="U636" s="566"/>
      <c r="V636" s="566"/>
      <c r="W636" s="566"/>
      <c r="X636" s="566"/>
      <c r="Y636" s="566"/>
      <c r="Z636" s="566"/>
      <c r="AA636" s="566"/>
      <c r="AB636" s="566"/>
      <c r="AC636" s="566"/>
      <c r="AD636" s="566"/>
      <c r="AE636" s="566"/>
      <c r="AF636" s="566"/>
      <c r="AG636" s="566"/>
      <c r="AH636" s="566"/>
      <c r="AI636" s="566"/>
      <c r="AJ636" s="566"/>
      <c r="AK636" s="566"/>
      <c r="AL636" s="566"/>
      <c r="AM636" s="566"/>
      <c r="AN636" s="566"/>
      <c r="AO636" s="566"/>
    </row>
    <row r="637" spans="2:41" x14ac:dyDescent="0.15">
      <c r="B637" s="567">
        <v>-37</v>
      </c>
      <c r="C637" s="566"/>
      <c r="D637" s="566"/>
      <c r="E637" s="566"/>
      <c r="F637" s="566"/>
      <c r="G637" s="566"/>
      <c r="H637" s="566"/>
      <c r="I637" s="566"/>
      <c r="J637" s="566"/>
      <c r="K637" s="566"/>
      <c r="L637" s="566"/>
      <c r="M637" s="566"/>
      <c r="N637" s="566"/>
      <c r="O637" s="566"/>
      <c r="P637" s="566"/>
      <c r="Q637" s="566"/>
      <c r="R637" s="566"/>
      <c r="S637" s="566"/>
      <c r="T637" s="566"/>
      <c r="U637" s="566"/>
      <c r="V637" s="566"/>
      <c r="W637" s="566"/>
      <c r="X637" s="566"/>
      <c r="Y637" s="566"/>
      <c r="Z637" s="566"/>
      <c r="AA637" s="566"/>
      <c r="AB637" s="566"/>
      <c r="AC637" s="566"/>
      <c r="AD637" s="566"/>
      <c r="AE637" s="566"/>
      <c r="AF637" s="566"/>
      <c r="AG637" s="566"/>
      <c r="AH637" s="566"/>
      <c r="AI637" s="566"/>
      <c r="AJ637" s="566"/>
      <c r="AK637" s="566"/>
      <c r="AL637" s="566"/>
      <c r="AM637" s="566"/>
      <c r="AN637" s="566"/>
      <c r="AO637" s="566"/>
    </row>
    <row r="638" spans="2:41" x14ac:dyDescent="0.15">
      <c r="B638" s="567">
        <v>-36</v>
      </c>
      <c r="C638" s="566"/>
      <c r="D638" s="566"/>
      <c r="E638" s="566"/>
      <c r="F638" s="566"/>
      <c r="G638" s="566"/>
      <c r="H638" s="566"/>
      <c r="I638" s="566"/>
      <c r="J638" s="566"/>
      <c r="K638" s="566"/>
      <c r="L638" s="566"/>
      <c r="M638" s="566"/>
      <c r="N638" s="566"/>
      <c r="O638" s="566"/>
      <c r="P638" s="566"/>
      <c r="Q638" s="566"/>
      <c r="R638" s="566"/>
      <c r="S638" s="566"/>
      <c r="T638" s="566"/>
      <c r="U638" s="566"/>
      <c r="V638" s="566"/>
      <c r="W638" s="566"/>
      <c r="X638" s="566"/>
      <c r="Y638" s="566"/>
      <c r="Z638" s="566"/>
      <c r="AA638" s="566"/>
      <c r="AB638" s="566"/>
      <c r="AC638" s="566"/>
      <c r="AD638" s="566"/>
      <c r="AE638" s="566"/>
      <c r="AF638" s="566"/>
      <c r="AG638" s="566"/>
      <c r="AH638" s="566"/>
      <c r="AI638" s="566"/>
      <c r="AJ638" s="566"/>
      <c r="AK638" s="566"/>
      <c r="AL638" s="566"/>
      <c r="AM638" s="566"/>
      <c r="AN638" s="566"/>
      <c r="AO638" s="566"/>
    </row>
    <row r="639" spans="2:41" x14ac:dyDescent="0.15">
      <c r="B639" s="567">
        <v>-35</v>
      </c>
      <c r="C639" s="566"/>
      <c r="D639" s="566"/>
      <c r="E639" s="566"/>
      <c r="F639" s="566"/>
      <c r="G639" s="566"/>
      <c r="H639" s="566"/>
      <c r="I639" s="566"/>
      <c r="J639" s="566"/>
      <c r="K639" s="566"/>
      <c r="L639" s="566"/>
      <c r="M639" s="566"/>
      <c r="N639" s="566"/>
      <c r="O639" s="566"/>
      <c r="P639" s="566"/>
      <c r="Q639" s="566"/>
      <c r="R639" s="566"/>
      <c r="S639" s="566"/>
      <c r="T639" s="566"/>
      <c r="U639" s="566"/>
      <c r="V639" s="566"/>
      <c r="W639" s="566"/>
      <c r="X639" s="566"/>
      <c r="Y639" s="566"/>
      <c r="Z639" s="566"/>
      <c r="AA639" s="566"/>
      <c r="AB639" s="566"/>
      <c r="AC639" s="566"/>
      <c r="AD639" s="566"/>
      <c r="AE639" s="566"/>
      <c r="AF639" s="566"/>
      <c r="AG639" s="566"/>
      <c r="AH639" s="566"/>
      <c r="AI639" s="566"/>
      <c r="AJ639" s="566"/>
      <c r="AK639" s="566"/>
      <c r="AL639" s="566"/>
      <c r="AM639" s="566"/>
      <c r="AN639" s="566"/>
      <c r="AO639" s="566"/>
    </row>
    <row r="640" spans="2:41" x14ac:dyDescent="0.15">
      <c r="B640" s="567">
        <v>-34</v>
      </c>
      <c r="C640" s="566"/>
      <c r="D640" s="566"/>
      <c r="E640" s="566"/>
      <c r="F640" s="566"/>
      <c r="G640" s="566"/>
      <c r="H640" s="566"/>
      <c r="I640" s="566"/>
      <c r="J640" s="566"/>
      <c r="K640" s="566"/>
      <c r="L640" s="566"/>
      <c r="M640" s="566"/>
      <c r="N640" s="566"/>
      <c r="O640" s="566"/>
      <c r="P640" s="566"/>
      <c r="Q640" s="566"/>
      <c r="R640" s="566"/>
      <c r="S640" s="566"/>
      <c r="T640" s="566"/>
      <c r="U640" s="566"/>
      <c r="V640" s="566"/>
      <c r="W640" s="566"/>
      <c r="X640" s="566"/>
      <c r="Y640" s="566"/>
      <c r="Z640" s="566"/>
      <c r="AA640" s="566"/>
      <c r="AB640" s="566"/>
      <c r="AC640" s="566"/>
      <c r="AD640" s="566"/>
      <c r="AE640" s="566"/>
      <c r="AF640" s="566"/>
      <c r="AG640" s="566"/>
      <c r="AH640" s="566"/>
      <c r="AI640" s="566"/>
      <c r="AJ640" s="566"/>
      <c r="AK640" s="566"/>
      <c r="AL640" s="566"/>
      <c r="AM640" s="566"/>
      <c r="AN640" s="566"/>
      <c r="AO640" s="566"/>
    </row>
    <row r="641" spans="2:41" x14ac:dyDescent="0.15">
      <c r="B641" s="567">
        <v>-33</v>
      </c>
      <c r="C641" s="566"/>
      <c r="D641" s="566"/>
      <c r="E641" s="566"/>
      <c r="F641" s="566"/>
      <c r="G641" s="566"/>
      <c r="H641" s="566"/>
      <c r="I641" s="566"/>
      <c r="J641" s="566"/>
      <c r="K641" s="566"/>
      <c r="L641" s="566"/>
      <c r="M641" s="566"/>
      <c r="N641" s="566"/>
      <c r="O641" s="566"/>
      <c r="P641" s="566"/>
      <c r="Q641" s="566"/>
      <c r="R641" s="566"/>
      <c r="S641" s="566"/>
      <c r="T641" s="566"/>
      <c r="U641" s="566"/>
      <c r="V641" s="566"/>
      <c r="W641" s="566"/>
      <c r="X641" s="566"/>
      <c r="Y641" s="566"/>
      <c r="Z641" s="566"/>
      <c r="AA641" s="566"/>
      <c r="AB641" s="566"/>
      <c r="AC641" s="566"/>
      <c r="AD641" s="566"/>
      <c r="AE641" s="566"/>
      <c r="AF641" s="566"/>
      <c r="AG641" s="566"/>
      <c r="AH641" s="566"/>
      <c r="AI641" s="566"/>
      <c r="AJ641" s="566"/>
      <c r="AK641" s="566"/>
      <c r="AL641" s="566"/>
      <c r="AM641" s="566"/>
      <c r="AN641" s="566"/>
      <c r="AO641" s="566"/>
    </row>
    <row r="642" spans="2:41" x14ac:dyDescent="0.15">
      <c r="B642" s="567">
        <v>-32</v>
      </c>
      <c r="C642" s="566"/>
      <c r="D642" s="566"/>
      <c r="E642" s="566"/>
      <c r="F642" s="566"/>
      <c r="G642" s="566"/>
      <c r="H642" s="566"/>
      <c r="I642" s="566"/>
      <c r="J642" s="566"/>
      <c r="K642" s="566"/>
      <c r="L642" s="566"/>
      <c r="M642" s="566"/>
      <c r="N642" s="566"/>
      <c r="O642" s="566"/>
      <c r="P642" s="566"/>
      <c r="Q642" s="566"/>
      <c r="R642" s="566"/>
      <c r="S642" s="566"/>
      <c r="T642" s="566"/>
      <c r="U642" s="566"/>
      <c r="V642" s="566"/>
      <c r="W642" s="566"/>
      <c r="X642" s="566"/>
      <c r="Y642" s="566"/>
      <c r="Z642" s="566"/>
      <c r="AA642" s="566"/>
      <c r="AB642" s="566"/>
      <c r="AC642" s="566"/>
      <c r="AD642" s="566"/>
      <c r="AE642" s="566"/>
      <c r="AF642" s="566"/>
      <c r="AG642" s="566"/>
      <c r="AH642" s="566"/>
      <c r="AI642" s="566"/>
      <c r="AJ642" s="566"/>
      <c r="AK642" s="566"/>
      <c r="AL642" s="566"/>
      <c r="AM642" s="566"/>
      <c r="AN642" s="566"/>
      <c r="AO642" s="566"/>
    </row>
    <row r="643" spans="2:41" x14ac:dyDescent="0.15">
      <c r="B643" s="567">
        <v>-31</v>
      </c>
      <c r="C643" s="566"/>
      <c r="D643" s="566"/>
      <c r="E643" s="566"/>
      <c r="F643" s="566"/>
      <c r="G643" s="566"/>
      <c r="H643" s="566"/>
      <c r="I643" s="566"/>
      <c r="J643" s="566"/>
      <c r="K643" s="566"/>
      <c r="L643" s="566"/>
      <c r="M643" s="566"/>
      <c r="N643" s="566"/>
      <c r="O643" s="566"/>
      <c r="P643" s="566"/>
      <c r="Q643" s="566"/>
      <c r="R643" s="566"/>
      <c r="S643" s="566"/>
      <c r="T643" s="566"/>
      <c r="U643" s="566"/>
      <c r="V643" s="566"/>
      <c r="W643" s="566"/>
      <c r="X643" s="566"/>
      <c r="Y643" s="566"/>
      <c r="Z643" s="566"/>
      <c r="AA643" s="566"/>
      <c r="AB643" s="566"/>
      <c r="AC643" s="566"/>
      <c r="AD643" s="566"/>
      <c r="AE643" s="566"/>
      <c r="AF643" s="566"/>
      <c r="AG643" s="566"/>
      <c r="AH643" s="566"/>
      <c r="AI643" s="566"/>
      <c r="AJ643" s="566"/>
      <c r="AK643" s="566"/>
      <c r="AL643" s="566"/>
      <c r="AM643" s="566"/>
      <c r="AN643" s="566"/>
      <c r="AO643" s="566"/>
    </row>
    <row r="644" spans="2:41" x14ac:dyDescent="0.15">
      <c r="B644" s="567">
        <v>-30</v>
      </c>
      <c r="C644" s="566"/>
      <c r="D644" s="566"/>
      <c r="E644" s="566"/>
      <c r="F644" s="566"/>
      <c r="G644" s="566"/>
      <c r="H644" s="566"/>
      <c r="I644" s="566"/>
      <c r="J644" s="566"/>
      <c r="K644" s="566"/>
      <c r="L644" s="566"/>
      <c r="M644" s="566"/>
      <c r="N644" s="566"/>
      <c r="O644" s="566"/>
      <c r="P644" s="566"/>
      <c r="Q644" s="566"/>
      <c r="R644" s="566"/>
      <c r="S644" s="566"/>
      <c r="T644" s="566"/>
      <c r="U644" s="566"/>
      <c r="V644" s="566"/>
      <c r="W644" s="566"/>
      <c r="X644" s="566"/>
      <c r="Y644" s="566"/>
      <c r="Z644" s="566"/>
      <c r="AA644" s="566"/>
      <c r="AB644" s="566"/>
      <c r="AC644" s="566"/>
      <c r="AD644" s="566"/>
      <c r="AE644" s="566"/>
      <c r="AF644" s="566"/>
      <c r="AG644" s="566"/>
      <c r="AH644" s="566"/>
      <c r="AI644" s="566"/>
      <c r="AJ644" s="566"/>
      <c r="AK644" s="566"/>
      <c r="AL644" s="566"/>
      <c r="AM644" s="566"/>
      <c r="AN644" s="566"/>
      <c r="AO644" s="566"/>
    </row>
    <row r="645" spans="2:41" x14ac:dyDescent="0.15">
      <c r="B645" s="567">
        <v>-29</v>
      </c>
      <c r="C645" s="566"/>
      <c r="D645" s="566"/>
      <c r="E645" s="566"/>
      <c r="F645" s="566"/>
      <c r="G645" s="566"/>
      <c r="H645" s="566"/>
      <c r="I645" s="566"/>
      <c r="J645" s="566"/>
      <c r="K645" s="566"/>
      <c r="L645" s="566"/>
      <c r="M645" s="566"/>
      <c r="N645" s="566"/>
      <c r="O645" s="566"/>
      <c r="P645" s="566"/>
      <c r="Q645" s="566"/>
      <c r="R645" s="566"/>
      <c r="S645" s="566"/>
      <c r="T645" s="566"/>
      <c r="U645" s="566"/>
      <c r="V645" s="566"/>
      <c r="W645" s="566"/>
      <c r="X645" s="566"/>
      <c r="Y645" s="566"/>
      <c r="Z645" s="566"/>
      <c r="AA645" s="566"/>
      <c r="AB645" s="566"/>
      <c r="AC645" s="566"/>
      <c r="AD645" s="566"/>
      <c r="AE645" s="566"/>
      <c r="AF645" s="566"/>
      <c r="AG645" s="566"/>
      <c r="AH645" s="566"/>
      <c r="AI645" s="566"/>
      <c r="AJ645" s="566"/>
      <c r="AK645" s="566"/>
      <c r="AL645" s="566"/>
      <c r="AM645" s="566"/>
      <c r="AN645" s="566"/>
      <c r="AO645" s="566"/>
    </row>
    <row r="646" spans="2:41" x14ac:dyDescent="0.15">
      <c r="B646" s="567">
        <v>-28</v>
      </c>
      <c r="C646" s="566"/>
      <c r="D646" s="566"/>
      <c r="E646" s="566"/>
      <c r="F646" s="566"/>
      <c r="G646" s="566"/>
      <c r="H646" s="566"/>
      <c r="I646" s="566"/>
      <c r="J646" s="566"/>
      <c r="K646" s="566"/>
      <c r="L646" s="566"/>
      <c r="M646" s="566"/>
      <c r="N646" s="566"/>
      <c r="O646" s="566"/>
      <c r="P646" s="566"/>
      <c r="Q646" s="566"/>
      <c r="R646" s="566"/>
      <c r="S646" s="566"/>
      <c r="T646" s="566"/>
      <c r="U646" s="566"/>
      <c r="V646" s="566"/>
      <c r="W646" s="566"/>
      <c r="X646" s="566"/>
      <c r="Y646" s="566"/>
      <c r="Z646" s="566"/>
      <c r="AA646" s="566"/>
      <c r="AB646" s="566"/>
      <c r="AC646" s="566"/>
      <c r="AD646" s="566"/>
      <c r="AE646" s="566"/>
      <c r="AF646" s="566"/>
      <c r="AG646" s="566"/>
      <c r="AH646" s="566"/>
      <c r="AI646" s="566"/>
      <c r="AJ646" s="566"/>
      <c r="AK646" s="566"/>
      <c r="AL646" s="566"/>
      <c r="AM646" s="566"/>
      <c r="AN646" s="566"/>
      <c r="AO646" s="566"/>
    </row>
    <row r="647" spans="2:41" x14ac:dyDescent="0.15">
      <c r="B647" s="567">
        <v>-27</v>
      </c>
      <c r="C647" s="566"/>
      <c r="D647" s="566"/>
      <c r="E647" s="566"/>
      <c r="F647" s="566"/>
      <c r="G647" s="566"/>
      <c r="H647" s="566"/>
      <c r="I647" s="566"/>
      <c r="J647" s="566"/>
      <c r="K647" s="566"/>
      <c r="L647" s="566"/>
      <c r="M647" s="566"/>
      <c r="N647" s="566"/>
      <c r="O647" s="566"/>
      <c r="P647" s="566"/>
      <c r="Q647" s="566"/>
      <c r="R647" s="566"/>
      <c r="S647" s="566"/>
      <c r="T647" s="566"/>
      <c r="U647" s="566"/>
      <c r="V647" s="566"/>
      <c r="W647" s="566"/>
      <c r="X647" s="566"/>
      <c r="Y647" s="566"/>
      <c r="Z647" s="566"/>
      <c r="AA647" s="566"/>
      <c r="AB647" s="566"/>
      <c r="AC647" s="566"/>
      <c r="AD647" s="566"/>
      <c r="AE647" s="566"/>
      <c r="AF647" s="566"/>
      <c r="AG647" s="566"/>
      <c r="AH647" s="566"/>
      <c r="AI647" s="566"/>
      <c r="AJ647" s="566"/>
      <c r="AK647" s="566"/>
      <c r="AL647" s="566"/>
      <c r="AM647" s="566"/>
      <c r="AN647" s="566"/>
      <c r="AO647" s="566"/>
    </row>
    <row r="648" spans="2:41" x14ac:dyDescent="0.15">
      <c r="B648" s="567">
        <v>-26</v>
      </c>
      <c r="C648" s="566"/>
      <c r="D648" s="566"/>
      <c r="E648" s="566"/>
      <c r="F648" s="566"/>
      <c r="G648" s="566"/>
      <c r="H648" s="566"/>
      <c r="I648" s="566"/>
      <c r="J648" s="566"/>
      <c r="K648" s="566"/>
      <c r="L648" s="566"/>
      <c r="M648" s="566"/>
      <c r="N648" s="566"/>
      <c r="O648" s="566"/>
      <c r="P648" s="566"/>
      <c r="Q648" s="566"/>
      <c r="R648" s="566"/>
      <c r="S648" s="566"/>
      <c r="T648" s="566"/>
      <c r="U648" s="566"/>
      <c r="V648" s="566"/>
      <c r="W648" s="566"/>
      <c r="X648" s="566"/>
      <c r="Y648" s="566"/>
      <c r="Z648" s="566"/>
      <c r="AA648" s="566"/>
      <c r="AB648" s="566"/>
      <c r="AC648" s="566"/>
      <c r="AD648" s="566"/>
      <c r="AE648" s="566"/>
      <c r="AF648" s="566"/>
      <c r="AG648" s="566"/>
      <c r="AH648" s="566"/>
      <c r="AI648" s="566"/>
      <c r="AJ648" s="566"/>
      <c r="AK648" s="566"/>
      <c r="AL648" s="566"/>
      <c r="AM648" s="566"/>
      <c r="AN648" s="566"/>
      <c r="AO648" s="566"/>
    </row>
    <row r="649" spans="2:41" x14ac:dyDescent="0.15">
      <c r="B649" s="567">
        <v>-25</v>
      </c>
      <c r="C649" s="566"/>
      <c r="D649" s="566"/>
      <c r="E649" s="566"/>
      <c r="F649" s="566"/>
      <c r="G649" s="566"/>
      <c r="H649" s="566"/>
      <c r="I649" s="566"/>
      <c r="J649" s="566"/>
      <c r="K649" s="566"/>
      <c r="L649" s="566"/>
      <c r="M649" s="566"/>
      <c r="N649" s="566"/>
      <c r="O649" s="566"/>
      <c r="P649" s="566"/>
      <c r="Q649" s="566"/>
      <c r="R649" s="566"/>
      <c r="S649" s="566"/>
      <c r="T649" s="566"/>
      <c r="U649" s="566"/>
      <c r="V649" s="566"/>
      <c r="W649" s="566"/>
      <c r="X649" s="566"/>
      <c r="Y649" s="566"/>
      <c r="Z649" s="566"/>
      <c r="AA649" s="566"/>
      <c r="AB649" s="566"/>
      <c r="AC649" s="566"/>
      <c r="AD649" s="566"/>
      <c r="AE649" s="566"/>
      <c r="AF649" s="566"/>
      <c r="AG649" s="566"/>
      <c r="AH649" s="566"/>
      <c r="AI649" s="566"/>
      <c r="AJ649" s="566"/>
      <c r="AK649" s="566"/>
      <c r="AL649" s="566"/>
      <c r="AM649" s="566"/>
      <c r="AN649" s="566"/>
      <c r="AO649" s="566"/>
    </row>
    <row r="650" spans="2:41" x14ac:dyDescent="0.15">
      <c r="B650" s="567">
        <v>-24</v>
      </c>
      <c r="C650" s="566"/>
      <c r="D650" s="566"/>
      <c r="E650" s="566"/>
      <c r="F650" s="566"/>
      <c r="G650" s="566"/>
      <c r="H650" s="566"/>
      <c r="I650" s="566"/>
      <c r="J650" s="566"/>
      <c r="K650" s="566"/>
      <c r="L650" s="566"/>
      <c r="M650" s="566"/>
      <c r="N650" s="566"/>
      <c r="O650" s="566"/>
      <c r="P650" s="566"/>
      <c r="Q650" s="566"/>
      <c r="R650" s="566"/>
      <c r="S650" s="566"/>
      <c r="T650" s="566"/>
      <c r="U650" s="566"/>
      <c r="V650" s="566"/>
      <c r="W650" s="566"/>
      <c r="X650" s="566"/>
      <c r="Y650" s="566"/>
      <c r="Z650" s="566"/>
      <c r="AA650" s="566"/>
      <c r="AB650" s="566"/>
      <c r="AC650" s="566"/>
      <c r="AD650" s="566"/>
      <c r="AE650" s="566"/>
      <c r="AF650" s="566"/>
      <c r="AG650" s="566"/>
      <c r="AH650" s="566"/>
      <c r="AI650" s="566"/>
      <c r="AJ650" s="566"/>
      <c r="AK650" s="566"/>
      <c r="AL650" s="566"/>
      <c r="AM650" s="566"/>
      <c r="AN650" s="566"/>
      <c r="AO650" s="566"/>
    </row>
    <row r="651" spans="2:41" x14ac:dyDescent="0.15">
      <c r="B651" s="567">
        <v>-23</v>
      </c>
      <c r="C651" s="566"/>
      <c r="D651" s="566"/>
      <c r="E651" s="566"/>
      <c r="F651" s="566"/>
      <c r="G651" s="566"/>
      <c r="H651" s="566"/>
      <c r="I651" s="566"/>
      <c r="J651" s="566"/>
      <c r="K651" s="566"/>
      <c r="L651" s="566"/>
      <c r="M651" s="566"/>
      <c r="N651" s="566"/>
      <c r="O651" s="566"/>
      <c r="P651" s="566"/>
      <c r="Q651" s="566"/>
      <c r="R651" s="566"/>
      <c r="S651" s="566"/>
      <c r="T651" s="566"/>
      <c r="U651" s="566"/>
      <c r="V651" s="566"/>
      <c r="W651" s="566"/>
      <c r="X651" s="566"/>
      <c r="Y651" s="566"/>
      <c r="Z651" s="566"/>
      <c r="AA651" s="566"/>
      <c r="AB651" s="566"/>
      <c r="AC651" s="566"/>
      <c r="AD651" s="566"/>
      <c r="AE651" s="566"/>
      <c r="AF651" s="566"/>
      <c r="AG651" s="566"/>
      <c r="AH651" s="566"/>
      <c r="AI651" s="566"/>
      <c r="AJ651" s="566"/>
      <c r="AK651" s="566"/>
      <c r="AL651" s="566"/>
      <c r="AM651" s="566"/>
      <c r="AN651" s="566"/>
      <c r="AO651" s="566"/>
    </row>
    <row r="652" spans="2:41" x14ac:dyDescent="0.15">
      <c r="B652" s="567">
        <v>-22</v>
      </c>
      <c r="C652" s="566"/>
      <c r="D652" s="566"/>
      <c r="E652" s="566"/>
      <c r="F652" s="566"/>
      <c r="G652" s="566"/>
      <c r="H652" s="566"/>
      <c r="I652" s="566"/>
      <c r="J652" s="566"/>
      <c r="K652" s="566"/>
      <c r="L652" s="566"/>
      <c r="M652" s="566"/>
      <c r="N652" s="566"/>
      <c r="O652" s="566"/>
      <c r="P652" s="566"/>
      <c r="Q652" s="566"/>
      <c r="R652" s="566"/>
      <c r="S652" s="566"/>
      <c r="T652" s="566"/>
      <c r="U652" s="566"/>
      <c r="V652" s="566"/>
      <c r="W652" s="566"/>
      <c r="X652" s="566"/>
      <c r="Y652" s="566"/>
      <c r="Z652" s="566"/>
      <c r="AA652" s="566"/>
      <c r="AB652" s="566"/>
      <c r="AC652" s="566"/>
      <c r="AD652" s="566"/>
      <c r="AE652" s="566"/>
      <c r="AF652" s="566"/>
      <c r="AG652" s="566"/>
      <c r="AH652" s="566"/>
      <c r="AI652" s="566"/>
      <c r="AJ652" s="566"/>
      <c r="AK652" s="566"/>
      <c r="AL652" s="566"/>
      <c r="AM652" s="566"/>
      <c r="AN652" s="566"/>
      <c r="AO652" s="566"/>
    </row>
    <row r="653" spans="2:41" x14ac:dyDescent="0.15">
      <c r="B653" s="567">
        <v>-21</v>
      </c>
      <c r="C653" s="566"/>
      <c r="D653" s="566"/>
      <c r="E653" s="566"/>
      <c r="F653" s="566"/>
      <c r="G653" s="566"/>
      <c r="H653" s="566"/>
      <c r="I653" s="566"/>
      <c r="J653" s="566"/>
      <c r="K653" s="566"/>
      <c r="L653" s="566"/>
      <c r="M653" s="566"/>
      <c r="N653" s="566"/>
      <c r="O653" s="566"/>
      <c r="P653" s="566"/>
      <c r="Q653" s="566"/>
      <c r="R653" s="566"/>
      <c r="S653" s="566"/>
      <c r="T653" s="566"/>
      <c r="U653" s="566"/>
      <c r="V653" s="566"/>
      <c r="W653" s="566"/>
      <c r="X653" s="566"/>
      <c r="Y653" s="566"/>
      <c r="Z653" s="566"/>
      <c r="AA653" s="566"/>
      <c r="AB653" s="566"/>
      <c r="AC653" s="566"/>
      <c r="AD653" s="566"/>
      <c r="AE653" s="566"/>
      <c r="AF653" s="566"/>
      <c r="AG653" s="566"/>
      <c r="AH653" s="566"/>
      <c r="AI653" s="566"/>
      <c r="AJ653" s="566"/>
      <c r="AK653" s="566"/>
      <c r="AL653" s="566"/>
      <c r="AM653" s="566"/>
      <c r="AN653" s="566"/>
      <c r="AO653" s="566"/>
    </row>
    <row r="654" spans="2:41" x14ac:dyDescent="0.15">
      <c r="B654" s="567">
        <v>-20</v>
      </c>
      <c r="C654" s="566"/>
      <c r="D654" s="566"/>
      <c r="E654" s="566"/>
      <c r="F654" s="566"/>
      <c r="G654" s="566"/>
      <c r="H654" s="566"/>
      <c r="I654" s="566"/>
      <c r="J654" s="566"/>
      <c r="K654" s="566"/>
      <c r="L654" s="566"/>
      <c r="M654" s="566"/>
      <c r="N654" s="566"/>
      <c r="O654" s="566"/>
      <c r="P654" s="566"/>
      <c r="Q654" s="566"/>
      <c r="R654" s="566"/>
      <c r="S654" s="566"/>
      <c r="T654" s="566"/>
      <c r="U654" s="566"/>
      <c r="V654" s="566"/>
      <c r="W654" s="566"/>
      <c r="X654" s="566"/>
      <c r="Y654" s="566"/>
      <c r="Z654" s="566"/>
      <c r="AA654" s="566"/>
      <c r="AB654" s="566"/>
      <c r="AC654" s="566"/>
      <c r="AD654" s="566"/>
      <c r="AE654" s="566"/>
      <c r="AF654" s="566"/>
      <c r="AG654" s="566"/>
      <c r="AH654" s="566"/>
      <c r="AI654" s="566"/>
      <c r="AJ654" s="566"/>
      <c r="AK654" s="566"/>
      <c r="AL654" s="566"/>
      <c r="AM654" s="566"/>
      <c r="AN654" s="566"/>
      <c r="AO654" s="566"/>
    </row>
    <row r="655" spans="2:41" x14ac:dyDescent="0.15">
      <c r="B655" s="567">
        <v>-19</v>
      </c>
      <c r="C655" s="566"/>
      <c r="D655" s="566"/>
      <c r="E655" s="566"/>
      <c r="F655" s="566"/>
      <c r="G655" s="566"/>
      <c r="H655" s="566"/>
      <c r="I655" s="566"/>
      <c r="J655" s="566"/>
      <c r="K655" s="566"/>
      <c r="L655" s="566"/>
      <c r="M655" s="566"/>
      <c r="N655" s="566"/>
      <c r="O655" s="566"/>
      <c r="P655" s="566"/>
      <c r="Q655" s="566"/>
      <c r="R655" s="566"/>
      <c r="S655" s="566"/>
      <c r="T655" s="566"/>
      <c r="U655" s="566"/>
      <c r="V655" s="566"/>
      <c r="W655" s="566"/>
      <c r="X655" s="566"/>
      <c r="Y655" s="566"/>
      <c r="Z655" s="566"/>
      <c r="AA655" s="566"/>
      <c r="AB655" s="566"/>
      <c r="AC655" s="566"/>
      <c r="AD655" s="566"/>
      <c r="AE655" s="566"/>
      <c r="AF655" s="566"/>
      <c r="AG655" s="566"/>
      <c r="AH655" s="566"/>
      <c r="AI655" s="566"/>
      <c r="AJ655" s="566"/>
      <c r="AK655" s="566"/>
      <c r="AL655" s="566"/>
      <c r="AM655" s="566"/>
      <c r="AN655" s="566"/>
      <c r="AO655" s="566"/>
    </row>
    <row r="656" spans="2:41" x14ac:dyDescent="0.15">
      <c r="B656" s="567">
        <v>-18</v>
      </c>
      <c r="C656" s="566"/>
      <c r="D656" s="566"/>
      <c r="E656" s="566"/>
      <c r="F656" s="566"/>
      <c r="G656" s="566"/>
      <c r="H656" s="566"/>
      <c r="I656" s="566"/>
      <c r="J656" s="566"/>
      <c r="K656" s="566"/>
      <c r="L656" s="566"/>
      <c r="M656" s="566"/>
      <c r="N656" s="566"/>
      <c r="O656" s="566"/>
      <c r="P656" s="566"/>
      <c r="Q656" s="566"/>
      <c r="R656" s="566"/>
      <c r="S656" s="566"/>
      <c r="T656" s="566"/>
      <c r="U656" s="566"/>
      <c r="V656" s="566"/>
      <c r="W656" s="566"/>
      <c r="X656" s="566"/>
      <c r="Y656" s="566"/>
      <c r="Z656" s="566"/>
      <c r="AA656" s="566"/>
      <c r="AB656" s="566"/>
      <c r="AC656" s="566"/>
      <c r="AD656" s="566"/>
      <c r="AE656" s="566"/>
      <c r="AF656" s="566"/>
      <c r="AG656" s="566"/>
      <c r="AH656" s="566"/>
      <c r="AI656" s="566"/>
      <c r="AJ656" s="566"/>
      <c r="AK656" s="566"/>
      <c r="AL656" s="566"/>
      <c r="AM656" s="566"/>
      <c r="AN656" s="566"/>
      <c r="AO656" s="566"/>
    </row>
    <row r="657" spans="2:41" x14ac:dyDescent="0.15">
      <c r="B657" s="567">
        <v>-17</v>
      </c>
      <c r="C657" s="566"/>
      <c r="D657" s="566"/>
      <c r="E657" s="566"/>
      <c r="F657" s="566"/>
      <c r="G657" s="566"/>
      <c r="H657" s="566"/>
      <c r="I657" s="566"/>
      <c r="J657" s="566"/>
      <c r="K657" s="566"/>
      <c r="L657" s="566"/>
      <c r="M657" s="566"/>
      <c r="N657" s="566"/>
      <c r="O657" s="566"/>
      <c r="P657" s="566"/>
      <c r="Q657" s="566"/>
      <c r="R657" s="566"/>
      <c r="S657" s="566"/>
      <c r="T657" s="566"/>
      <c r="U657" s="566"/>
      <c r="V657" s="566"/>
      <c r="W657" s="566"/>
      <c r="X657" s="566"/>
      <c r="Y657" s="566"/>
      <c r="Z657" s="566"/>
      <c r="AA657" s="566"/>
      <c r="AB657" s="566"/>
      <c r="AC657" s="566"/>
      <c r="AD657" s="566"/>
      <c r="AE657" s="566"/>
      <c r="AF657" s="566"/>
      <c r="AG657" s="566"/>
      <c r="AH657" s="566"/>
      <c r="AI657" s="566"/>
      <c r="AJ657" s="566"/>
      <c r="AK657" s="566"/>
      <c r="AL657" s="566"/>
      <c r="AM657" s="566"/>
      <c r="AN657" s="566"/>
      <c r="AO657" s="566"/>
    </row>
    <row r="658" spans="2:41" x14ac:dyDescent="0.15">
      <c r="B658" s="567">
        <v>-16</v>
      </c>
      <c r="C658" s="566"/>
      <c r="D658" s="566"/>
      <c r="E658" s="566"/>
      <c r="F658" s="566"/>
      <c r="G658" s="566"/>
      <c r="H658" s="566"/>
      <c r="I658" s="566"/>
      <c r="J658" s="566"/>
      <c r="K658" s="566"/>
      <c r="L658" s="566"/>
      <c r="M658" s="566"/>
      <c r="N658" s="566"/>
      <c r="O658" s="566"/>
      <c r="P658" s="566"/>
      <c r="Q658" s="566"/>
      <c r="R658" s="566"/>
      <c r="S658" s="566"/>
      <c r="T658" s="566"/>
      <c r="U658" s="566"/>
      <c r="V658" s="566"/>
      <c r="W658" s="566"/>
      <c r="X658" s="566"/>
      <c r="Y658" s="566"/>
      <c r="Z658" s="566"/>
      <c r="AA658" s="566"/>
      <c r="AB658" s="566"/>
      <c r="AC658" s="566"/>
      <c r="AD658" s="566"/>
      <c r="AE658" s="566"/>
      <c r="AF658" s="566"/>
      <c r="AG658" s="566"/>
      <c r="AH658" s="566"/>
      <c r="AI658" s="566"/>
      <c r="AJ658" s="566"/>
      <c r="AK658" s="566"/>
      <c r="AL658" s="566"/>
      <c r="AM658" s="566"/>
      <c r="AN658" s="566"/>
      <c r="AO658" s="566"/>
    </row>
    <row r="659" spans="2:41" x14ac:dyDescent="0.15">
      <c r="B659" s="567">
        <v>-15</v>
      </c>
      <c r="C659" s="566"/>
      <c r="D659" s="566"/>
      <c r="E659" s="566"/>
      <c r="F659" s="566"/>
      <c r="G659" s="566"/>
      <c r="H659" s="566"/>
      <c r="I659" s="566"/>
      <c r="J659" s="566"/>
      <c r="K659" s="566"/>
      <c r="L659" s="566"/>
      <c r="M659" s="566"/>
      <c r="N659" s="566"/>
      <c r="O659" s="566"/>
      <c r="P659" s="566"/>
      <c r="Q659" s="566"/>
      <c r="R659" s="566"/>
      <c r="S659" s="566"/>
      <c r="T659" s="566"/>
      <c r="U659" s="566"/>
      <c r="V659" s="566"/>
      <c r="W659" s="566"/>
      <c r="X659" s="566"/>
      <c r="Y659" s="566"/>
      <c r="Z659" s="566"/>
      <c r="AA659" s="566"/>
      <c r="AB659" s="566"/>
      <c r="AC659" s="566"/>
      <c r="AD659" s="566"/>
      <c r="AE659" s="566"/>
      <c r="AF659" s="566"/>
      <c r="AG659" s="566"/>
      <c r="AH659" s="566"/>
      <c r="AI659" s="566"/>
      <c r="AJ659" s="566"/>
      <c r="AK659" s="566"/>
      <c r="AL659" s="566"/>
      <c r="AM659" s="566"/>
      <c r="AN659" s="566"/>
      <c r="AO659" s="566"/>
    </row>
    <row r="660" spans="2:41" x14ac:dyDescent="0.15">
      <c r="B660" s="567">
        <v>-14</v>
      </c>
      <c r="C660" s="566"/>
      <c r="D660" s="566"/>
      <c r="E660" s="566"/>
      <c r="F660" s="566"/>
      <c r="G660" s="566"/>
      <c r="H660" s="566"/>
      <c r="I660" s="566"/>
      <c r="J660" s="566"/>
      <c r="K660" s="566"/>
      <c r="L660" s="566"/>
      <c r="M660" s="566"/>
      <c r="N660" s="566"/>
      <c r="O660" s="566"/>
      <c r="P660" s="566"/>
      <c r="Q660" s="566"/>
      <c r="R660" s="566"/>
      <c r="S660" s="566"/>
      <c r="T660" s="566"/>
      <c r="U660" s="566"/>
      <c r="V660" s="566"/>
      <c r="W660" s="566"/>
      <c r="X660" s="566"/>
      <c r="Y660" s="566"/>
      <c r="Z660" s="566"/>
      <c r="AA660" s="566"/>
      <c r="AB660" s="566"/>
      <c r="AC660" s="566"/>
      <c r="AD660" s="566"/>
      <c r="AE660" s="566"/>
      <c r="AF660" s="566"/>
      <c r="AG660" s="566"/>
      <c r="AH660" s="566"/>
      <c r="AI660" s="566"/>
      <c r="AJ660" s="566"/>
      <c r="AK660" s="566"/>
      <c r="AL660" s="566"/>
      <c r="AM660" s="566"/>
      <c r="AN660" s="566"/>
      <c r="AO660" s="566"/>
    </row>
    <row r="661" spans="2:41" x14ac:dyDescent="0.15">
      <c r="B661" s="567">
        <v>-13</v>
      </c>
      <c r="C661" s="566"/>
      <c r="D661" s="566"/>
      <c r="E661" s="566"/>
      <c r="F661" s="566"/>
      <c r="G661" s="566"/>
      <c r="H661" s="566"/>
      <c r="I661" s="566"/>
      <c r="J661" s="566"/>
      <c r="K661" s="566"/>
      <c r="L661" s="566"/>
      <c r="M661" s="566"/>
      <c r="N661" s="566"/>
      <c r="O661" s="566"/>
      <c r="P661" s="566"/>
      <c r="Q661" s="566"/>
      <c r="R661" s="566"/>
      <c r="S661" s="566"/>
      <c r="T661" s="566"/>
      <c r="U661" s="566"/>
      <c r="V661" s="566"/>
      <c r="W661" s="566"/>
      <c r="X661" s="566"/>
      <c r="Y661" s="566"/>
      <c r="Z661" s="566"/>
      <c r="AA661" s="566"/>
      <c r="AB661" s="566"/>
      <c r="AC661" s="566"/>
      <c r="AD661" s="566"/>
      <c r="AE661" s="566"/>
      <c r="AF661" s="566"/>
      <c r="AG661" s="566"/>
      <c r="AH661" s="566"/>
      <c r="AI661" s="566"/>
      <c r="AJ661" s="566"/>
      <c r="AK661" s="566"/>
      <c r="AL661" s="566"/>
      <c r="AM661" s="566"/>
      <c r="AN661" s="566"/>
      <c r="AO661" s="566"/>
    </row>
    <row r="662" spans="2:41" x14ac:dyDescent="0.15">
      <c r="B662" s="567">
        <v>-12</v>
      </c>
      <c r="C662" s="566"/>
      <c r="D662" s="566"/>
      <c r="E662" s="566"/>
      <c r="F662" s="566"/>
      <c r="G662" s="566"/>
      <c r="H662" s="566"/>
      <c r="I662" s="566"/>
      <c r="J662" s="566"/>
      <c r="K662" s="566"/>
      <c r="L662" s="566"/>
      <c r="M662" s="566"/>
      <c r="N662" s="566"/>
      <c r="O662" s="566"/>
      <c r="P662" s="566"/>
      <c r="Q662" s="566"/>
      <c r="R662" s="566"/>
      <c r="S662" s="566"/>
      <c r="T662" s="566"/>
      <c r="U662" s="566"/>
      <c r="V662" s="566"/>
      <c r="W662" s="566"/>
      <c r="X662" s="566"/>
      <c r="Y662" s="566"/>
      <c r="Z662" s="566"/>
      <c r="AA662" s="566"/>
      <c r="AB662" s="566"/>
      <c r="AC662" s="566"/>
      <c r="AD662" s="566"/>
      <c r="AE662" s="566"/>
      <c r="AF662" s="566"/>
      <c r="AG662" s="566"/>
      <c r="AH662" s="566"/>
      <c r="AI662" s="566"/>
      <c r="AJ662" s="566"/>
      <c r="AK662" s="566"/>
      <c r="AL662" s="566"/>
      <c r="AM662" s="566"/>
      <c r="AN662" s="566"/>
      <c r="AO662" s="566"/>
    </row>
    <row r="663" spans="2:41" x14ac:dyDescent="0.15">
      <c r="B663" s="567">
        <v>-11</v>
      </c>
      <c r="C663" s="566"/>
      <c r="D663" s="566"/>
      <c r="E663" s="566"/>
      <c r="F663" s="566"/>
      <c r="G663" s="566"/>
      <c r="H663" s="566"/>
      <c r="I663" s="566"/>
      <c r="J663" s="566"/>
      <c r="K663" s="566"/>
      <c r="L663" s="566"/>
      <c r="M663" s="566"/>
      <c r="N663" s="566"/>
      <c r="O663" s="566"/>
      <c r="P663" s="566"/>
      <c r="Q663" s="566"/>
      <c r="R663" s="566"/>
      <c r="S663" s="566"/>
      <c r="T663" s="566"/>
      <c r="U663" s="566"/>
      <c r="V663" s="566"/>
      <c r="W663" s="566"/>
      <c r="X663" s="566"/>
      <c r="Y663" s="566"/>
      <c r="Z663" s="566"/>
      <c r="AA663" s="566"/>
      <c r="AB663" s="566"/>
      <c r="AC663" s="566"/>
      <c r="AD663" s="566"/>
      <c r="AE663" s="566"/>
      <c r="AF663" s="566"/>
      <c r="AG663" s="566"/>
      <c r="AH663" s="566"/>
      <c r="AI663" s="566"/>
      <c r="AJ663" s="566"/>
      <c r="AK663" s="566"/>
      <c r="AL663" s="566"/>
      <c r="AM663" s="566"/>
      <c r="AN663" s="566"/>
      <c r="AO663" s="566"/>
    </row>
    <row r="664" spans="2:41" x14ac:dyDescent="0.15">
      <c r="B664" s="567">
        <v>-10</v>
      </c>
      <c r="C664" s="566"/>
      <c r="D664" s="566"/>
      <c r="E664" s="566"/>
      <c r="F664" s="566"/>
      <c r="G664" s="566"/>
      <c r="H664" s="566"/>
      <c r="I664" s="566"/>
      <c r="J664" s="566"/>
      <c r="K664" s="566"/>
      <c r="L664" s="566"/>
      <c r="M664" s="566"/>
      <c r="N664" s="566"/>
      <c r="O664" s="566"/>
      <c r="P664" s="566"/>
      <c r="Q664" s="566"/>
      <c r="R664" s="566"/>
      <c r="S664" s="566"/>
      <c r="T664" s="566"/>
      <c r="U664" s="566"/>
      <c r="V664" s="566"/>
      <c r="W664" s="566"/>
      <c r="X664" s="566"/>
      <c r="Y664" s="566"/>
      <c r="Z664" s="566"/>
      <c r="AA664" s="566"/>
      <c r="AB664" s="566"/>
      <c r="AC664" s="566"/>
      <c r="AD664" s="566"/>
      <c r="AE664" s="566"/>
      <c r="AF664" s="566"/>
      <c r="AG664" s="566"/>
      <c r="AH664" s="566"/>
      <c r="AI664" s="566"/>
      <c r="AJ664" s="566"/>
      <c r="AK664" s="566"/>
      <c r="AL664" s="566"/>
      <c r="AM664" s="566"/>
      <c r="AN664" s="566"/>
      <c r="AO664" s="566"/>
    </row>
    <row r="665" spans="2:41" x14ac:dyDescent="0.15">
      <c r="B665" s="567">
        <v>-9</v>
      </c>
      <c r="C665" s="566"/>
      <c r="D665" s="566"/>
      <c r="E665" s="566"/>
      <c r="F665" s="566"/>
      <c r="G665" s="566"/>
      <c r="H665" s="566"/>
      <c r="I665" s="566"/>
      <c r="J665" s="566"/>
      <c r="K665" s="566"/>
      <c r="L665" s="566"/>
      <c r="M665" s="566"/>
      <c r="N665" s="566"/>
      <c r="O665" s="566"/>
      <c r="P665" s="566"/>
      <c r="Q665" s="566"/>
      <c r="R665" s="566"/>
      <c r="S665" s="566"/>
      <c r="T665" s="566"/>
      <c r="U665" s="566"/>
      <c r="V665" s="566"/>
      <c r="W665" s="566"/>
      <c r="X665" s="566"/>
      <c r="Y665" s="566"/>
      <c r="Z665" s="566"/>
      <c r="AA665" s="566"/>
      <c r="AB665" s="566"/>
      <c r="AC665" s="566"/>
      <c r="AD665" s="566"/>
      <c r="AE665" s="566"/>
      <c r="AF665" s="566"/>
      <c r="AG665" s="566"/>
      <c r="AH665" s="566"/>
      <c r="AI665" s="566"/>
      <c r="AJ665" s="566"/>
      <c r="AK665" s="566"/>
      <c r="AL665" s="566"/>
      <c r="AM665" s="566"/>
      <c r="AN665" s="566"/>
      <c r="AO665" s="566"/>
    </row>
    <row r="666" spans="2:41" x14ac:dyDescent="0.15">
      <c r="B666" s="567">
        <v>-8</v>
      </c>
      <c r="C666" s="566"/>
      <c r="D666" s="566"/>
      <c r="E666" s="566"/>
      <c r="F666" s="566"/>
      <c r="G666" s="566"/>
      <c r="H666" s="566"/>
      <c r="I666" s="566"/>
      <c r="J666" s="566"/>
      <c r="K666" s="566"/>
      <c r="L666" s="566"/>
      <c r="M666" s="566"/>
      <c r="N666" s="566"/>
      <c r="O666" s="566"/>
      <c r="P666" s="566"/>
      <c r="Q666" s="566"/>
      <c r="R666" s="566"/>
      <c r="S666" s="566"/>
      <c r="T666" s="566"/>
      <c r="U666" s="566"/>
      <c r="V666" s="566"/>
      <c r="W666" s="566"/>
      <c r="X666" s="566"/>
      <c r="Y666" s="566"/>
      <c r="Z666" s="566"/>
      <c r="AA666" s="566"/>
      <c r="AB666" s="566"/>
      <c r="AC666" s="566"/>
      <c r="AD666" s="566"/>
      <c r="AE666" s="566"/>
      <c r="AF666" s="566"/>
      <c r="AG666" s="566"/>
      <c r="AH666" s="566"/>
      <c r="AI666" s="566"/>
      <c r="AJ666" s="566"/>
      <c r="AK666" s="566"/>
      <c r="AL666" s="566"/>
      <c r="AM666" s="566"/>
      <c r="AN666" s="566"/>
      <c r="AO666" s="566"/>
    </row>
    <row r="667" spans="2:41" x14ac:dyDescent="0.15">
      <c r="B667" s="567">
        <v>-7</v>
      </c>
      <c r="C667" s="566"/>
      <c r="D667" s="566"/>
      <c r="E667" s="566"/>
      <c r="F667" s="566"/>
      <c r="G667" s="566"/>
      <c r="H667" s="566"/>
      <c r="I667" s="566"/>
      <c r="J667" s="566"/>
      <c r="K667" s="566"/>
      <c r="L667" s="566"/>
      <c r="M667" s="566"/>
      <c r="N667" s="566"/>
      <c r="O667" s="566"/>
      <c r="P667" s="566"/>
      <c r="Q667" s="566"/>
      <c r="R667" s="566"/>
      <c r="S667" s="566"/>
      <c r="T667" s="566"/>
      <c r="U667" s="566"/>
      <c r="V667" s="566"/>
      <c r="W667" s="566"/>
      <c r="X667" s="566"/>
      <c r="Y667" s="566"/>
      <c r="Z667" s="566"/>
      <c r="AA667" s="566"/>
      <c r="AB667" s="566"/>
      <c r="AC667" s="566"/>
      <c r="AD667" s="566"/>
      <c r="AE667" s="566"/>
      <c r="AF667" s="566"/>
      <c r="AG667" s="566"/>
      <c r="AH667" s="566"/>
      <c r="AI667" s="566"/>
      <c r="AJ667" s="566"/>
      <c r="AK667" s="566"/>
      <c r="AL667" s="566"/>
      <c r="AM667" s="566"/>
      <c r="AN667" s="566"/>
      <c r="AO667" s="566"/>
    </row>
    <row r="668" spans="2:41" x14ac:dyDescent="0.15">
      <c r="B668" s="567">
        <v>-6</v>
      </c>
      <c r="C668" s="566"/>
      <c r="D668" s="566"/>
      <c r="E668" s="566"/>
      <c r="F668" s="566"/>
      <c r="G668" s="566"/>
      <c r="H668" s="566"/>
      <c r="I668" s="566"/>
      <c r="J668" s="566"/>
      <c r="K668" s="566"/>
      <c r="L668" s="566"/>
      <c r="M668" s="566"/>
      <c r="N668" s="566"/>
      <c r="O668" s="566"/>
      <c r="P668" s="566"/>
      <c r="Q668" s="566"/>
      <c r="R668" s="566"/>
      <c r="S668" s="566"/>
      <c r="T668" s="566"/>
      <c r="U668" s="566"/>
      <c r="V668" s="566"/>
      <c r="W668" s="566"/>
      <c r="X668" s="566"/>
      <c r="Y668" s="566"/>
      <c r="Z668" s="566"/>
      <c r="AA668" s="566"/>
      <c r="AB668" s="566"/>
      <c r="AC668" s="566"/>
      <c r="AD668" s="566"/>
      <c r="AE668" s="566"/>
      <c r="AF668" s="566"/>
      <c r="AG668" s="566"/>
      <c r="AH668" s="566"/>
      <c r="AI668" s="566"/>
      <c r="AJ668" s="566"/>
      <c r="AK668" s="566"/>
      <c r="AL668" s="566"/>
      <c r="AM668" s="566"/>
      <c r="AN668" s="566"/>
      <c r="AO668" s="566"/>
    </row>
    <row r="669" spans="2:41" x14ac:dyDescent="0.15">
      <c r="B669" s="567">
        <v>-5</v>
      </c>
      <c r="C669" s="566"/>
      <c r="D669" s="566"/>
      <c r="E669" s="566"/>
      <c r="F669" s="566"/>
      <c r="G669" s="566"/>
      <c r="H669" s="566"/>
      <c r="I669" s="566"/>
      <c r="J669" s="566"/>
      <c r="K669" s="566"/>
      <c r="L669" s="566"/>
      <c r="M669" s="566"/>
      <c r="N669" s="566"/>
      <c r="O669" s="566"/>
      <c r="P669" s="566"/>
      <c r="Q669" s="566"/>
      <c r="R669" s="566"/>
      <c r="S669" s="566"/>
      <c r="T669" s="566"/>
      <c r="U669" s="566"/>
      <c r="V669" s="566"/>
      <c r="W669" s="566"/>
      <c r="X669" s="566"/>
      <c r="Y669" s="566"/>
      <c r="Z669" s="566"/>
      <c r="AA669" s="566"/>
      <c r="AB669" s="566"/>
      <c r="AC669" s="566"/>
      <c r="AD669" s="566"/>
      <c r="AE669" s="566"/>
      <c r="AF669" s="566"/>
      <c r="AG669" s="566"/>
      <c r="AH669" s="566"/>
      <c r="AI669" s="566"/>
      <c r="AJ669" s="566"/>
      <c r="AK669" s="566"/>
      <c r="AL669" s="566"/>
      <c r="AM669" s="566"/>
      <c r="AN669" s="566"/>
      <c r="AO669" s="566"/>
    </row>
    <row r="670" spans="2:41" x14ac:dyDescent="0.15">
      <c r="B670" s="567">
        <v>-4</v>
      </c>
      <c r="C670" s="566"/>
      <c r="D670" s="566"/>
      <c r="E670" s="566"/>
      <c r="F670" s="566"/>
      <c r="G670" s="566"/>
      <c r="H670" s="566"/>
      <c r="I670" s="566"/>
      <c r="J670" s="566"/>
      <c r="K670" s="566"/>
      <c r="L670" s="566"/>
      <c r="M670" s="566"/>
      <c r="N670" s="566"/>
      <c r="O670" s="566"/>
      <c r="P670" s="566"/>
      <c r="Q670" s="566"/>
      <c r="R670" s="566"/>
      <c r="S670" s="566"/>
      <c r="T670" s="566"/>
      <c r="U670" s="566"/>
      <c r="V670" s="566"/>
      <c r="W670" s="566"/>
      <c r="X670" s="566"/>
      <c r="Y670" s="566"/>
      <c r="Z670" s="566"/>
      <c r="AA670" s="566"/>
      <c r="AB670" s="566"/>
      <c r="AC670" s="566"/>
      <c r="AD670" s="566"/>
      <c r="AE670" s="566"/>
      <c r="AF670" s="566"/>
      <c r="AG670" s="566"/>
      <c r="AH670" s="566"/>
      <c r="AI670" s="566"/>
      <c r="AJ670" s="566"/>
      <c r="AK670" s="566"/>
      <c r="AL670" s="566"/>
      <c r="AM670" s="566"/>
      <c r="AN670" s="566"/>
      <c r="AO670" s="566"/>
    </row>
    <row r="671" spans="2:41" x14ac:dyDescent="0.15">
      <c r="B671" s="567">
        <v>-3</v>
      </c>
      <c r="C671" s="566"/>
      <c r="D671" s="566"/>
      <c r="E671" s="566"/>
      <c r="F671" s="566"/>
      <c r="G671" s="566"/>
      <c r="H671" s="566"/>
      <c r="I671" s="566"/>
      <c r="J671" s="566"/>
      <c r="K671" s="566"/>
      <c r="L671" s="566"/>
      <c r="M671" s="566"/>
      <c r="N671" s="566"/>
      <c r="O671" s="566"/>
      <c r="P671" s="566"/>
      <c r="Q671" s="566"/>
      <c r="R671" s="566"/>
      <c r="S671" s="566"/>
      <c r="T671" s="566"/>
      <c r="U671" s="566"/>
      <c r="V671" s="566"/>
      <c r="W671" s="566"/>
      <c r="X671" s="566"/>
      <c r="Y671" s="566"/>
      <c r="Z671" s="566"/>
      <c r="AA671" s="566"/>
      <c r="AB671" s="566"/>
      <c r="AC671" s="566"/>
      <c r="AD671" s="566"/>
      <c r="AE671" s="566"/>
      <c r="AF671" s="566"/>
      <c r="AG671" s="566"/>
      <c r="AH671" s="566"/>
      <c r="AI671" s="566"/>
      <c r="AJ671" s="566"/>
      <c r="AK671" s="566"/>
      <c r="AL671" s="566"/>
      <c r="AM671" s="566"/>
      <c r="AN671" s="566"/>
      <c r="AO671" s="566"/>
    </row>
    <row r="672" spans="2:41" x14ac:dyDescent="0.15">
      <c r="B672" s="567">
        <v>-2</v>
      </c>
      <c r="C672" s="566"/>
      <c r="D672" s="566"/>
      <c r="E672" s="566"/>
      <c r="F672" s="566"/>
      <c r="G672" s="566"/>
      <c r="H672" s="566"/>
      <c r="I672" s="566"/>
      <c r="J672" s="566"/>
      <c r="K672" s="566"/>
      <c r="L672" s="566"/>
      <c r="M672" s="566"/>
      <c r="N672" s="566"/>
      <c r="O672" s="566"/>
      <c r="P672" s="566"/>
      <c r="Q672" s="566"/>
      <c r="R672" s="566"/>
      <c r="S672" s="566"/>
      <c r="T672" s="566"/>
      <c r="U672" s="566"/>
      <c r="V672" s="566"/>
      <c r="W672" s="566"/>
      <c r="X672" s="566"/>
      <c r="Y672" s="566"/>
      <c r="Z672" s="566"/>
      <c r="AA672" s="566"/>
      <c r="AB672" s="566"/>
      <c r="AC672" s="566"/>
      <c r="AD672" s="566"/>
      <c r="AE672" s="566"/>
      <c r="AF672" s="566"/>
      <c r="AG672" s="566"/>
      <c r="AH672" s="566"/>
      <c r="AI672" s="566"/>
      <c r="AJ672" s="566"/>
      <c r="AK672" s="566"/>
      <c r="AL672" s="566"/>
      <c r="AM672" s="566"/>
      <c r="AN672" s="566"/>
      <c r="AO672" s="566"/>
    </row>
    <row r="673" spans="2:41" x14ac:dyDescent="0.15">
      <c r="B673" s="567">
        <v>-1</v>
      </c>
      <c r="C673" s="566"/>
      <c r="D673" s="566"/>
      <c r="E673" s="566"/>
      <c r="F673" s="566"/>
      <c r="G673" s="566"/>
      <c r="H673" s="566"/>
      <c r="I673" s="566"/>
      <c r="J673" s="566"/>
      <c r="K673" s="566"/>
      <c r="L673" s="566"/>
      <c r="M673" s="566"/>
      <c r="N673" s="566"/>
      <c r="O673" s="566"/>
      <c r="P673" s="566"/>
      <c r="Q673" s="566"/>
      <c r="R673" s="566"/>
      <c r="S673" s="566"/>
      <c r="T673" s="566"/>
      <c r="U673" s="566"/>
      <c r="V673" s="566"/>
      <c r="W673" s="566"/>
      <c r="X673" s="566"/>
      <c r="Y673" s="566"/>
      <c r="Z673" s="566"/>
      <c r="AA673" s="566"/>
      <c r="AB673" s="566"/>
      <c r="AC673" s="566"/>
      <c r="AD673" s="566"/>
      <c r="AE673" s="566"/>
      <c r="AF673" s="566"/>
      <c r="AG673" s="566"/>
      <c r="AH673" s="566"/>
      <c r="AI673" s="566"/>
      <c r="AJ673" s="566"/>
      <c r="AK673" s="566"/>
      <c r="AL673" s="566"/>
      <c r="AM673" s="566"/>
      <c r="AN673" s="566"/>
      <c r="AO673" s="566"/>
    </row>
    <row r="674" spans="2:41" x14ac:dyDescent="0.15">
      <c r="B674" s="567">
        <v>0</v>
      </c>
      <c r="C674" s="566"/>
      <c r="D674" s="566"/>
      <c r="E674" s="566"/>
      <c r="F674" s="566"/>
      <c r="G674" s="566"/>
      <c r="H674" s="566"/>
      <c r="I674" s="566"/>
      <c r="J674" s="566"/>
      <c r="K674" s="566"/>
      <c r="L674" s="566"/>
      <c r="M674" s="566"/>
      <c r="N674" s="566"/>
      <c r="O674" s="566"/>
      <c r="P674" s="566"/>
      <c r="Q674" s="566"/>
      <c r="R674" s="566"/>
      <c r="S674" s="566"/>
      <c r="T674" s="566"/>
      <c r="U674" s="566"/>
      <c r="V674" s="566"/>
      <c r="W674" s="566"/>
      <c r="X674" s="566"/>
      <c r="Y674" s="566"/>
      <c r="Z674" s="566"/>
      <c r="AA674" s="566"/>
      <c r="AB674" s="566"/>
      <c r="AC674" s="566"/>
      <c r="AD674" s="566"/>
      <c r="AE674" s="566"/>
      <c r="AF674" s="566"/>
      <c r="AG674" s="566"/>
      <c r="AH674" s="566"/>
      <c r="AI674" s="566"/>
      <c r="AJ674" s="566"/>
      <c r="AK674" s="566"/>
      <c r="AL674" s="566"/>
      <c r="AM674" s="566"/>
      <c r="AN674" s="566"/>
      <c r="AO674" s="566"/>
    </row>
    <row r="675" spans="2:41" x14ac:dyDescent="0.15">
      <c r="B675" s="567">
        <v>1</v>
      </c>
      <c r="C675" s="566"/>
      <c r="D675" s="566"/>
      <c r="E675" s="566"/>
      <c r="F675" s="566"/>
      <c r="G675" s="566"/>
      <c r="H675" s="566"/>
      <c r="I675" s="566"/>
      <c r="J675" s="566"/>
      <c r="K675" s="566"/>
      <c r="L675" s="566"/>
      <c r="M675" s="566"/>
      <c r="N675" s="566"/>
      <c r="O675" s="566"/>
      <c r="P675" s="566"/>
      <c r="Q675" s="566"/>
      <c r="R675" s="566"/>
      <c r="S675" s="566"/>
      <c r="T675" s="566"/>
      <c r="U675" s="566"/>
      <c r="V675" s="566"/>
      <c r="W675" s="566"/>
      <c r="X675" s="566"/>
      <c r="Y675" s="566"/>
      <c r="Z675" s="566"/>
      <c r="AA675" s="566"/>
      <c r="AB675" s="566"/>
      <c r="AC675" s="566"/>
      <c r="AD675" s="566"/>
      <c r="AE675" s="566"/>
      <c r="AF675" s="566"/>
      <c r="AG675" s="566"/>
      <c r="AH675" s="566"/>
      <c r="AI675" s="566"/>
      <c r="AJ675" s="566"/>
      <c r="AK675" s="566"/>
      <c r="AL675" s="566"/>
      <c r="AM675" s="566"/>
      <c r="AN675" s="566"/>
      <c r="AO675" s="566"/>
    </row>
    <row r="676" spans="2:41" x14ac:dyDescent="0.15">
      <c r="B676" s="567">
        <v>2</v>
      </c>
      <c r="C676" s="566"/>
      <c r="D676" s="566"/>
      <c r="E676" s="566"/>
      <c r="F676" s="566"/>
      <c r="G676" s="566"/>
      <c r="H676" s="566"/>
      <c r="I676" s="566"/>
      <c r="J676" s="566"/>
      <c r="K676" s="566"/>
      <c r="L676" s="566"/>
      <c r="M676" s="566"/>
      <c r="N676" s="566"/>
      <c r="O676" s="566"/>
      <c r="P676" s="566"/>
      <c r="Q676" s="566"/>
      <c r="R676" s="566"/>
      <c r="S676" s="566"/>
      <c r="T676" s="566"/>
      <c r="U676" s="566"/>
      <c r="V676" s="566"/>
      <c r="W676" s="566"/>
      <c r="X676" s="566"/>
      <c r="Y676" s="566"/>
      <c r="Z676" s="566"/>
      <c r="AA676" s="566"/>
      <c r="AB676" s="566"/>
      <c r="AC676" s="566"/>
      <c r="AD676" s="566"/>
      <c r="AE676" s="566"/>
      <c r="AF676" s="566"/>
      <c r="AG676" s="566"/>
      <c r="AH676" s="566"/>
      <c r="AI676" s="566"/>
      <c r="AJ676" s="566"/>
      <c r="AK676" s="566"/>
      <c r="AL676" s="566"/>
      <c r="AM676" s="566"/>
      <c r="AN676" s="566"/>
      <c r="AO676" s="566"/>
    </row>
    <row r="677" spans="2:41" x14ac:dyDescent="0.15">
      <c r="B677" s="567">
        <v>3</v>
      </c>
      <c r="C677" s="566"/>
      <c r="D677" s="566"/>
      <c r="E677" s="566"/>
      <c r="F677" s="566"/>
      <c r="G677" s="566"/>
      <c r="H677" s="566"/>
      <c r="I677" s="566"/>
      <c r="J677" s="566"/>
      <c r="K677" s="566"/>
      <c r="L677" s="566"/>
      <c r="M677" s="566"/>
      <c r="N677" s="566"/>
      <c r="O677" s="566"/>
      <c r="P677" s="566"/>
      <c r="Q677" s="566"/>
      <c r="R677" s="566"/>
      <c r="S677" s="566"/>
      <c r="T677" s="566"/>
      <c r="U677" s="566"/>
      <c r="V677" s="566"/>
      <c r="W677" s="566"/>
      <c r="X677" s="566"/>
      <c r="Y677" s="566"/>
      <c r="Z677" s="566"/>
      <c r="AA677" s="566"/>
      <c r="AB677" s="566"/>
      <c r="AC677" s="566"/>
      <c r="AD677" s="566"/>
      <c r="AE677" s="566"/>
      <c r="AF677" s="566"/>
      <c r="AG677" s="566"/>
      <c r="AH677" s="566"/>
      <c r="AI677" s="566"/>
      <c r="AJ677" s="566"/>
      <c r="AK677" s="566"/>
      <c r="AL677" s="566"/>
      <c r="AM677" s="566"/>
      <c r="AN677" s="566"/>
      <c r="AO677" s="566"/>
    </row>
    <row r="678" spans="2:41" x14ac:dyDescent="0.15">
      <c r="B678" s="567">
        <v>4</v>
      </c>
      <c r="C678" s="566"/>
      <c r="D678" s="566"/>
      <c r="E678" s="566"/>
      <c r="F678" s="566"/>
      <c r="G678" s="566"/>
      <c r="H678" s="566"/>
      <c r="I678" s="566"/>
      <c r="J678" s="566"/>
      <c r="K678" s="566"/>
      <c r="L678" s="566"/>
      <c r="M678" s="566"/>
      <c r="N678" s="566"/>
      <c r="O678" s="566"/>
      <c r="P678" s="566"/>
      <c r="Q678" s="566"/>
      <c r="R678" s="566"/>
      <c r="S678" s="566"/>
      <c r="T678" s="566"/>
      <c r="U678" s="566"/>
      <c r="V678" s="566"/>
      <c r="W678" s="566"/>
      <c r="X678" s="566"/>
      <c r="Y678" s="566"/>
      <c r="Z678" s="566"/>
      <c r="AA678" s="566"/>
      <c r="AB678" s="566"/>
      <c r="AC678" s="566"/>
      <c r="AD678" s="566"/>
      <c r="AE678" s="566"/>
      <c r="AF678" s="566"/>
      <c r="AG678" s="566"/>
      <c r="AH678" s="566"/>
      <c r="AI678" s="566"/>
      <c r="AJ678" s="566"/>
      <c r="AK678" s="566"/>
      <c r="AL678" s="566"/>
      <c r="AM678" s="566"/>
      <c r="AN678" s="566"/>
      <c r="AO678" s="566"/>
    </row>
    <row r="679" spans="2:41" x14ac:dyDescent="0.15">
      <c r="B679" s="567">
        <v>5</v>
      </c>
      <c r="C679" s="566"/>
      <c r="D679" s="566"/>
      <c r="E679" s="566"/>
      <c r="F679" s="566"/>
      <c r="G679" s="566"/>
      <c r="H679" s="566"/>
      <c r="I679" s="566"/>
      <c r="J679" s="566"/>
      <c r="K679" s="566"/>
      <c r="L679" s="566"/>
      <c r="M679" s="566"/>
      <c r="N679" s="566"/>
      <c r="O679" s="566"/>
      <c r="P679" s="566"/>
      <c r="Q679" s="566"/>
      <c r="R679" s="566"/>
      <c r="S679" s="566"/>
      <c r="T679" s="566"/>
      <c r="U679" s="566"/>
      <c r="V679" s="566"/>
      <c r="W679" s="566"/>
      <c r="X679" s="566"/>
      <c r="Y679" s="566"/>
      <c r="Z679" s="566"/>
      <c r="AA679" s="566"/>
      <c r="AB679" s="566"/>
      <c r="AC679" s="566"/>
      <c r="AD679" s="566"/>
      <c r="AE679" s="566"/>
      <c r="AF679" s="566"/>
      <c r="AG679" s="566"/>
      <c r="AH679" s="566"/>
      <c r="AI679" s="566"/>
      <c r="AJ679" s="566"/>
      <c r="AK679" s="566"/>
      <c r="AL679" s="566"/>
      <c r="AM679" s="566"/>
      <c r="AN679" s="566"/>
      <c r="AO679" s="566"/>
    </row>
    <row r="680" spans="2:41" x14ac:dyDescent="0.15">
      <c r="B680" s="567">
        <v>6</v>
      </c>
      <c r="C680" s="566"/>
      <c r="D680" s="566"/>
      <c r="E680" s="566"/>
      <c r="F680" s="566"/>
      <c r="G680" s="566"/>
      <c r="H680" s="566"/>
      <c r="I680" s="566"/>
      <c r="J680" s="566"/>
      <c r="K680" s="566"/>
      <c r="L680" s="566"/>
      <c r="M680" s="566"/>
      <c r="N680" s="566"/>
      <c r="O680" s="566"/>
      <c r="P680" s="566"/>
      <c r="Q680" s="566"/>
      <c r="R680" s="566"/>
      <c r="S680" s="566"/>
      <c r="T680" s="566"/>
      <c r="U680" s="566"/>
      <c r="V680" s="566"/>
      <c r="W680" s="566"/>
      <c r="X680" s="566"/>
      <c r="Y680" s="566"/>
      <c r="Z680" s="566"/>
      <c r="AA680" s="566"/>
      <c r="AB680" s="566"/>
      <c r="AC680" s="566"/>
      <c r="AD680" s="566"/>
      <c r="AE680" s="566"/>
      <c r="AF680" s="566"/>
      <c r="AG680" s="566"/>
      <c r="AH680" s="566"/>
      <c r="AI680" s="566"/>
      <c r="AJ680" s="566"/>
      <c r="AK680" s="566"/>
      <c r="AL680" s="566"/>
      <c r="AM680" s="566"/>
      <c r="AN680" s="566"/>
      <c r="AO680" s="566"/>
    </row>
    <row r="681" spans="2:41" x14ac:dyDescent="0.15">
      <c r="B681" s="567">
        <v>7</v>
      </c>
      <c r="C681" s="566"/>
      <c r="D681" s="566"/>
      <c r="E681" s="566"/>
      <c r="F681" s="566"/>
      <c r="G681" s="566"/>
      <c r="H681" s="566"/>
      <c r="I681" s="566"/>
      <c r="J681" s="566"/>
      <c r="K681" s="566"/>
      <c r="L681" s="566"/>
      <c r="M681" s="566"/>
      <c r="N681" s="566"/>
      <c r="O681" s="566"/>
      <c r="P681" s="566"/>
      <c r="Q681" s="566"/>
      <c r="R681" s="566"/>
      <c r="S681" s="566"/>
      <c r="T681" s="566"/>
      <c r="U681" s="566"/>
      <c r="V681" s="566"/>
      <c r="W681" s="566"/>
      <c r="X681" s="566"/>
      <c r="Y681" s="566"/>
      <c r="Z681" s="566"/>
      <c r="AA681" s="566"/>
      <c r="AB681" s="566"/>
      <c r="AC681" s="566"/>
      <c r="AD681" s="566"/>
      <c r="AE681" s="566"/>
      <c r="AF681" s="566"/>
      <c r="AG681" s="566"/>
      <c r="AH681" s="566"/>
      <c r="AI681" s="566"/>
      <c r="AJ681" s="566"/>
      <c r="AK681" s="566"/>
      <c r="AL681" s="566"/>
      <c r="AM681" s="566"/>
      <c r="AN681" s="566"/>
      <c r="AO681" s="566"/>
    </row>
    <row r="682" spans="2:41" x14ac:dyDescent="0.15">
      <c r="B682" s="567">
        <v>8</v>
      </c>
      <c r="C682" s="566"/>
      <c r="D682" s="566"/>
      <c r="E682" s="566"/>
      <c r="F682" s="566"/>
      <c r="G682" s="566"/>
      <c r="H682" s="566"/>
      <c r="I682" s="566"/>
      <c r="J682" s="566"/>
      <c r="K682" s="566"/>
      <c r="L682" s="566"/>
      <c r="M682" s="566"/>
      <c r="N682" s="566"/>
      <c r="O682" s="566"/>
      <c r="P682" s="566"/>
      <c r="Q682" s="566"/>
      <c r="R682" s="566"/>
      <c r="S682" s="566"/>
      <c r="T682" s="566"/>
      <c r="U682" s="566"/>
      <c r="V682" s="566"/>
      <c r="W682" s="566"/>
      <c r="X682" s="566"/>
      <c r="Y682" s="566"/>
      <c r="Z682" s="566"/>
      <c r="AA682" s="566"/>
      <c r="AB682" s="566"/>
      <c r="AC682" s="566"/>
      <c r="AD682" s="566"/>
      <c r="AE682" s="566"/>
      <c r="AF682" s="566"/>
      <c r="AG682" s="566"/>
      <c r="AH682" s="566"/>
      <c r="AI682" s="566"/>
      <c r="AJ682" s="566"/>
      <c r="AK682" s="566"/>
      <c r="AL682" s="566"/>
      <c r="AM682" s="566"/>
      <c r="AN682" s="566"/>
      <c r="AO682" s="566"/>
    </row>
    <row r="683" spans="2:41" x14ac:dyDescent="0.15">
      <c r="B683" s="567">
        <v>9</v>
      </c>
      <c r="C683" s="566"/>
      <c r="D683" s="566"/>
      <c r="E683" s="566"/>
      <c r="F683" s="566"/>
      <c r="G683" s="566"/>
      <c r="H683" s="566"/>
      <c r="I683" s="566"/>
      <c r="J683" s="566"/>
      <c r="K683" s="566"/>
      <c r="L683" s="566"/>
      <c r="M683" s="566"/>
      <c r="N683" s="566"/>
      <c r="O683" s="566"/>
      <c r="P683" s="566"/>
      <c r="Q683" s="566"/>
      <c r="R683" s="566"/>
      <c r="S683" s="566"/>
      <c r="T683" s="566"/>
      <c r="U683" s="566"/>
      <c r="V683" s="566"/>
      <c r="W683" s="566"/>
      <c r="X683" s="566"/>
      <c r="Y683" s="566"/>
      <c r="Z683" s="566"/>
      <c r="AA683" s="566"/>
      <c r="AB683" s="566"/>
      <c r="AC683" s="566"/>
      <c r="AD683" s="566"/>
      <c r="AE683" s="566"/>
      <c r="AF683" s="566"/>
      <c r="AG683" s="566"/>
      <c r="AH683" s="566"/>
      <c r="AI683" s="566"/>
      <c r="AJ683" s="566"/>
      <c r="AK683" s="566"/>
      <c r="AL683" s="566"/>
      <c r="AM683" s="566"/>
      <c r="AN683" s="566"/>
      <c r="AO683" s="566"/>
    </row>
    <row r="684" spans="2:41" x14ac:dyDescent="0.15">
      <c r="B684" s="567">
        <v>10</v>
      </c>
      <c r="C684" s="566"/>
      <c r="D684" s="566"/>
      <c r="E684" s="566"/>
      <c r="F684" s="566"/>
      <c r="G684" s="566"/>
      <c r="H684" s="566"/>
      <c r="I684" s="566"/>
      <c r="J684" s="566"/>
      <c r="K684" s="566"/>
      <c r="L684" s="566"/>
      <c r="M684" s="566"/>
      <c r="N684" s="566"/>
      <c r="O684" s="566"/>
      <c r="P684" s="566"/>
      <c r="Q684" s="566"/>
      <c r="R684" s="566"/>
      <c r="S684" s="566"/>
      <c r="T684" s="566"/>
      <c r="U684" s="566"/>
      <c r="V684" s="566"/>
      <c r="W684" s="566"/>
      <c r="X684" s="566"/>
      <c r="Y684" s="566"/>
      <c r="Z684" s="566"/>
      <c r="AA684" s="566"/>
      <c r="AB684" s="566"/>
      <c r="AC684" s="566"/>
      <c r="AD684" s="566"/>
      <c r="AE684" s="566"/>
      <c r="AF684" s="566"/>
      <c r="AG684" s="566"/>
      <c r="AH684" s="566"/>
      <c r="AI684" s="566"/>
      <c r="AJ684" s="566"/>
      <c r="AK684" s="566"/>
      <c r="AL684" s="566"/>
      <c r="AM684" s="566"/>
      <c r="AN684" s="566"/>
      <c r="AO684" s="566"/>
    </row>
    <row r="685" spans="2:41" x14ac:dyDescent="0.15">
      <c r="B685" s="567">
        <v>11</v>
      </c>
      <c r="C685" s="566"/>
      <c r="D685" s="566"/>
      <c r="E685" s="566"/>
      <c r="F685" s="566"/>
      <c r="G685" s="566"/>
      <c r="H685" s="566"/>
      <c r="I685" s="566"/>
      <c r="J685" s="566"/>
      <c r="K685" s="566"/>
      <c r="L685" s="566"/>
      <c r="M685" s="566"/>
      <c r="N685" s="566"/>
      <c r="O685" s="566"/>
      <c r="P685" s="566"/>
      <c r="Q685" s="566"/>
      <c r="R685" s="566"/>
      <c r="S685" s="566"/>
      <c r="T685" s="566"/>
      <c r="U685" s="566"/>
      <c r="V685" s="566"/>
      <c r="W685" s="566"/>
      <c r="X685" s="566"/>
      <c r="Y685" s="566"/>
      <c r="Z685" s="566"/>
      <c r="AA685" s="566"/>
      <c r="AB685" s="566"/>
      <c r="AC685" s="566"/>
      <c r="AD685" s="566"/>
      <c r="AE685" s="566"/>
      <c r="AF685" s="566"/>
      <c r="AG685" s="566"/>
      <c r="AH685" s="566"/>
      <c r="AI685" s="566"/>
      <c r="AJ685" s="566"/>
      <c r="AK685" s="566"/>
      <c r="AL685" s="566"/>
      <c r="AM685" s="566"/>
      <c r="AN685" s="566"/>
      <c r="AO685" s="566"/>
    </row>
    <row r="686" spans="2:41" x14ac:dyDescent="0.15">
      <c r="B686" s="567">
        <v>12</v>
      </c>
      <c r="C686" s="566"/>
      <c r="D686" s="566"/>
      <c r="E686" s="566"/>
      <c r="F686" s="566"/>
      <c r="G686" s="566"/>
      <c r="H686" s="566"/>
      <c r="I686" s="566"/>
      <c r="J686" s="566"/>
      <c r="K686" s="566"/>
      <c r="L686" s="566"/>
      <c r="M686" s="566"/>
      <c r="N686" s="566"/>
      <c r="O686" s="566"/>
      <c r="P686" s="566"/>
      <c r="Q686" s="566"/>
      <c r="R686" s="566"/>
      <c r="S686" s="566"/>
      <c r="T686" s="566"/>
      <c r="U686" s="566"/>
      <c r="V686" s="566"/>
      <c r="W686" s="566"/>
      <c r="X686" s="566"/>
      <c r="Y686" s="566"/>
      <c r="Z686" s="566"/>
      <c r="AA686" s="566"/>
      <c r="AB686" s="566"/>
      <c r="AC686" s="566"/>
      <c r="AD686" s="566"/>
      <c r="AE686" s="566"/>
      <c r="AF686" s="566"/>
      <c r="AG686" s="566"/>
      <c r="AH686" s="566"/>
      <c r="AI686" s="566"/>
      <c r="AJ686" s="566"/>
      <c r="AK686" s="566"/>
      <c r="AL686" s="566"/>
      <c r="AM686" s="566"/>
      <c r="AN686" s="566"/>
      <c r="AO686" s="566"/>
    </row>
    <row r="687" spans="2:41" x14ac:dyDescent="0.15">
      <c r="B687" s="567">
        <v>13</v>
      </c>
      <c r="C687" s="566"/>
      <c r="D687" s="566"/>
      <c r="E687" s="566"/>
      <c r="F687" s="566"/>
      <c r="G687" s="566"/>
      <c r="H687" s="566"/>
      <c r="I687" s="566"/>
      <c r="J687" s="566"/>
      <c r="K687" s="566"/>
      <c r="L687" s="566"/>
      <c r="M687" s="566"/>
      <c r="N687" s="566"/>
      <c r="O687" s="566"/>
      <c r="P687" s="566"/>
      <c r="Q687" s="566"/>
      <c r="R687" s="566"/>
      <c r="S687" s="566"/>
      <c r="T687" s="566"/>
      <c r="U687" s="566"/>
      <c r="V687" s="566"/>
      <c r="W687" s="566"/>
      <c r="X687" s="566"/>
      <c r="Y687" s="566"/>
      <c r="Z687" s="566"/>
      <c r="AA687" s="566"/>
      <c r="AB687" s="566"/>
      <c r="AC687" s="566"/>
      <c r="AD687" s="566"/>
      <c r="AE687" s="566"/>
      <c r="AF687" s="566"/>
      <c r="AG687" s="566"/>
      <c r="AH687" s="566"/>
      <c r="AI687" s="566"/>
      <c r="AJ687" s="566"/>
      <c r="AK687" s="566"/>
      <c r="AL687" s="566"/>
      <c r="AM687" s="566"/>
      <c r="AN687" s="566"/>
      <c r="AO687" s="566"/>
    </row>
    <row r="688" spans="2:41" x14ac:dyDescent="0.15">
      <c r="B688" s="567">
        <v>14</v>
      </c>
      <c r="C688" s="566"/>
      <c r="D688" s="566"/>
      <c r="E688" s="566"/>
      <c r="F688" s="566"/>
      <c r="G688" s="566"/>
      <c r="H688" s="566"/>
      <c r="I688" s="566"/>
      <c r="J688" s="566"/>
      <c r="K688" s="566"/>
      <c r="L688" s="566"/>
      <c r="M688" s="566"/>
      <c r="N688" s="566"/>
      <c r="O688" s="566"/>
      <c r="P688" s="566"/>
      <c r="Q688" s="566"/>
      <c r="R688" s="566"/>
      <c r="S688" s="566"/>
      <c r="T688" s="566"/>
      <c r="U688" s="566"/>
      <c r="V688" s="566"/>
      <c r="W688" s="566"/>
      <c r="X688" s="566"/>
      <c r="Y688" s="566"/>
      <c r="Z688" s="566"/>
      <c r="AA688" s="566"/>
      <c r="AB688" s="566"/>
      <c r="AC688" s="566"/>
      <c r="AD688" s="566"/>
      <c r="AE688" s="566"/>
      <c r="AF688" s="566"/>
      <c r="AG688" s="566"/>
      <c r="AH688" s="566"/>
      <c r="AI688" s="566"/>
      <c r="AJ688" s="566"/>
      <c r="AK688" s="566"/>
      <c r="AL688" s="566"/>
      <c r="AM688" s="566"/>
      <c r="AN688" s="566"/>
      <c r="AO688" s="566"/>
    </row>
    <row r="689" spans="2:41" x14ac:dyDescent="0.15">
      <c r="B689" s="567">
        <v>15</v>
      </c>
      <c r="C689" s="566"/>
      <c r="D689" s="566"/>
      <c r="E689" s="566"/>
      <c r="F689" s="566"/>
      <c r="G689" s="566"/>
      <c r="H689" s="566"/>
      <c r="I689" s="566"/>
      <c r="J689" s="566"/>
      <c r="K689" s="566"/>
      <c r="L689" s="566"/>
      <c r="M689" s="566"/>
      <c r="N689" s="566"/>
      <c r="O689" s="566"/>
      <c r="P689" s="566"/>
      <c r="Q689" s="566"/>
      <c r="R689" s="566"/>
      <c r="S689" s="566"/>
      <c r="T689" s="566"/>
      <c r="U689" s="566"/>
      <c r="V689" s="566"/>
      <c r="W689" s="566"/>
      <c r="X689" s="566"/>
      <c r="Y689" s="566"/>
      <c r="Z689" s="566"/>
      <c r="AA689" s="566"/>
      <c r="AB689" s="566"/>
      <c r="AC689" s="566"/>
      <c r="AD689" s="566"/>
      <c r="AE689" s="566"/>
      <c r="AF689" s="566"/>
      <c r="AG689" s="566"/>
      <c r="AH689" s="566"/>
      <c r="AI689" s="566"/>
      <c r="AJ689" s="566"/>
      <c r="AK689" s="566"/>
      <c r="AL689" s="566"/>
      <c r="AM689" s="566"/>
      <c r="AN689" s="566"/>
      <c r="AO689" s="566"/>
    </row>
    <row r="690" spans="2:41" x14ac:dyDescent="0.15">
      <c r="B690" s="567">
        <v>16</v>
      </c>
      <c r="C690" s="566"/>
      <c r="D690" s="566"/>
      <c r="E690" s="566"/>
      <c r="F690" s="566"/>
      <c r="G690" s="566"/>
      <c r="H690" s="566"/>
      <c r="I690" s="566"/>
      <c r="J690" s="566"/>
      <c r="K690" s="566"/>
      <c r="L690" s="566"/>
      <c r="M690" s="566"/>
      <c r="N690" s="566"/>
      <c r="O690" s="566"/>
      <c r="P690" s="566"/>
      <c r="Q690" s="566"/>
      <c r="R690" s="566"/>
      <c r="S690" s="566"/>
      <c r="T690" s="566"/>
      <c r="U690" s="566"/>
      <c r="V690" s="566"/>
      <c r="W690" s="566"/>
      <c r="X690" s="566"/>
      <c r="Y690" s="566"/>
      <c r="Z690" s="566"/>
      <c r="AA690" s="566"/>
      <c r="AB690" s="566"/>
      <c r="AC690" s="566"/>
      <c r="AD690" s="566"/>
      <c r="AE690" s="566"/>
      <c r="AF690" s="566"/>
      <c r="AG690" s="566"/>
      <c r="AH690" s="566"/>
      <c r="AI690" s="566"/>
      <c r="AJ690" s="566"/>
      <c r="AK690" s="566"/>
      <c r="AL690" s="566"/>
      <c r="AM690" s="566"/>
      <c r="AN690" s="566"/>
      <c r="AO690" s="566"/>
    </row>
    <row r="691" spans="2:41" x14ac:dyDescent="0.15">
      <c r="B691" s="567">
        <v>17</v>
      </c>
      <c r="C691" s="566"/>
      <c r="D691" s="566"/>
      <c r="E691" s="566"/>
      <c r="F691" s="566"/>
      <c r="G691" s="566"/>
      <c r="H691" s="566"/>
      <c r="I691" s="566"/>
      <c r="J691" s="566"/>
      <c r="K691" s="566"/>
      <c r="L691" s="566"/>
      <c r="M691" s="566"/>
      <c r="N691" s="566"/>
      <c r="O691" s="566"/>
      <c r="P691" s="566"/>
      <c r="Q691" s="566"/>
      <c r="R691" s="566"/>
      <c r="S691" s="566"/>
      <c r="T691" s="566"/>
      <c r="U691" s="566"/>
      <c r="V691" s="566"/>
      <c r="W691" s="566"/>
      <c r="X691" s="566"/>
      <c r="Y691" s="566"/>
      <c r="Z691" s="566"/>
      <c r="AA691" s="566"/>
      <c r="AB691" s="566"/>
      <c r="AC691" s="566"/>
      <c r="AD691" s="566"/>
      <c r="AE691" s="566"/>
      <c r="AF691" s="566"/>
      <c r="AG691" s="566"/>
      <c r="AH691" s="566"/>
      <c r="AI691" s="566"/>
      <c r="AJ691" s="566"/>
      <c r="AK691" s="566"/>
      <c r="AL691" s="566"/>
      <c r="AM691" s="566"/>
      <c r="AN691" s="566"/>
      <c r="AO691" s="566"/>
    </row>
    <row r="692" spans="2:41" x14ac:dyDescent="0.15">
      <c r="B692" s="567">
        <v>18</v>
      </c>
      <c r="C692" s="566"/>
      <c r="D692" s="566"/>
      <c r="E692" s="566"/>
      <c r="F692" s="566"/>
      <c r="G692" s="566"/>
      <c r="H692" s="566"/>
      <c r="I692" s="566"/>
      <c r="J692" s="566"/>
      <c r="K692" s="566"/>
      <c r="L692" s="566"/>
      <c r="M692" s="566"/>
      <c r="N692" s="566"/>
      <c r="O692" s="566"/>
      <c r="P692" s="566"/>
      <c r="Q692" s="566"/>
      <c r="R692" s="566"/>
      <c r="S692" s="566"/>
      <c r="T692" s="566"/>
      <c r="U692" s="566"/>
      <c r="V692" s="566"/>
      <c r="W692" s="566"/>
      <c r="X692" s="566"/>
      <c r="Y692" s="566"/>
      <c r="Z692" s="566"/>
      <c r="AA692" s="566"/>
      <c r="AB692" s="566"/>
      <c r="AC692" s="566"/>
      <c r="AD692" s="566"/>
      <c r="AE692" s="566"/>
      <c r="AF692" s="566"/>
      <c r="AG692" s="566"/>
      <c r="AH692" s="566"/>
      <c r="AI692" s="566"/>
      <c r="AJ692" s="566"/>
      <c r="AK692" s="566"/>
      <c r="AL692" s="566"/>
      <c r="AM692" s="566"/>
      <c r="AN692" s="566"/>
      <c r="AO692" s="566"/>
    </row>
    <row r="693" spans="2:41" x14ac:dyDescent="0.15">
      <c r="B693" s="567">
        <v>19</v>
      </c>
      <c r="C693" s="566"/>
      <c r="D693" s="566"/>
      <c r="E693" s="566"/>
      <c r="F693" s="566"/>
      <c r="G693" s="566"/>
      <c r="H693" s="566"/>
      <c r="I693" s="566"/>
      <c r="J693" s="566"/>
      <c r="K693" s="566"/>
      <c r="L693" s="566"/>
      <c r="M693" s="566"/>
      <c r="N693" s="566"/>
      <c r="O693" s="566"/>
      <c r="P693" s="566"/>
      <c r="Q693" s="566"/>
      <c r="R693" s="566"/>
      <c r="S693" s="566"/>
      <c r="T693" s="566"/>
      <c r="U693" s="566"/>
      <c r="V693" s="566"/>
      <c r="W693" s="566"/>
      <c r="X693" s="566"/>
      <c r="Y693" s="566"/>
      <c r="Z693" s="566"/>
      <c r="AA693" s="566"/>
      <c r="AB693" s="566"/>
      <c r="AC693" s="566"/>
      <c r="AD693" s="566"/>
      <c r="AE693" s="566"/>
      <c r="AF693" s="566"/>
      <c r="AG693" s="566"/>
      <c r="AH693" s="566"/>
      <c r="AI693" s="566"/>
      <c r="AJ693" s="566"/>
      <c r="AK693" s="566"/>
      <c r="AL693" s="566"/>
      <c r="AM693" s="566"/>
      <c r="AN693" s="566"/>
      <c r="AO693" s="566"/>
    </row>
    <row r="694" spans="2:41" x14ac:dyDescent="0.15">
      <c r="B694" s="567">
        <v>20</v>
      </c>
      <c r="C694" s="566"/>
      <c r="D694" s="566"/>
      <c r="E694" s="566"/>
      <c r="F694" s="566"/>
      <c r="G694" s="566"/>
      <c r="H694" s="566"/>
      <c r="I694" s="566"/>
      <c r="J694" s="566"/>
      <c r="K694" s="566"/>
      <c r="L694" s="566"/>
      <c r="M694" s="566"/>
      <c r="N694" s="566"/>
      <c r="O694" s="566"/>
      <c r="P694" s="566"/>
      <c r="Q694" s="566"/>
      <c r="R694" s="566"/>
      <c r="S694" s="566"/>
      <c r="T694" s="566"/>
      <c r="U694" s="566"/>
      <c r="V694" s="566"/>
      <c r="W694" s="566"/>
      <c r="X694" s="566"/>
      <c r="Y694" s="566"/>
      <c r="Z694" s="566"/>
      <c r="AA694" s="566"/>
      <c r="AB694" s="566"/>
      <c r="AC694" s="566"/>
      <c r="AD694" s="566"/>
      <c r="AE694" s="566"/>
      <c r="AF694" s="566"/>
      <c r="AG694" s="566"/>
      <c r="AH694" s="566"/>
      <c r="AI694" s="566"/>
      <c r="AJ694" s="566"/>
      <c r="AK694" s="566"/>
      <c r="AL694" s="566"/>
      <c r="AM694" s="566"/>
      <c r="AN694" s="566"/>
      <c r="AO694" s="566"/>
    </row>
    <row r="695" spans="2:41" x14ac:dyDescent="0.15">
      <c r="B695" s="567">
        <v>21</v>
      </c>
      <c r="C695" s="566"/>
      <c r="D695" s="566"/>
      <c r="E695" s="566"/>
      <c r="F695" s="566"/>
      <c r="G695" s="566"/>
      <c r="H695" s="566"/>
      <c r="I695" s="566"/>
      <c r="J695" s="566"/>
      <c r="K695" s="566"/>
      <c r="L695" s="566"/>
      <c r="M695" s="566"/>
      <c r="N695" s="566"/>
      <c r="O695" s="566"/>
      <c r="P695" s="566"/>
      <c r="Q695" s="566"/>
      <c r="R695" s="566"/>
      <c r="S695" s="566"/>
      <c r="T695" s="566"/>
      <c r="U695" s="566"/>
      <c r="V695" s="566"/>
      <c r="W695" s="566"/>
      <c r="X695" s="566"/>
      <c r="Y695" s="566"/>
      <c r="Z695" s="566"/>
      <c r="AA695" s="566"/>
      <c r="AB695" s="566"/>
      <c r="AC695" s="566"/>
      <c r="AD695" s="566"/>
      <c r="AE695" s="566"/>
      <c r="AF695" s="566"/>
      <c r="AG695" s="566"/>
      <c r="AH695" s="566"/>
      <c r="AI695" s="566"/>
      <c r="AJ695" s="566"/>
      <c r="AK695" s="566"/>
      <c r="AL695" s="566"/>
      <c r="AM695" s="566"/>
      <c r="AN695" s="566"/>
      <c r="AO695" s="566"/>
    </row>
    <row r="696" spans="2:41" x14ac:dyDescent="0.15">
      <c r="B696" s="567">
        <v>22</v>
      </c>
      <c r="C696" s="566"/>
      <c r="D696" s="566"/>
      <c r="E696" s="566"/>
      <c r="F696" s="566"/>
      <c r="G696" s="566"/>
      <c r="H696" s="566"/>
      <c r="I696" s="566"/>
      <c r="J696" s="566"/>
      <c r="K696" s="566"/>
      <c r="L696" s="566"/>
      <c r="M696" s="566"/>
      <c r="N696" s="566"/>
      <c r="O696" s="566"/>
      <c r="P696" s="566"/>
      <c r="Q696" s="566"/>
      <c r="R696" s="566"/>
      <c r="S696" s="566"/>
      <c r="T696" s="566"/>
      <c r="U696" s="566"/>
      <c r="V696" s="566"/>
      <c r="W696" s="566"/>
      <c r="X696" s="566"/>
      <c r="Y696" s="566"/>
      <c r="Z696" s="566"/>
      <c r="AA696" s="566"/>
      <c r="AB696" s="566"/>
      <c r="AC696" s="566"/>
      <c r="AD696" s="566"/>
      <c r="AE696" s="566"/>
      <c r="AF696" s="566"/>
      <c r="AG696" s="566"/>
      <c r="AH696" s="566"/>
      <c r="AI696" s="566"/>
      <c r="AJ696" s="566"/>
      <c r="AK696" s="566"/>
      <c r="AL696" s="566"/>
      <c r="AM696" s="566"/>
      <c r="AN696" s="566"/>
      <c r="AO696" s="566"/>
    </row>
    <row r="697" spans="2:41" x14ac:dyDescent="0.15">
      <c r="B697" s="567">
        <v>23</v>
      </c>
      <c r="C697" s="566"/>
      <c r="D697" s="566"/>
      <c r="E697" s="566"/>
      <c r="F697" s="566"/>
      <c r="G697" s="566"/>
      <c r="H697" s="566"/>
      <c r="I697" s="566"/>
      <c r="J697" s="566"/>
      <c r="K697" s="566"/>
      <c r="L697" s="566"/>
      <c r="M697" s="566"/>
      <c r="N697" s="566"/>
      <c r="O697" s="566"/>
      <c r="P697" s="566"/>
      <c r="Q697" s="566"/>
      <c r="R697" s="566"/>
      <c r="S697" s="566"/>
      <c r="T697" s="566"/>
      <c r="U697" s="566"/>
      <c r="V697" s="566"/>
      <c r="W697" s="566"/>
      <c r="X697" s="566"/>
      <c r="Y697" s="566"/>
      <c r="Z697" s="566"/>
      <c r="AA697" s="566"/>
      <c r="AB697" s="566"/>
      <c r="AC697" s="566"/>
      <c r="AD697" s="566"/>
      <c r="AE697" s="566"/>
      <c r="AF697" s="566"/>
      <c r="AG697" s="566"/>
      <c r="AH697" s="566"/>
      <c r="AI697" s="566"/>
      <c r="AJ697" s="566"/>
      <c r="AK697" s="566"/>
      <c r="AL697" s="566"/>
      <c r="AM697" s="566"/>
      <c r="AN697" s="566"/>
      <c r="AO697" s="566"/>
    </row>
    <row r="698" spans="2:41" x14ac:dyDescent="0.15">
      <c r="B698" s="567">
        <v>24</v>
      </c>
      <c r="C698" s="566"/>
      <c r="D698" s="566"/>
      <c r="E698" s="566"/>
      <c r="F698" s="566"/>
      <c r="G698" s="566"/>
      <c r="H698" s="566"/>
      <c r="I698" s="566"/>
      <c r="J698" s="566"/>
      <c r="K698" s="566"/>
      <c r="L698" s="566"/>
      <c r="M698" s="566"/>
      <c r="N698" s="566"/>
      <c r="O698" s="566"/>
      <c r="P698" s="566"/>
      <c r="Q698" s="566"/>
      <c r="R698" s="566"/>
      <c r="S698" s="566"/>
      <c r="T698" s="566"/>
      <c r="U698" s="566"/>
      <c r="V698" s="566"/>
      <c r="W698" s="566"/>
      <c r="X698" s="566"/>
      <c r="Y698" s="566"/>
      <c r="Z698" s="566"/>
      <c r="AA698" s="566"/>
      <c r="AB698" s="566"/>
      <c r="AC698" s="566"/>
      <c r="AD698" s="566"/>
      <c r="AE698" s="566"/>
      <c r="AF698" s="566"/>
      <c r="AG698" s="566"/>
      <c r="AH698" s="566"/>
      <c r="AI698" s="566"/>
      <c r="AJ698" s="566"/>
      <c r="AK698" s="566"/>
      <c r="AL698" s="566"/>
      <c r="AM698" s="566"/>
      <c r="AN698" s="566"/>
      <c r="AO698" s="566"/>
    </row>
    <row r="699" spans="2:41" x14ac:dyDescent="0.15">
      <c r="B699" s="567">
        <v>25</v>
      </c>
      <c r="C699" s="566"/>
      <c r="D699" s="566"/>
      <c r="E699" s="566"/>
      <c r="F699" s="566"/>
      <c r="G699" s="566"/>
      <c r="H699" s="566"/>
      <c r="I699" s="566"/>
      <c r="J699" s="566"/>
      <c r="K699" s="566"/>
      <c r="L699" s="566"/>
      <c r="M699" s="566"/>
      <c r="N699" s="566"/>
      <c r="O699" s="566"/>
      <c r="P699" s="566"/>
      <c r="Q699" s="566"/>
      <c r="R699" s="566"/>
      <c r="S699" s="566"/>
      <c r="T699" s="566"/>
      <c r="U699" s="566"/>
      <c r="V699" s="566"/>
      <c r="W699" s="566"/>
      <c r="X699" s="566"/>
      <c r="Y699" s="566"/>
      <c r="Z699" s="566"/>
      <c r="AA699" s="566"/>
      <c r="AB699" s="566"/>
      <c r="AC699" s="566"/>
      <c r="AD699" s="566"/>
      <c r="AE699" s="566"/>
      <c r="AF699" s="566"/>
      <c r="AG699" s="566"/>
      <c r="AH699" s="566"/>
      <c r="AI699" s="566"/>
      <c r="AJ699" s="566"/>
      <c r="AK699" s="566"/>
      <c r="AL699" s="566"/>
      <c r="AM699" s="566"/>
      <c r="AN699" s="566"/>
      <c r="AO699" s="566"/>
    </row>
    <row r="700" spans="2:41" x14ac:dyDescent="0.15">
      <c r="B700" s="567">
        <v>26</v>
      </c>
      <c r="C700" s="566"/>
      <c r="D700" s="566"/>
      <c r="E700" s="566"/>
      <c r="F700" s="566"/>
      <c r="G700" s="566"/>
      <c r="H700" s="566"/>
      <c r="I700" s="566"/>
      <c r="J700" s="566"/>
      <c r="K700" s="566"/>
      <c r="L700" s="566"/>
      <c r="M700" s="566"/>
      <c r="N700" s="566"/>
      <c r="O700" s="566"/>
      <c r="P700" s="566"/>
      <c r="Q700" s="566"/>
      <c r="R700" s="566"/>
      <c r="S700" s="566"/>
      <c r="T700" s="566"/>
      <c r="U700" s="566"/>
      <c r="V700" s="566"/>
      <c r="W700" s="566"/>
      <c r="X700" s="566"/>
      <c r="Y700" s="566"/>
      <c r="Z700" s="566"/>
      <c r="AA700" s="566"/>
      <c r="AB700" s="566"/>
      <c r="AC700" s="566"/>
      <c r="AD700" s="566"/>
      <c r="AE700" s="566"/>
      <c r="AF700" s="566"/>
      <c r="AG700" s="566"/>
      <c r="AH700" s="566"/>
      <c r="AI700" s="566"/>
      <c r="AJ700" s="566"/>
      <c r="AK700" s="566"/>
      <c r="AL700" s="566"/>
      <c r="AM700" s="566"/>
      <c r="AN700" s="566"/>
      <c r="AO700" s="566"/>
    </row>
    <row r="701" spans="2:41" x14ac:dyDescent="0.15">
      <c r="B701" s="567">
        <v>27</v>
      </c>
      <c r="C701" s="566"/>
      <c r="D701" s="566"/>
      <c r="E701" s="566"/>
      <c r="F701" s="566"/>
      <c r="G701" s="566"/>
      <c r="H701" s="566"/>
      <c r="I701" s="566"/>
      <c r="J701" s="566"/>
      <c r="K701" s="566"/>
      <c r="L701" s="566"/>
      <c r="M701" s="566"/>
      <c r="N701" s="566"/>
      <c r="O701" s="566"/>
      <c r="P701" s="566"/>
      <c r="Q701" s="566"/>
      <c r="R701" s="566"/>
      <c r="S701" s="566"/>
      <c r="T701" s="566"/>
      <c r="U701" s="566"/>
      <c r="V701" s="566"/>
      <c r="W701" s="566"/>
      <c r="X701" s="566"/>
      <c r="Y701" s="566"/>
      <c r="Z701" s="566"/>
      <c r="AA701" s="566"/>
      <c r="AB701" s="566"/>
      <c r="AC701" s="566"/>
      <c r="AD701" s="566"/>
      <c r="AE701" s="566"/>
      <c r="AF701" s="566"/>
      <c r="AG701" s="566"/>
      <c r="AH701" s="566"/>
      <c r="AI701" s="566"/>
      <c r="AJ701" s="566"/>
      <c r="AK701" s="566"/>
      <c r="AL701" s="566"/>
      <c r="AM701" s="566"/>
      <c r="AN701" s="566"/>
      <c r="AO701" s="566"/>
    </row>
    <row r="702" spans="2:41" x14ac:dyDescent="0.15">
      <c r="B702" s="567">
        <v>28</v>
      </c>
      <c r="C702" s="566"/>
      <c r="D702" s="566"/>
      <c r="E702" s="566"/>
      <c r="F702" s="566"/>
      <c r="G702" s="566"/>
      <c r="H702" s="566"/>
      <c r="I702" s="566"/>
      <c r="J702" s="566"/>
      <c r="K702" s="566"/>
      <c r="L702" s="566"/>
      <c r="M702" s="566"/>
      <c r="N702" s="566"/>
      <c r="O702" s="566"/>
      <c r="P702" s="566"/>
      <c r="Q702" s="566"/>
      <c r="R702" s="566"/>
      <c r="S702" s="566"/>
      <c r="T702" s="566"/>
      <c r="U702" s="566"/>
      <c r="V702" s="566"/>
      <c r="W702" s="566"/>
      <c r="X702" s="566"/>
      <c r="Y702" s="566"/>
      <c r="Z702" s="566"/>
      <c r="AA702" s="566"/>
      <c r="AB702" s="566"/>
      <c r="AC702" s="566"/>
      <c r="AD702" s="566"/>
      <c r="AE702" s="566"/>
      <c r="AF702" s="566"/>
      <c r="AG702" s="566"/>
      <c r="AH702" s="566"/>
      <c r="AI702" s="566"/>
      <c r="AJ702" s="566"/>
      <c r="AK702" s="566"/>
      <c r="AL702" s="566"/>
      <c r="AM702" s="566"/>
      <c r="AN702" s="566"/>
      <c r="AO702" s="566"/>
    </row>
    <row r="703" spans="2:41" x14ac:dyDescent="0.15">
      <c r="B703" s="567">
        <v>29</v>
      </c>
      <c r="C703" s="566"/>
      <c r="D703" s="566"/>
      <c r="E703" s="566"/>
      <c r="F703" s="566"/>
      <c r="G703" s="566"/>
      <c r="H703" s="566"/>
      <c r="I703" s="566"/>
      <c r="J703" s="566"/>
      <c r="K703" s="566"/>
      <c r="L703" s="566"/>
      <c r="M703" s="566"/>
      <c r="N703" s="566"/>
      <c r="O703" s="566"/>
      <c r="P703" s="566"/>
      <c r="Q703" s="566"/>
      <c r="R703" s="566"/>
      <c r="S703" s="566"/>
      <c r="T703" s="566"/>
      <c r="U703" s="566"/>
      <c r="V703" s="566"/>
      <c r="W703" s="566"/>
      <c r="X703" s="566"/>
      <c r="Y703" s="566"/>
      <c r="Z703" s="566"/>
      <c r="AA703" s="566"/>
      <c r="AB703" s="566"/>
      <c r="AC703" s="566"/>
      <c r="AD703" s="566"/>
      <c r="AE703" s="566"/>
      <c r="AF703" s="566"/>
      <c r="AG703" s="566"/>
      <c r="AH703" s="566"/>
      <c r="AI703" s="566"/>
      <c r="AJ703" s="566"/>
      <c r="AK703" s="566"/>
      <c r="AL703" s="566"/>
      <c r="AM703" s="566"/>
      <c r="AN703" s="566"/>
      <c r="AO703" s="566"/>
    </row>
    <row r="704" spans="2:41" x14ac:dyDescent="0.15">
      <c r="B704" s="567">
        <v>30</v>
      </c>
      <c r="C704" s="566"/>
      <c r="D704" s="566"/>
      <c r="E704" s="566"/>
      <c r="F704" s="566"/>
      <c r="G704" s="566"/>
      <c r="H704" s="566"/>
      <c r="I704" s="566"/>
      <c r="J704" s="566"/>
      <c r="K704" s="566"/>
      <c r="L704" s="566"/>
      <c r="M704" s="566"/>
      <c r="N704" s="566"/>
      <c r="O704" s="566"/>
      <c r="P704" s="566"/>
      <c r="Q704" s="566"/>
      <c r="R704" s="566"/>
      <c r="S704" s="566"/>
      <c r="T704" s="566"/>
      <c r="U704" s="566"/>
      <c r="V704" s="566"/>
      <c r="W704" s="566"/>
      <c r="X704" s="566"/>
      <c r="Y704" s="566"/>
      <c r="Z704" s="566"/>
      <c r="AA704" s="566"/>
      <c r="AB704" s="566"/>
      <c r="AC704" s="566"/>
      <c r="AD704" s="566"/>
      <c r="AE704" s="566"/>
      <c r="AF704" s="566"/>
      <c r="AG704" s="566"/>
      <c r="AH704" s="566"/>
      <c r="AI704" s="566"/>
      <c r="AJ704" s="566"/>
      <c r="AK704" s="566"/>
      <c r="AL704" s="566"/>
      <c r="AM704" s="566"/>
      <c r="AN704" s="566"/>
      <c r="AO704" s="566"/>
    </row>
    <row r="705" spans="2:41" x14ac:dyDescent="0.15">
      <c r="B705" s="567">
        <v>31</v>
      </c>
      <c r="C705" s="566"/>
      <c r="D705" s="566"/>
      <c r="E705" s="566"/>
      <c r="F705" s="566"/>
      <c r="G705" s="566"/>
      <c r="H705" s="566"/>
      <c r="I705" s="566"/>
      <c r="J705" s="566"/>
      <c r="K705" s="566"/>
      <c r="L705" s="566"/>
      <c r="M705" s="566"/>
      <c r="N705" s="566"/>
      <c r="O705" s="566"/>
      <c r="P705" s="566"/>
      <c r="Q705" s="566"/>
      <c r="R705" s="566"/>
      <c r="S705" s="566"/>
      <c r="T705" s="566"/>
      <c r="U705" s="566"/>
      <c r="V705" s="566"/>
      <c r="W705" s="566"/>
      <c r="X705" s="566"/>
      <c r="Y705" s="566"/>
      <c r="Z705" s="566"/>
      <c r="AA705" s="566"/>
      <c r="AB705" s="566"/>
      <c r="AC705" s="566"/>
      <c r="AD705" s="566"/>
      <c r="AE705" s="566"/>
      <c r="AF705" s="566"/>
      <c r="AG705" s="566"/>
      <c r="AH705" s="566"/>
      <c r="AI705" s="566"/>
      <c r="AJ705" s="566"/>
      <c r="AK705" s="566"/>
      <c r="AL705" s="566"/>
      <c r="AM705" s="566"/>
      <c r="AN705" s="566"/>
      <c r="AO705" s="566"/>
    </row>
    <row r="706" spans="2:41" x14ac:dyDescent="0.15">
      <c r="B706" s="567">
        <v>32</v>
      </c>
      <c r="C706" s="566"/>
      <c r="D706" s="566"/>
      <c r="E706" s="566"/>
      <c r="F706" s="566"/>
      <c r="G706" s="566"/>
      <c r="H706" s="566"/>
      <c r="I706" s="566"/>
      <c r="J706" s="566"/>
      <c r="K706" s="566"/>
      <c r="L706" s="566"/>
      <c r="M706" s="566"/>
      <c r="N706" s="566"/>
      <c r="O706" s="566"/>
      <c r="P706" s="566"/>
      <c r="Q706" s="566"/>
      <c r="R706" s="566"/>
      <c r="S706" s="566"/>
      <c r="T706" s="566"/>
      <c r="U706" s="566"/>
      <c r="V706" s="566"/>
      <c r="W706" s="566"/>
      <c r="X706" s="566"/>
      <c r="Y706" s="566"/>
      <c r="Z706" s="566"/>
      <c r="AA706" s="566"/>
      <c r="AB706" s="566"/>
      <c r="AC706" s="566"/>
      <c r="AD706" s="566"/>
      <c r="AE706" s="566"/>
      <c r="AF706" s="566"/>
      <c r="AG706" s="566"/>
      <c r="AH706" s="566"/>
      <c r="AI706" s="566"/>
      <c r="AJ706" s="566"/>
      <c r="AK706" s="566"/>
      <c r="AL706" s="566"/>
      <c r="AM706" s="566"/>
      <c r="AN706" s="566"/>
      <c r="AO706" s="566"/>
    </row>
    <row r="707" spans="2:41" x14ac:dyDescent="0.15">
      <c r="B707" s="567">
        <v>33</v>
      </c>
      <c r="C707" s="566"/>
      <c r="D707" s="566"/>
      <c r="E707" s="566"/>
      <c r="F707" s="566"/>
      <c r="G707" s="566"/>
      <c r="H707" s="566"/>
      <c r="I707" s="566"/>
      <c r="J707" s="566"/>
      <c r="K707" s="566"/>
      <c r="L707" s="566"/>
      <c r="M707" s="566"/>
      <c r="N707" s="566"/>
      <c r="O707" s="566"/>
      <c r="P707" s="566"/>
      <c r="Q707" s="566"/>
      <c r="R707" s="566"/>
      <c r="S707" s="566"/>
      <c r="T707" s="566"/>
      <c r="U707" s="566"/>
      <c r="V707" s="566"/>
      <c r="W707" s="566"/>
      <c r="X707" s="566"/>
      <c r="Y707" s="566"/>
      <c r="Z707" s="566"/>
      <c r="AA707" s="566"/>
      <c r="AB707" s="566"/>
      <c r="AC707" s="566"/>
      <c r="AD707" s="566"/>
      <c r="AE707" s="566"/>
      <c r="AF707" s="566"/>
      <c r="AG707" s="566"/>
      <c r="AH707" s="566"/>
      <c r="AI707" s="566"/>
      <c r="AJ707" s="566"/>
      <c r="AK707" s="566"/>
      <c r="AL707" s="566"/>
      <c r="AM707" s="566"/>
      <c r="AN707" s="566"/>
      <c r="AO707" s="566"/>
    </row>
    <row r="708" spans="2:41" x14ac:dyDescent="0.15">
      <c r="B708" s="567">
        <v>34</v>
      </c>
      <c r="C708" s="566"/>
      <c r="D708" s="566"/>
      <c r="E708" s="566"/>
      <c r="F708" s="566"/>
      <c r="G708" s="566"/>
      <c r="H708" s="566"/>
      <c r="I708" s="566"/>
      <c r="J708" s="566"/>
      <c r="K708" s="566"/>
      <c r="L708" s="566"/>
      <c r="M708" s="566"/>
      <c r="N708" s="566"/>
      <c r="O708" s="566"/>
      <c r="P708" s="566"/>
      <c r="Q708" s="566"/>
      <c r="R708" s="566"/>
      <c r="S708" s="566"/>
      <c r="T708" s="566"/>
      <c r="U708" s="566"/>
      <c r="V708" s="566"/>
      <c r="W708" s="566"/>
      <c r="X708" s="566"/>
      <c r="Y708" s="566"/>
      <c r="Z708" s="566"/>
      <c r="AA708" s="566"/>
      <c r="AB708" s="566"/>
      <c r="AC708" s="566"/>
      <c r="AD708" s="566"/>
      <c r="AE708" s="566"/>
      <c r="AF708" s="566"/>
      <c r="AG708" s="566"/>
      <c r="AH708" s="566"/>
      <c r="AI708" s="566"/>
      <c r="AJ708" s="566"/>
      <c r="AK708" s="566"/>
      <c r="AL708" s="566"/>
      <c r="AM708" s="566"/>
      <c r="AN708" s="566"/>
      <c r="AO708" s="566"/>
    </row>
    <row r="709" spans="2:41" x14ac:dyDescent="0.15">
      <c r="B709" s="567">
        <v>35</v>
      </c>
      <c r="C709" s="566"/>
      <c r="D709" s="566"/>
      <c r="E709" s="566"/>
      <c r="F709" s="566"/>
      <c r="G709" s="566"/>
      <c r="H709" s="566"/>
      <c r="I709" s="566"/>
      <c r="J709" s="566"/>
      <c r="K709" s="566"/>
      <c r="L709" s="566"/>
      <c r="M709" s="566"/>
      <c r="N709" s="566"/>
      <c r="O709" s="566"/>
      <c r="P709" s="566"/>
      <c r="Q709" s="566"/>
      <c r="R709" s="566"/>
      <c r="S709" s="566"/>
      <c r="T709" s="566"/>
      <c r="U709" s="566"/>
      <c r="V709" s="566"/>
      <c r="W709" s="566"/>
      <c r="X709" s="566"/>
      <c r="Y709" s="566"/>
      <c r="Z709" s="566"/>
      <c r="AA709" s="566"/>
      <c r="AB709" s="566"/>
      <c r="AC709" s="566"/>
      <c r="AD709" s="566"/>
      <c r="AE709" s="566"/>
      <c r="AF709" s="566"/>
      <c r="AG709" s="566"/>
      <c r="AH709" s="566"/>
      <c r="AI709" s="566"/>
      <c r="AJ709" s="566"/>
      <c r="AK709" s="566"/>
      <c r="AL709" s="566"/>
      <c r="AM709" s="566"/>
      <c r="AN709" s="566"/>
      <c r="AO709" s="566"/>
    </row>
    <row r="710" spans="2:41" x14ac:dyDescent="0.15">
      <c r="B710" s="567">
        <v>36</v>
      </c>
      <c r="C710" s="566"/>
      <c r="D710" s="566"/>
      <c r="E710" s="566"/>
      <c r="F710" s="566"/>
      <c r="G710" s="566"/>
      <c r="H710" s="566"/>
      <c r="I710" s="566"/>
      <c r="J710" s="566"/>
      <c r="K710" s="566"/>
      <c r="L710" s="566"/>
      <c r="M710" s="566"/>
      <c r="N710" s="566"/>
      <c r="O710" s="566"/>
      <c r="P710" s="566"/>
      <c r="Q710" s="566"/>
      <c r="R710" s="566"/>
      <c r="S710" s="566"/>
      <c r="T710" s="566"/>
      <c r="U710" s="566"/>
      <c r="V710" s="566"/>
      <c r="W710" s="566"/>
      <c r="X710" s="566"/>
      <c r="Y710" s="566"/>
      <c r="Z710" s="566"/>
      <c r="AA710" s="566"/>
      <c r="AB710" s="566"/>
      <c r="AC710" s="566"/>
      <c r="AD710" s="566"/>
      <c r="AE710" s="566"/>
      <c r="AF710" s="566"/>
      <c r="AG710" s="566"/>
      <c r="AH710" s="566"/>
      <c r="AI710" s="566"/>
      <c r="AJ710" s="566"/>
      <c r="AK710" s="566"/>
      <c r="AL710" s="566"/>
      <c r="AM710" s="566"/>
      <c r="AN710" s="566"/>
      <c r="AO710" s="566"/>
    </row>
    <row r="711" spans="2:41" x14ac:dyDescent="0.15">
      <c r="B711" s="567">
        <v>37</v>
      </c>
      <c r="C711" s="566"/>
      <c r="D711" s="566"/>
      <c r="E711" s="566"/>
      <c r="F711" s="566"/>
      <c r="G711" s="566"/>
      <c r="H711" s="566"/>
      <c r="I711" s="566"/>
      <c r="J711" s="566"/>
      <c r="K711" s="566"/>
      <c r="L711" s="566"/>
      <c r="M711" s="566"/>
      <c r="N711" s="566"/>
      <c r="O711" s="566"/>
      <c r="P711" s="566"/>
      <c r="Q711" s="566"/>
      <c r="R711" s="566"/>
      <c r="S711" s="566"/>
      <c r="T711" s="566"/>
      <c r="U711" s="566"/>
      <c r="V711" s="566"/>
      <c r="W711" s="566"/>
      <c r="X711" s="566"/>
      <c r="Y711" s="566"/>
      <c r="Z711" s="566"/>
      <c r="AA711" s="566"/>
      <c r="AB711" s="566"/>
      <c r="AC711" s="566"/>
      <c r="AD711" s="566"/>
      <c r="AE711" s="566"/>
      <c r="AF711" s="566"/>
      <c r="AG711" s="566"/>
      <c r="AH711" s="566"/>
      <c r="AI711" s="566"/>
      <c r="AJ711" s="566"/>
      <c r="AK711" s="566"/>
      <c r="AL711" s="566"/>
      <c r="AM711" s="566"/>
      <c r="AN711" s="566"/>
      <c r="AO711" s="566"/>
    </row>
    <row r="712" spans="2:41" x14ac:dyDescent="0.15">
      <c r="B712" s="567">
        <v>38</v>
      </c>
      <c r="C712" s="566"/>
      <c r="D712" s="566"/>
      <c r="E712" s="566"/>
      <c r="F712" s="566"/>
      <c r="G712" s="566"/>
      <c r="H712" s="566"/>
      <c r="I712" s="566"/>
      <c r="J712" s="566"/>
      <c r="K712" s="566"/>
      <c r="L712" s="566"/>
      <c r="M712" s="566"/>
      <c r="N712" s="566"/>
      <c r="O712" s="566"/>
      <c r="P712" s="566"/>
      <c r="Q712" s="566"/>
      <c r="R712" s="566"/>
      <c r="S712" s="566"/>
      <c r="T712" s="566"/>
      <c r="U712" s="566"/>
      <c r="V712" s="566"/>
      <c r="W712" s="566"/>
      <c r="X712" s="566"/>
      <c r="Y712" s="566"/>
      <c r="Z712" s="566"/>
      <c r="AA712" s="566"/>
      <c r="AB712" s="566"/>
      <c r="AC712" s="566"/>
      <c r="AD712" s="566"/>
      <c r="AE712" s="566"/>
      <c r="AF712" s="566"/>
      <c r="AG712" s="566"/>
      <c r="AH712" s="566"/>
      <c r="AI712" s="566"/>
      <c r="AJ712" s="566"/>
      <c r="AK712" s="566"/>
      <c r="AL712" s="566"/>
      <c r="AM712" s="566"/>
      <c r="AN712" s="566"/>
      <c r="AO712" s="566"/>
    </row>
    <row r="713" spans="2:41" x14ac:dyDescent="0.15">
      <c r="B713" s="567">
        <v>39</v>
      </c>
      <c r="C713" s="566"/>
      <c r="D713" s="566"/>
      <c r="E713" s="566"/>
      <c r="F713" s="566"/>
      <c r="G713" s="566"/>
      <c r="H713" s="566"/>
      <c r="I713" s="566"/>
      <c r="J713" s="566"/>
      <c r="K713" s="566"/>
      <c r="L713" s="566"/>
      <c r="M713" s="566"/>
      <c r="N713" s="566"/>
      <c r="O713" s="566"/>
      <c r="P713" s="566"/>
      <c r="Q713" s="566"/>
      <c r="R713" s="566"/>
      <c r="S713" s="566"/>
      <c r="T713" s="566"/>
      <c r="U713" s="566"/>
      <c r="V713" s="566"/>
      <c r="W713" s="566"/>
      <c r="X713" s="566"/>
      <c r="Y713" s="566"/>
      <c r="Z713" s="566"/>
      <c r="AA713" s="566"/>
      <c r="AB713" s="566"/>
      <c r="AC713" s="566"/>
      <c r="AD713" s="566"/>
      <c r="AE713" s="566"/>
      <c r="AF713" s="566"/>
      <c r="AG713" s="566"/>
      <c r="AH713" s="566"/>
      <c r="AI713" s="566"/>
      <c r="AJ713" s="566"/>
      <c r="AK713" s="566"/>
      <c r="AL713" s="566"/>
      <c r="AM713" s="566"/>
      <c r="AN713" s="566"/>
      <c r="AO713" s="566"/>
    </row>
    <row r="714" spans="2:41" x14ac:dyDescent="0.15">
      <c r="B714" s="568">
        <v>40</v>
      </c>
      <c r="C714" s="566"/>
      <c r="D714" s="566"/>
      <c r="E714" s="566"/>
      <c r="F714" s="566"/>
      <c r="G714" s="566"/>
      <c r="H714" s="566"/>
      <c r="I714" s="566"/>
      <c r="J714" s="566"/>
      <c r="K714" s="566"/>
      <c r="L714" s="566"/>
      <c r="M714" s="566"/>
      <c r="N714" s="566"/>
      <c r="O714" s="566"/>
      <c r="P714" s="566"/>
      <c r="Q714" s="566"/>
      <c r="R714" s="566"/>
      <c r="S714" s="566"/>
      <c r="T714" s="566"/>
      <c r="U714" s="566"/>
      <c r="V714" s="566"/>
      <c r="W714" s="566"/>
      <c r="X714" s="566"/>
      <c r="Y714" s="566"/>
      <c r="Z714" s="566"/>
      <c r="AA714" s="566"/>
      <c r="AB714" s="566"/>
      <c r="AC714" s="566"/>
      <c r="AD714" s="566"/>
      <c r="AE714" s="566"/>
      <c r="AF714" s="566"/>
      <c r="AG714" s="566"/>
      <c r="AH714" s="566"/>
      <c r="AI714" s="566"/>
      <c r="AJ714" s="566"/>
      <c r="AK714" s="566"/>
      <c r="AL714" s="566"/>
      <c r="AM714" s="566"/>
      <c r="AN714" s="566"/>
      <c r="AO714" s="566"/>
    </row>
    <row r="723" spans="2:41" s="563" customFormat="1" ht="14" x14ac:dyDescent="0.15">
      <c r="B723" s="560" t="str" cm="1">
        <f t="array" ref="B723:AO723">TRANSPOSE('Syötä kaupungit KIRJASTOLINKIT!'!$J$1:$J$40)</f>
        <v>MAA 9</v>
      </c>
      <c r="C723" s="564">
        <v>0</v>
      </c>
      <c r="D723" s="564">
        <v>0</v>
      </c>
      <c r="E723" s="564">
        <v>0</v>
      </c>
      <c r="F723" s="564">
        <v>0</v>
      </c>
      <c r="G723" s="564">
        <v>0</v>
      </c>
      <c r="H723" s="564">
        <v>0</v>
      </c>
      <c r="I723" s="564">
        <v>0</v>
      </c>
      <c r="J723" s="564">
        <v>0</v>
      </c>
      <c r="K723" s="564">
        <v>0</v>
      </c>
      <c r="L723" s="564">
        <v>0</v>
      </c>
      <c r="M723" s="564">
        <v>0</v>
      </c>
      <c r="N723" s="564">
        <v>0</v>
      </c>
      <c r="O723" s="564">
        <v>0</v>
      </c>
      <c r="P723" s="564">
        <v>0</v>
      </c>
      <c r="Q723" s="564">
        <v>0</v>
      </c>
      <c r="R723" s="564">
        <v>0</v>
      </c>
      <c r="S723" s="564">
        <v>0</v>
      </c>
      <c r="T723" s="564">
        <v>0</v>
      </c>
      <c r="U723" s="564">
        <v>0</v>
      </c>
      <c r="V723" s="564">
        <v>0</v>
      </c>
      <c r="W723" s="564">
        <v>0</v>
      </c>
      <c r="X723" s="564">
        <v>0</v>
      </c>
      <c r="Y723" s="564">
        <v>0</v>
      </c>
      <c r="Z723" s="564">
        <v>0</v>
      </c>
      <c r="AA723" s="564">
        <v>0</v>
      </c>
      <c r="AB723" s="564">
        <v>0</v>
      </c>
      <c r="AC723" s="564">
        <v>0</v>
      </c>
      <c r="AD723" s="564">
        <v>0</v>
      </c>
      <c r="AE723" s="564">
        <v>0</v>
      </c>
      <c r="AF723" s="564">
        <v>0</v>
      </c>
      <c r="AG723" s="564">
        <v>0</v>
      </c>
      <c r="AH723" s="564">
        <v>0</v>
      </c>
      <c r="AI723" s="564">
        <v>0</v>
      </c>
      <c r="AJ723" s="564">
        <v>0</v>
      </c>
      <c r="AK723" s="564">
        <v>0</v>
      </c>
      <c r="AL723" s="564">
        <v>0</v>
      </c>
      <c r="AM723" s="564">
        <v>0</v>
      </c>
      <c r="AN723" s="564">
        <v>0</v>
      </c>
      <c r="AO723" s="564">
        <v>0</v>
      </c>
    </row>
    <row r="724" spans="2:41" x14ac:dyDescent="0.15">
      <c r="B724" s="565">
        <v>-40</v>
      </c>
      <c r="C724" s="566"/>
      <c r="D724" s="566"/>
      <c r="E724" s="566"/>
      <c r="F724" s="566"/>
      <c r="G724" s="566"/>
      <c r="H724" s="566"/>
      <c r="I724" s="566"/>
      <c r="J724" s="566"/>
      <c r="K724" s="566"/>
      <c r="L724" s="566"/>
      <c r="M724" s="566"/>
      <c r="N724" s="566"/>
      <c r="O724" s="566"/>
      <c r="P724" s="566"/>
      <c r="Q724" s="566"/>
      <c r="R724" s="566"/>
      <c r="S724" s="566"/>
      <c r="T724" s="566"/>
      <c r="U724" s="566"/>
      <c r="V724" s="566"/>
      <c r="W724" s="566"/>
      <c r="X724" s="566"/>
      <c r="Y724" s="566"/>
      <c r="Z724" s="566"/>
      <c r="AA724" s="566"/>
      <c r="AB724" s="566"/>
      <c r="AC724" s="566"/>
      <c r="AD724" s="566"/>
      <c r="AE724" s="566"/>
      <c r="AF724" s="566"/>
      <c r="AG724" s="566"/>
      <c r="AH724" s="566"/>
      <c r="AI724" s="566"/>
      <c r="AJ724" s="566"/>
      <c r="AK724" s="566"/>
      <c r="AL724" s="566"/>
      <c r="AM724" s="566"/>
      <c r="AN724" s="566"/>
      <c r="AO724" s="566"/>
    </row>
    <row r="725" spans="2:41" x14ac:dyDescent="0.15">
      <c r="B725" s="567">
        <v>-39</v>
      </c>
      <c r="C725" s="566"/>
      <c r="D725" s="566"/>
      <c r="E725" s="566"/>
      <c r="F725" s="566"/>
      <c r="G725" s="566"/>
      <c r="H725" s="566"/>
      <c r="I725" s="566"/>
      <c r="J725" s="566"/>
      <c r="K725" s="566"/>
      <c r="L725" s="566"/>
      <c r="M725" s="566"/>
      <c r="N725" s="566"/>
      <c r="O725" s="566"/>
      <c r="P725" s="566"/>
      <c r="Q725" s="566"/>
      <c r="R725" s="566"/>
      <c r="S725" s="566"/>
      <c r="T725" s="566"/>
      <c r="U725" s="566"/>
      <c r="V725" s="566"/>
      <c r="W725" s="566"/>
      <c r="X725" s="566"/>
      <c r="Y725" s="566"/>
      <c r="Z725" s="566"/>
      <c r="AA725" s="566"/>
      <c r="AB725" s="566"/>
      <c r="AC725" s="566"/>
      <c r="AD725" s="566"/>
      <c r="AE725" s="566"/>
      <c r="AF725" s="566"/>
      <c r="AG725" s="566"/>
      <c r="AH725" s="566"/>
      <c r="AI725" s="566"/>
      <c r="AJ725" s="566"/>
      <c r="AK725" s="566"/>
      <c r="AL725" s="566"/>
      <c r="AM725" s="566"/>
      <c r="AN725" s="566"/>
      <c r="AO725" s="566"/>
    </row>
    <row r="726" spans="2:41" x14ac:dyDescent="0.15">
      <c r="B726" s="567">
        <v>-38</v>
      </c>
      <c r="C726" s="566"/>
      <c r="D726" s="566"/>
      <c r="E726" s="566"/>
      <c r="F726" s="566"/>
      <c r="G726" s="566"/>
      <c r="H726" s="566"/>
      <c r="I726" s="566"/>
      <c r="J726" s="566"/>
      <c r="K726" s="566"/>
      <c r="L726" s="566"/>
      <c r="M726" s="566"/>
      <c r="N726" s="566"/>
      <c r="O726" s="566"/>
      <c r="P726" s="566"/>
      <c r="Q726" s="566"/>
      <c r="R726" s="566"/>
      <c r="S726" s="566"/>
      <c r="T726" s="566"/>
      <c r="U726" s="566"/>
      <c r="V726" s="566"/>
      <c r="W726" s="566"/>
      <c r="X726" s="566"/>
      <c r="Y726" s="566"/>
      <c r="Z726" s="566"/>
      <c r="AA726" s="566"/>
      <c r="AB726" s="566"/>
      <c r="AC726" s="566"/>
      <c r="AD726" s="566"/>
      <c r="AE726" s="566"/>
      <c r="AF726" s="566"/>
      <c r="AG726" s="566"/>
      <c r="AH726" s="566"/>
      <c r="AI726" s="566"/>
      <c r="AJ726" s="566"/>
      <c r="AK726" s="566"/>
      <c r="AL726" s="566"/>
      <c r="AM726" s="566"/>
      <c r="AN726" s="566"/>
      <c r="AO726" s="566"/>
    </row>
    <row r="727" spans="2:41" x14ac:dyDescent="0.15">
      <c r="B727" s="567">
        <v>-37</v>
      </c>
      <c r="C727" s="566"/>
      <c r="D727" s="566"/>
      <c r="E727" s="566"/>
      <c r="F727" s="566"/>
      <c r="G727" s="566"/>
      <c r="H727" s="566"/>
      <c r="I727" s="566"/>
      <c r="J727" s="566"/>
      <c r="K727" s="566"/>
      <c r="L727" s="566"/>
      <c r="M727" s="566"/>
      <c r="N727" s="566"/>
      <c r="O727" s="566"/>
      <c r="P727" s="566"/>
      <c r="Q727" s="566"/>
      <c r="R727" s="566"/>
      <c r="S727" s="566"/>
      <c r="T727" s="566"/>
      <c r="U727" s="566"/>
      <c r="V727" s="566"/>
      <c r="W727" s="566"/>
      <c r="X727" s="566"/>
      <c r="Y727" s="566"/>
      <c r="Z727" s="566"/>
      <c r="AA727" s="566"/>
      <c r="AB727" s="566"/>
      <c r="AC727" s="566"/>
      <c r="AD727" s="566"/>
      <c r="AE727" s="566"/>
      <c r="AF727" s="566"/>
      <c r="AG727" s="566"/>
      <c r="AH727" s="566"/>
      <c r="AI727" s="566"/>
      <c r="AJ727" s="566"/>
      <c r="AK727" s="566"/>
      <c r="AL727" s="566"/>
      <c r="AM727" s="566"/>
      <c r="AN727" s="566"/>
      <c r="AO727" s="566"/>
    </row>
    <row r="728" spans="2:41" x14ac:dyDescent="0.15">
      <c r="B728" s="567">
        <v>-36</v>
      </c>
      <c r="C728" s="566"/>
      <c r="D728" s="566"/>
      <c r="E728" s="566"/>
      <c r="F728" s="566"/>
      <c r="G728" s="566"/>
      <c r="H728" s="566"/>
      <c r="I728" s="566"/>
      <c r="J728" s="566"/>
      <c r="K728" s="566"/>
      <c r="L728" s="566"/>
      <c r="M728" s="566"/>
      <c r="N728" s="566"/>
      <c r="O728" s="566"/>
      <c r="P728" s="566"/>
      <c r="Q728" s="566"/>
      <c r="R728" s="566"/>
      <c r="S728" s="566"/>
      <c r="T728" s="566"/>
      <c r="U728" s="566"/>
      <c r="V728" s="566"/>
      <c r="W728" s="566"/>
      <c r="X728" s="566"/>
      <c r="Y728" s="566"/>
      <c r="Z728" s="566"/>
      <c r="AA728" s="566"/>
      <c r="AB728" s="566"/>
      <c r="AC728" s="566"/>
      <c r="AD728" s="566"/>
      <c r="AE728" s="566"/>
      <c r="AF728" s="566"/>
      <c r="AG728" s="566"/>
      <c r="AH728" s="566"/>
      <c r="AI728" s="566"/>
      <c r="AJ728" s="566"/>
      <c r="AK728" s="566"/>
      <c r="AL728" s="566"/>
      <c r="AM728" s="566"/>
      <c r="AN728" s="566"/>
      <c r="AO728" s="566"/>
    </row>
    <row r="729" spans="2:41" x14ac:dyDescent="0.15">
      <c r="B729" s="567">
        <v>-35</v>
      </c>
      <c r="C729" s="566"/>
      <c r="D729" s="566"/>
      <c r="E729" s="566"/>
      <c r="F729" s="566"/>
      <c r="G729" s="566"/>
      <c r="H729" s="566"/>
      <c r="I729" s="566"/>
      <c r="J729" s="566"/>
      <c r="K729" s="566"/>
      <c r="L729" s="566"/>
      <c r="M729" s="566"/>
      <c r="N729" s="566"/>
      <c r="O729" s="566"/>
      <c r="P729" s="566"/>
      <c r="Q729" s="566"/>
      <c r="R729" s="566"/>
      <c r="S729" s="566"/>
      <c r="T729" s="566"/>
      <c r="U729" s="566"/>
      <c r="V729" s="566"/>
      <c r="W729" s="566"/>
      <c r="X729" s="566"/>
      <c r="Y729" s="566"/>
      <c r="Z729" s="566"/>
      <c r="AA729" s="566"/>
      <c r="AB729" s="566"/>
      <c r="AC729" s="566"/>
      <c r="AD729" s="566"/>
      <c r="AE729" s="566"/>
      <c r="AF729" s="566"/>
      <c r="AG729" s="566"/>
      <c r="AH729" s="566"/>
      <c r="AI729" s="566"/>
      <c r="AJ729" s="566"/>
      <c r="AK729" s="566"/>
      <c r="AL729" s="566"/>
      <c r="AM729" s="566"/>
      <c r="AN729" s="566"/>
      <c r="AO729" s="566"/>
    </row>
    <row r="730" spans="2:41" x14ac:dyDescent="0.15">
      <c r="B730" s="567">
        <v>-34</v>
      </c>
      <c r="C730" s="566"/>
      <c r="D730" s="566"/>
      <c r="E730" s="566"/>
      <c r="F730" s="566"/>
      <c r="G730" s="566"/>
      <c r="H730" s="566"/>
      <c r="I730" s="566"/>
      <c r="J730" s="566"/>
      <c r="K730" s="566"/>
      <c r="L730" s="566"/>
      <c r="M730" s="566"/>
      <c r="N730" s="566"/>
      <c r="O730" s="566"/>
      <c r="P730" s="566"/>
      <c r="Q730" s="566"/>
      <c r="R730" s="566"/>
      <c r="S730" s="566"/>
      <c r="T730" s="566"/>
      <c r="U730" s="566"/>
      <c r="V730" s="566"/>
      <c r="W730" s="566"/>
      <c r="X730" s="566"/>
      <c r="Y730" s="566"/>
      <c r="Z730" s="566"/>
      <c r="AA730" s="566"/>
      <c r="AB730" s="566"/>
      <c r="AC730" s="566"/>
      <c r="AD730" s="566"/>
      <c r="AE730" s="566"/>
      <c r="AF730" s="566"/>
      <c r="AG730" s="566"/>
      <c r="AH730" s="566"/>
      <c r="AI730" s="566"/>
      <c r="AJ730" s="566"/>
      <c r="AK730" s="566"/>
      <c r="AL730" s="566"/>
      <c r="AM730" s="566"/>
      <c r="AN730" s="566"/>
      <c r="AO730" s="566"/>
    </row>
    <row r="731" spans="2:41" x14ac:dyDescent="0.15">
      <c r="B731" s="567">
        <v>-33</v>
      </c>
      <c r="C731" s="566"/>
      <c r="D731" s="566"/>
      <c r="E731" s="566"/>
      <c r="F731" s="566"/>
      <c r="G731" s="566"/>
      <c r="H731" s="566"/>
      <c r="I731" s="566"/>
      <c r="J731" s="566"/>
      <c r="K731" s="566"/>
      <c r="L731" s="566"/>
      <c r="M731" s="566"/>
      <c r="N731" s="566"/>
      <c r="O731" s="566"/>
      <c r="P731" s="566"/>
      <c r="Q731" s="566"/>
      <c r="R731" s="566"/>
      <c r="S731" s="566"/>
      <c r="T731" s="566"/>
      <c r="U731" s="566"/>
      <c r="V731" s="566"/>
      <c r="W731" s="566"/>
      <c r="X731" s="566"/>
      <c r="Y731" s="566"/>
      <c r="Z731" s="566"/>
      <c r="AA731" s="566"/>
      <c r="AB731" s="566"/>
      <c r="AC731" s="566"/>
      <c r="AD731" s="566"/>
      <c r="AE731" s="566"/>
      <c r="AF731" s="566"/>
      <c r="AG731" s="566"/>
      <c r="AH731" s="566"/>
      <c r="AI731" s="566"/>
      <c r="AJ731" s="566"/>
      <c r="AK731" s="566"/>
      <c r="AL731" s="566"/>
      <c r="AM731" s="566"/>
      <c r="AN731" s="566"/>
      <c r="AO731" s="566"/>
    </row>
    <row r="732" spans="2:41" x14ac:dyDescent="0.15">
      <c r="B732" s="567">
        <v>-32</v>
      </c>
      <c r="C732" s="566"/>
      <c r="D732" s="566"/>
      <c r="E732" s="566"/>
      <c r="F732" s="566"/>
      <c r="G732" s="566"/>
      <c r="H732" s="566"/>
      <c r="I732" s="566"/>
      <c r="J732" s="566"/>
      <c r="K732" s="566"/>
      <c r="L732" s="566"/>
      <c r="M732" s="566"/>
      <c r="N732" s="566"/>
      <c r="O732" s="566"/>
      <c r="P732" s="566"/>
      <c r="Q732" s="566"/>
      <c r="R732" s="566"/>
      <c r="S732" s="566"/>
      <c r="T732" s="566"/>
      <c r="U732" s="566"/>
      <c r="V732" s="566"/>
      <c r="W732" s="566"/>
      <c r="X732" s="566"/>
      <c r="Y732" s="566"/>
      <c r="Z732" s="566"/>
      <c r="AA732" s="566"/>
      <c r="AB732" s="566"/>
      <c r="AC732" s="566"/>
      <c r="AD732" s="566"/>
      <c r="AE732" s="566"/>
      <c r="AF732" s="566"/>
      <c r="AG732" s="566"/>
      <c r="AH732" s="566"/>
      <c r="AI732" s="566"/>
      <c r="AJ732" s="566"/>
      <c r="AK732" s="566"/>
      <c r="AL732" s="566"/>
      <c r="AM732" s="566"/>
      <c r="AN732" s="566"/>
      <c r="AO732" s="566"/>
    </row>
    <row r="733" spans="2:41" x14ac:dyDescent="0.15">
      <c r="B733" s="567">
        <v>-31</v>
      </c>
      <c r="C733" s="566"/>
      <c r="D733" s="566"/>
      <c r="E733" s="566"/>
      <c r="F733" s="566"/>
      <c r="G733" s="566"/>
      <c r="H733" s="566"/>
      <c r="I733" s="566"/>
      <c r="J733" s="566"/>
      <c r="K733" s="566"/>
      <c r="L733" s="566"/>
      <c r="M733" s="566"/>
      <c r="N733" s="566"/>
      <c r="O733" s="566"/>
      <c r="P733" s="566"/>
      <c r="Q733" s="566"/>
      <c r="R733" s="566"/>
      <c r="S733" s="566"/>
      <c r="T733" s="566"/>
      <c r="U733" s="566"/>
      <c r="V733" s="566"/>
      <c r="W733" s="566"/>
      <c r="X733" s="566"/>
      <c r="Y733" s="566"/>
      <c r="Z733" s="566"/>
      <c r="AA733" s="566"/>
      <c r="AB733" s="566"/>
      <c r="AC733" s="566"/>
      <c r="AD733" s="566"/>
      <c r="AE733" s="566"/>
      <c r="AF733" s="566"/>
      <c r="AG733" s="566"/>
      <c r="AH733" s="566"/>
      <c r="AI733" s="566"/>
      <c r="AJ733" s="566"/>
      <c r="AK733" s="566"/>
      <c r="AL733" s="566"/>
      <c r="AM733" s="566"/>
      <c r="AN733" s="566"/>
      <c r="AO733" s="566"/>
    </row>
    <row r="734" spans="2:41" x14ac:dyDescent="0.15">
      <c r="B734" s="567">
        <v>-30</v>
      </c>
      <c r="C734" s="566"/>
      <c r="D734" s="566"/>
      <c r="E734" s="566"/>
      <c r="F734" s="566"/>
      <c r="G734" s="566"/>
      <c r="H734" s="566"/>
      <c r="I734" s="566"/>
      <c r="J734" s="566"/>
      <c r="K734" s="566"/>
      <c r="L734" s="566"/>
      <c r="M734" s="566"/>
      <c r="N734" s="566"/>
      <c r="O734" s="566"/>
      <c r="P734" s="566"/>
      <c r="Q734" s="566"/>
      <c r="R734" s="566"/>
      <c r="S734" s="566"/>
      <c r="T734" s="566"/>
      <c r="U734" s="566"/>
      <c r="V734" s="566"/>
      <c r="W734" s="566"/>
      <c r="X734" s="566"/>
      <c r="Y734" s="566"/>
      <c r="Z734" s="566"/>
      <c r="AA734" s="566"/>
      <c r="AB734" s="566"/>
      <c r="AC734" s="566"/>
      <c r="AD734" s="566"/>
      <c r="AE734" s="566"/>
      <c r="AF734" s="566"/>
      <c r="AG734" s="566"/>
      <c r="AH734" s="566"/>
      <c r="AI734" s="566"/>
      <c r="AJ734" s="566"/>
      <c r="AK734" s="566"/>
      <c r="AL734" s="566"/>
      <c r="AM734" s="566"/>
      <c r="AN734" s="566"/>
      <c r="AO734" s="566"/>
    </row>
    <row r="735" spans="2:41" x14ac:dyDescent="0.15">
      <c r="B735" s="567">
        <v>-29</v>
      </c>
      <c r="C735" s="566"/>
      <c r="D735" s="566"/>
      <c r="E735" s="566"/>
      <c r="F735" s="566"/>
      <c r="G735" s="566"/>
      <c r="H735" s="566"/>
      <c r="I735" s="566"/>
      <c r="J735" s="566"/>
      <c r="K735" s="566"/>
      <c r="L735" s="566"/>
      <c r="M735" s="566"/>
      <c r="N735" s="566"/>
      <c r="O735" s="566"/>
      <c r="P735" s="566"/>
      <c r="Q735" s="566"/>
      <c r="R735" s="566"/>
      <c r="S735" s="566"/>
      <c r="T735" s="566"/>
      <c r="U735" s="566"/>
      <c r="V735" s="566"/>
      <c r="W735" s="566"/>
      <c r="X735" s="566"/>
      <c r="Y735" s="566"/>
      <c r="Z735" s="566"/>
      <c r="AA735" s="566"/>
      <c r="AB735" s="566"/>
      <c r="AC735" s="566"/>
      <c r="AD735" s="566"/>
      <c r="AE735" s="566"/>
      <c r="AF735" s="566"/>
      <c r="AG735" s="566"/>
      <c r="AH735" s="566"/>
      <c r="AI735" s="566"/>
      <c r="AJ735" s="566"/>
      <c r="AK735" s="566"/>
      <c r="AL735" s="566"/>
      <c r="AM735" s="566"/>
      <c r="AN735" s="566"/>
      <c r="AO735" s="566"/>
    </row>
    <row r="736" spans="2:41" x14ac:dyDescent="0.15">
      <c r="B736" s="567">
        <v>-28</v>
      </c>
      <c r="C736" s="566"/>
      <c r="D736" s="566"/>
      <c r="E736" s="566"/>
      <c r="F736" s="566"/>
      <c r="G736" s="566"/>
      <c r="H736" s="566"/>
      <c r="I736" s="566"/>
      <c r="J736" s="566"/>
      <c r="K736" s="566"/>
      <c r="L736" s="566"/>
      <c r="M736" s="566"/>
      <c r="N736" s="566"/>
      <c r="O736" s="566"/>
      <c r="P736" s="566"/>
      <c r="Q736" s="566"/>
      <c r="R736" s="566"/>
      <c r="S736" s="566"/>
      <c r="T736" s="566"/>
      <c r="U736" s="566"/>
      <c r="V736" s="566"/>
      <c r="W736" s="566"/>
      <c r="X736" s="566"/>
      <c r="Y736" s="566"/>
      <c r="Z736" s="566"/>
      <c r="AA736" s="566"/>
      <c r="AB736" s="566"/>
      <c r="AC736" s="566"/>
      <c r="AD736" s="566"/>
      <c r="AE736" s="566"/>
      <c r="AF736" s="566"/>
      <c r="AG736" s="566"/>
      <c r="AH736" s="566"/>
      <c r="AI736" s="566"/>
      <c r="AJ736" s="566"/>
      <c r="AK736" s="566"/>
      <c r="AL736" s="566"/>
      <c r="AM736" s="566"/>
      <c r="AN736" s="566"/>
      <c r="AO736" s="566"/>
    </row>
    <row r="737" spans="2:41" x14ac:dyDescent="0.15">
      <c r="B737" s="567">
        <v>-27</v>
      </c>
      <c r="C737" s="566"/>
      <c r="D737" s="566"/>
      <c r="E737" s="566"/>
      <c r="F737" s="566"/>
      <c r="G737" s="566"/>
      <c r="H737" s="566"/>
      <c r="I737" s="566"/>
      <c r="J737" s="566"/>
      <c r="K737" s="566"/>
      <c r="L737" s="566"/>
      <c r="M737" s="566"/>
      <c r="N737" s="566"/>
      <c r="O737" s="566"/>
      <c r="P737" s="566"/>
      <c r="Q737" s="566"/>
      <c r="R737" s="566"/>
      <c r="S737" s="566"/>
      <c r="T737" s="566"/>
      <c r="U737" s="566"/>
      <c r="V737" s="566"/>
      <c r="W737" s="566"/>
      <c r="X737" s="566"/>
      <c r="Y737" s="566"/>
      <c r="Z737" s="566"/>
      <c r="AA737" s="566"/>
      <c r="AB737" s="566"/>
      <c r="AC737" s="566"/>
      <c r="AD737" s="566"/>
      <c r="AE737" s="566"/>
      <c r="AF737" s="566"/>
      <c r="AG737" s="566"/>
      <c r="AH737" s="566"/>
      <c r="AI737" s="566"/>
      <c r="AJ737" s="566"/>
      <c r="AK737" s="566"/>
      <c r="AL737" s="566"/>
      <c r="AM737" s="566"/>
      <c r="AN737" s="566"/>
      <c r="AO737" s="566"/>
    </row>
    <row r="738" spans="2:41" x14ac:dyDescent="0.15">
      <c r="B738" s="567">
        <v>-26</v>
      </c>
      <c r="C738" s="566"/>
      <c r="D738" s="566"/>
      <c r="E738" s="566"/>
      <c r="F738" s="566"/>
      <c r="G738" s="566"/>
      <c r="H738" s="566"/>
      <c r="I738" s="566"/>
      <c r="J738" s="566"/>
      <c r="K738" s="566"/>
      <c r="L738" s="566"/>
      <c r="M738" s="566"/>
      <c r="N738" s="566"/>
      <c r="O738" s="566"/>
      <c r="P738" s="566"/>
      <c r="Q738" s="566"/>
      <c r="R738" s="566"/>
      <c r="S738" s="566"/>
      <c r="T738" s="566"/>
      <c r="U738" s="566"/>
      <c r="V738" s="566"/>
      <c r="W738" s="566"/>
      <c r="X738" s="566"/>
      <c r="Y738" s="566"/>
      <c r="Z738" s="566"/>
      <c r="AA738" s="566"/>
      <c r="AB738" s="566"/>
      <c r="AC738" s="566"/>
      <c r="AD738" s="566"/>
      <c r="AE738" s="566"/>
      <c r="AF738" s="566"/>
      <c r="AG738" s="566"/>
      <c r="AH738" s="566"/>
      <c r="AI738" s="566"/>
      <c r="AJ738" s="566"/>
      <c r="AK738" s="566"/>
      <c r="AL738" s="566"/>
      <c r="AM738" s="566"/>
      <c r="AN738" s="566"/>
      <c r="AO738" s="566"/>
    </row>
    <row r="739" spans="2:41" x14ac:dyDescent="0.15">
      <c r="B739" s="567">
        <v>-25</v>
      </c>
      <c r="C739" s="566"/>
      <c r="D739" s="566"/>
      <c r="E739" s="566"/>
      <c r="F739" s="566"/>
      <c r="G739" s="566"/>
      <c r="H739" s="566"/>
      <c r="I739" s="566"/>
      <c r="J739" s="566"/>
      <c r="K739" s="566"/>
      <c r="L739" s="566"/>
      <c r="M739" s="566"/>
      <c r="N739" s="566"/>
      <c r="O739" s="566"/>
      <c r="P739" s="566"/>
      <c r="Q739" s="566"/>
      <c r="R739" s="566"/>
      <c r="S739" s="566"/>
      <c r="T739" s="566"/>
      <c r="U739" s="566"/>
      <c r="V739" s="566"/>
      <c r="W739" s="566"/>
      <c r="X739" s="566"/>
      <c r="Y739" s="566"/>
      <c r="Z739" s="566"/>
      <c r="AA739" s="566"/>
      <c r="AB739" s="566"/>
      <c r="AC739" s="566"/>
      <c r="AD739" s="566"/>
      <c r="AE739" s="566"/>
      <c r="AF739" s="566"/>
      <c r="AG739" s="566"/>
      <c r="AH739" s="566"/>
      <c r="AI739" s="566"/>
      <c r="AJ739" s="566"/>
      <c r="AK739" s="566"/>
      <c r="AL739" s="566"/>
      <c r="AM739" s="566"/>
      <c r="AN739" s="566"/>
      <c r="AO739" s="566"/>
    </row>
    <row r="740" spans="2:41" x14ac:dyDescent="0.15">
      <c r="B740" s="567">
        <v>-24</v>
      </c>
      <c r="C740" s="566"/>
      <c r="D740" s="566"/>
      <c r="E740" s="566"/>
      <c r="F740" s="566"/>
      <c r="G740" s="566"/>
      <c r="H740" s="566"/>
      <c r="I740" s="566"/>
      <c r="J740" s="566"/>
      <c r="K740" s="566"/>
      <c r="L740" s="566"/>
      <c r="M740" s="566"/>
      <c r="N740" s="566"/>
      <c r="O740" s="566"/>
      <c r="P740" s="566"/>
      <c r="Q740" s="566"/>
      <c r="R740" s="566"/>
      <c r="S740" s="566"/>
      <c r="T740" s="566"/>
      <c r="U740" s="566"/>
      <c r="V740" s="566"/>
      <c r="W740" s="566"/>
      <c r="X740" s="566"/>
      <c r="Y740" s="566"/>
      <c r="Z740" s="566"/>
      <c r="AA740" s="566"/>
      <c r="AB740" s="566"/>
      <c r="AC740" s="566"/>
      <c r="AD740" s="566"/>
      <c r="AE740" s="566"/>
      <c r="AF740" s="566"/>
      <c r="AG740" s="566"/>
      <c r="AH740" s="566"/>
      <c r="AI740" s="566"/>
      <c r="AJ740" s="566"/>
      <c r="AK740" s="566"/>
      <c r="AL740" s="566"/>
      <c r="AM740" s="566"/>
      <c r="AN740" s="566"/>
      <c r="AO740" s="566"/>
    </row>
    <row r="741" spans="2:41" x14ac:dyDescent="0.15">
      <c r="B741" s="567">
        <v>-23</v>
      </c>
      <c r="C741" s="566"/>
      <c r="D741" s="566"/>
      <c r="E741" s="566"/>
      <c r="F741" s="566"/>
      <c r="G741" s="566"/>
      <c r="H741" s="566"/>
      <c r="I741" s="566"/>
      <c r="J741" s="566"/>
      <c r="K741" s="566"/>
      <c r="L741" s="566"/>
      <c r="M741" s="566"/>
      <c r="N741" s="566"/>
      <c r="O741" s="566"/>
      <c r="P741" s="566"/>
      <c r="Q741" s="566"/>
      <c r="R741" s="566"/>
      <c r="S741" s="566"/>
      <c r="T741" s="566"/>
      <c r="U741" s="566"/>
      <c r="V741" s="566"/>
      <c r="W741" s="566"/>
      <c r="X741" s="566"/>
      <c r="Y741" s="566"/>
      <c r="Z741" s="566"/>
      <c r="AA741" s="566"/>
      <c r="AB741" s="566"/>
      <c r="AC741" s="566"/>
      <c r="AD741" s="566"/>
      <c r="AE741" s="566"/>
      <c r="AF741" s="566"/>
      <c r="AG741" s="566"/>
      <c r="AH741" s="566"/>
      <c r="AI741" s="566"/>
      <c r="AJ741" s="566"/>
      <c r="AK741" s="566"/>
      <c r="AL741" s="566"/>
      <c r="AM741" s="566"/>
      <c r="AN741" s="566"/>
      <c r="AO741" s="566"/>
    </row>
    <row r="742" spans="2:41" x14ac:dyDescent="0.15">
      <c r="B742" s="567">
        <v>-22</v>
      </c>
      <c r="C742" s="566"/>
      <c r="D742" s="566"/>
      <c r="E742" s="566"/>
      <c r="F742" s="566"/>
      <c r="G742" s="566"/>
      <c r="H742" s="566"/>
      <c r="I742" s="566"/>
      <c r="J742" s="566"/>
      <c r="K742" s="566"/>
      <c r="L742" s="566"/>
      <c r="M742" s="566"/>
      <c r="N742" s="566"/>
      <c r="O742" s="566"/>
      <c r="P742" s="566"/>
      <c r="Q742" s="566"/>
      <c r="R742" s="566"/>
      <c r="S742" s="566"/>
      <c r="T742" s="566"/>
      <c r="U742" s="566"/>
      <c r="V742" s="566"/>
      <c r="W742" s="566"/>
      <c r="X742" s="566"/>
      <c r="Y742" s="566"/>
      <c r="Z742" s="566"/>
      <c r="AA742" s="566"/>
      <c r="AB742" s="566"/>
      <c r="AC742" s="566"/>
      <c r="AD742" s="566"/>
      <c r="AE742" s="566"/>
      <c r="AF742" s="566"/>
      <c r="AG742" s="566"/>
      <c r="AH742" s="566"/>
      <c r="AI742" s="566"/>
      <c r="AJ742" s="566"/>
      <c r="AK742" s="566"/>
      <c r="AL742" s="566"/>
      <c r="AM742" s="566"/>
      <c r="AN742" s="566"/>
      <c r="AO742" s="566"/>
    </row>
    <row r="743" spans="2:41" x14ac:dyDescent="0.15">
      <c r="B743" s="567">
        <v>-21</v>
      </c>
      <c r="C743" s="566"/>
      <c r="D743" s="566"/>
      <c r="E743" s="566"/>
      <c r="F743" s="566"/>
      <c r="G743" s="566"/>
      <c r="H743" s="566"/>
      <c r="I743" s="566"/>
      <c r="J743" s="566"/>
      <c r="K743" s="566"/>
      <c r="L743" s="566"/>
      <c r="M743" s="566"/>
      <c r="N743" s="566"/>
      <c r="O743" s="566"/>
      <c r="P743" s="566"/>
      <c r="Q743" s="566"/>
      <c r="R743" s="566"/>
      <c r="S743" s="566"/>
      <c r="T743" s="566"/>
      <c r="U743" s="566"/>
      <c r="V743" s="566"/>
      <c r="W743" s="566"/>
      <c r="X743" s="566"/>
      <c r="Y743" s="566"/>
      <c r="Z743" s="566"/>
      <c r="AA743" s="566"/>
      <c r="AB743" s="566"/>
      <c r="AC743" s="566"/>
      <c r="AD743" s="566"/>
      <c r="AE743" s="566"/>
      <c r="AF743" s="566"/>
      <c r="AG743" s="566"/>
      <c r="AH743" s="566"/>
      <c r="AI743" s="566"/>
      <c r="AJ743" s="566"/>
      <c r="AK743" s="566"/>
      <c r="AL743" s="566"/>
      <c r="AM743" s="566"/>
      <c r="AN743" s="566"/>
      <c r="AO743" s="566"/>
    </row>
    <row r="744" spans="2:41" x14ac:dyDescent="0.15">
      <c r="B744" s="567">
        <v>-20</v>
      </c>
      <c r="C744" s="566"/>
      <c r="D744" s="566"/>
      <c r="E744" s="566"/>
      <c r="F744" s="566"/>
      <c r="G744" s="566"/>
      <c r="H744" s="566"/>
      <c r="I744" s="566"/>
      <c r="J744" s="566"/>
      <c r="K744" s="566"/>
      <c r="L744" s="566"/>
      <c r="M744" s="566"/>
      <c r="N744" s="566"/>
      <c r="O744" s="566"/>
      <c r="P744" s="566"/>
      <c r="Q744" s="566"/>
      <c r="R744" s="566"/>
      <c r="S744" s="566"/>
      <c r="T744" s="566"/>
      <c r="U744" s="566"/>
      <c r="V744" s="566"/>
      <c r="W744" s="566"/>
      <c r="X744" s="566"/>
      <c r="Y744" s="566"/>
      <c r="Z744" s="566"/>
      <c r="AA744" s="566"/>
      <c r="AB744" s="566"/>
      <c r="AC744" s="566"/>
      <c r="AD744" s="566"/>
      <c r="AE744" s="566"/>
      <c r="AF744" s="566"/>
      <c r="AG744" s="566"/>
      <c r="AH744" s="566"/>
      <c r="AI744" s="566"/>
      <c r="AJ744" s="566"/>
      <c r="AK744" s="566"/>
      <c r="AL744" s="566"/>
      <c r="AM744" s="566"/>
      <c r="AN744" s="566"/>
      <c r="AO744" s="566"/>
    </row>
    <row r="745" spans="2:41" x14ac:dyDescent="0.15">
      <c r="B745" s="567">
        <v>-19</v>
      </c>
      <c r="C745" s="566"/>
      <c r="D745" s="566"/>
      <c r="E745" s="566"/>
      <c r="F745" s="566"/>
      <c r="G745" s="566"/>
      <c r="H745" s="566"/>
      <c r="I745" s="566"/>
      <c r="J745" s="566"/>
      <c r="K745" s="566"/>
      <c r="L745" s="566"/>
      <c r="M745" s="566"/>
      <c r="N745" s="566"/>
      <c r="O745" s="566"/>
      <c r="P745" s="566"/>
      <c r="Q745" s="566"/>
      <c r="R745" s="566"/>
      <c r="S745" s="566"/>
      <c r="T745" s="566"/>
      <c r="U745" s="566"/>
      <c r="V745" s="566"/>
      <c r="W745" s="566"/>
      <c r="X745" s="566"/>
      <c r="Y745" s="566"/>
      <c r="Z745" s="566"/>
      <c r="AA745" s="566"/>
      <c r="AB745" s="566"/>
      <c r="AC745" s="566"/>
      <c r="AD745" s="566"/>
      <c r="AE745" s="566"/>
      <c r="AF745" s="566"/>
      <c r="AG745" s="566"/>
      <c r="AH745" s="566"/>
      <c r="AI745" s="566"/>
      <c r="AJ745" s="566"/>
      <c r="AK745" s="566"/>
      <c r="AL745" s="566"/>
      <c r="AM745" s="566"/>
      <c r="AN745" s="566"/>
      <c r="AO745" s="566"/>
    </row>
    <row r="746" spans="2:41" x14ac:dyDescent="0.15">
      <c r="B746" s="567">
        <v>-18</v>
      </c>
      <c r="C746" s="566"/>
      <c r="D746" s="566"/>
      <c r="E746" s="566"/>
      <c r="F746" s="566"/>
      <c r="G746" s="566"/>
      <c r="H746" s="566"/>
      <c r="I746" s="566"/>
      <c r="J746" s="566"/>
      <c r="K746" s="566"/>
      <c r="L746" s="566"/>
      <c r="M746" s="566"/>
      <c r="N746" s="566"/>
      <c r="O746" s="566"/>
      <c r="P746" s="566"/>
      <c r="Q746" s="566"/>
      <c r="R746" s="566"/>
      <c r="S746" s="566"/>
      <c r="T746" s="566"/>
      <c r="U746" s="566"/>
      <c r="V746" s="566"/>
      <c r="W746" s="566"/>
      <c r="X746" s="566"/>
      <c r="Y746" s="566"/>
      <c r="Z746" s="566"/>
      <c r="AA746" s="566"/>
      <c r="AB746" s="566"/>
      <c r="AC746" s="566"/>
      <c r="AD746" s="566"/>
      <c r="AE746" s="566"/>
      <c r="AF746" s="566"/>
      <c r="AG746" s="566"/>
      <c r="AH746" s="566"/>
      <c r="AI746" s="566"/>
      <c r="AJ746" s="566"/>
      <c r="AK746" s="566"/>
      <c r="AL746" s="566"/>
      <c r="AM746" s="566"/>
      <c r="AN746" s="566"/>
      <c r="AO746" s="566"/>
    </row>
    <row r="747" spans="2:41" x14ac:dyDescent="0.15">
      <c r="B747" s="567">
        <v>-17</v>
      </c>
      <c r="C747" s="566"/>
      <c r="D747" s="566"/>
      <c r="E747" s="566"/>
      <c r="F747" s="566"/>
      <c r="G747" s="566"/>
      <c r="H747" s="566"/>
      <c r="I747" s="566"/>
      <c r="J747" s="566"/>
      <c r="K747" s="566"/>
      <c r="L747" s="566"/>
      <c r="M747" s="566"/>
      <c r="N747" s="566"/>
      <c r="O747" s="566"/>
      <c r="P747" s="566"/>
      <c r="Q747" s="566"/>
      <c r="R747" s="566"/>
      <c r="S747" s="566"/>
      <c r="T747" s="566"/>
      <c r="U747" s="566"/>
      <c r="V747" s="566"/>
      <c r="W747" s="566"/>
      <c r="X747" s="566"/>
      <c r="Y747" s="566"/>
      <c r="Z747" s="566"/>
      <c r="AA747" s="566"/>
      <c r="AB747" s="566"/>
      <c r="AC747" s="566"/>
      <c r="AD747" s="566"/>
      <c r="AE747" s="566"/>
      <c r="AF747" s="566"/>
      <c r="AG747" s="566"/>
      <c r="AH747" s="566"/>
      <c r="AI747" s="566"/>
      <c r="AJ747" s="566"/>
      <c r="AK747" s="566"/>
      <c r="AL747" s="566"/>
      <c r="AM747" s="566"/>
      <c r="AN747" s="566"/>
      <c r="AO747" s="566"/>
    </row>
    <row r="748" spans="2:41" x14ac:dyDescent="0.15">
      <c r="B748" s="567">
        <v>-16</v>
      </c>
      <c r="C748" s="566"/>
      <c r="D748" s="566"/>
      <c r="E748" s="566"/>
      <c r="F748" s="566"/>
      <c r="G748" s="566"/>
      <c r="H748" s="566"/>
      <c r="I748" s="566"/>
      <c r="J748" s="566"/>
      <c r="K748" s="566"/>
      <c r="L748" s="566"/>
      <c r="M748" s="566"/>
      <c r="N748" s="566"/>
      <c r="O748" s="566"/>
      <c r="P748" s="566"/>
      <c r="Q748" s="566"/>
      <c r="R748" s="566"/>
      <c r="S748" s="566"/>
      <c r="T748" s="566"/>
      <c r="U748" s="566"/>
      <c r="V748" s="566"/>
      <c r="W748" s="566"/>
      <c r="X748" s="566"/>
      <c r="Y748" s="566"/>
      <c r="Z748" s="566"/>
      <c r="AA748" s="566"/>
      <c r="AB748" s="566"/>
      <c r="AC748" s="566"/>
      <c r="AD748" s="566"/>
      <c r="AE748" s="566"/>
      <c r="AF748" s="566"/>
      <c r="AG748" s="566"/>
      <c r="AH748" s="566"/>
      <c r="AI748" s="566"/>
      <c r="AJ748" s="566"/>
      <c r="AK748" s="566"/>
      <c r="AL748" s="566"/>
      <c r="AM748" s="566"/>
      <c r="AN748" s="566"/>
      <c r="AO748" s="566"/>
    </row>
    <row r="749" spans="2:41" x14ac:dyDescent="0.15">
      <c r="B749" s="567">
        <v>-15</v>
      </c>
      <c r="C749" s="566"/>
      <c r="D749" s="566"/>
      <c r="E749" s="566"/>
      <c r="F749" s="566"/>
      <c r="G749" s="566"/>
      <c r="H749" s="566"/>
      <c r="I749" s="566"/>
      <c r="J749" s="566"/>
      <c r="K749" s="566"/>
      <c r="L749" s="566"/>
      <c r="M749" s="566"/>
      <c r="N749" s="566"/>
      <c r="O749" s="566"/>
      <c r="P749" s="566"/>
      <c r="Q749" s="566"/>
      <c r="R749" s="566"/>
      <c r="S749" s="566"/>
      <c r="T749" s="566"/>
      <c r="U749" s="566"/>
      <c r="V749" s="566"/>
      <c r="W749" s="566"/>
      <c r="X749" s="566"/>
      <c r="Y749" s="566"/>
      <c r="Z749" s="566"/>
      <c r="AA749" s="566"/>
      <c r="AB749" s="566"/>
      <c r="AC749" s="566"/>
      <c r="AD749" s="566"/>
      <c r="AE749" s="566"/>
      <c r="AF749" s="566"/>
      <c r="AG749" s="566"/>
      <c r="AH749" s="566"/>
      <c r="AI749" s="566"/>
      <c r="AJ749" s="566"/>
      <c r="AK749" s="566"/>
      <c r="AL749" s="566"/>
      <c r="AM749" s="566"/>
      <c r="AN749" s="566"/>
      <c r="AO749" s="566"/>
    </row>
    <row r="750" spans="2:41" x14ac:dyDescent="0.15">
      <c r="B750" s="567">
        <v>-14</v>
      </c>
      <c r="C750" s="566"/>
      <c r="D750" s="566"/>
      <c r="E750" s="566"/>
      <c r="F750" s="566"/>
      <c r="G750" s="566"/>
      <c r="H750" s="566"/>
      <c r="I750" s="566"/>
      <c r="J750" s="566"/>
      <c r="K750" s="566"/>
      <c r="L750" s="566"/>
      <c r="M750" s="566"/>
      <c r="N750" s="566"/>
      <c r="O750" s="566"/>
      <c r="P750" s="566"/>
      <c r="Q750" s="566"/>
      <c r="R750" s="566"/>
      <c r="S750" s="566"/>
      <c r="T750" s="566"/>
      <c r="U750" s="566"/>
      <c r="V750" s="566"/>
      <c r="W750" s="566"/>
      <c r="X750" s="566"/>
      <c r="Y750" s="566"/>
      <c r="Z750" s="566"/>
      <c r="AA750" s="566"/>
      <c r="AB750" s="566"/>
      <c r="AC750" s="566"/>
      <c r="AD750" s="566"/>
      <c r="AE750" s="566"/>
      <c r="AF750" s="566"/>
      <c r="AG750" s="566"/>
      <c r="AH750" s="566"/>
      <c r="AI750" s="566"/>
      <c r="AJ750" s="566"/>
      <c r="AK750" s="566"/>
      <c r="AL750" s="566"/>
      <c r="AM750" s="566"/>
      <c r="AN750" s="566"/>
      <c r="AO750" s="566"/>
    </row>
    <row r="751" spans="2:41" x14ac:dyDescent="0.15">
      <c r="B751" s="567">
        <v>-13</v>
      </c>
      <c r="C751" s="566"/>
      <c r="D751" s="566"/>
      <c r="E751" s="566"/>
      <c r="F751" s="566"/>
      <c r="G751" s="566"/>
      <c r="H751" s="566"/>
      <c r="I751" s="566"/>
      <c r="J751" s="566"/>
      <c r="K751" s="566"/>
      <c r="L751" s="566"/>
      <c r="M751" s="566"/>
      <c r="N751" s="566"/>
      <c r="O751" s="566"/>
      <c r="P751" s="566"/>
      <c r="Q751" s="566"/>
      <c r="R751" s="566"/>
      <c r="S751" s="566"/>
      <c r="T751" s="566"/>
      <c r="U751" s="566"/>
      <c r="V751" s="566"/>
      <c r="W751" s="566"/>
      <c r="X751" s="566"/>
      <c r="Y751" s="566"/>
      <c r="Z751" s="566"/>
      <c r="AA751" s="566"/>
      <c r="AB751" s="566"/>
      <c r="AC751" s="566"/>
      <c r="AD751" s="566"/>
      <c r="AE751" s="566"/>
      <c r="AF751" s="566"/>
      <c r="AG751" s="566"/>
      <c r="AH751" s="566"/>
      <c r="AI751" s="566"/>
      <c r="AJ751" s="566"/>
      <c r="AK751" s="566"/>
      <c r="AL751" s="566"/>
      <c r="AM751" s="566"/>
      <c r="AN751" s="566"/>
      <c r="AO751" s="566"/>
    </row>
    <row r="752" spans="2:41" x14ac:dyDescent="0.15">
      <c r="B752" s="567">
        <v>-12</v>
      </c>
      <c r="C752" s="566"/>
      <c r="D752" s="566"/>
      <c r="E752" s="566"/>
      <c r="F752" s="566"/>
      <c r="G752" s="566"/>
      <c r="H752" s="566"/>
      <c r="I752" s="566"/>
      <c r="J752" s="566"/>
      <c r="K752" s="566"/>
      <c r="L752" s="566"/>
      <c r="M752" s="566"/>
      <c r="N752" s="566"/>
      <c r="O752" s="566"/>
      <c r="P752" s="566"/>
      <c r="Q752" s="566"/>
      <c r="R752" s="566"/>
      <c r="S752" s="566"/>
      <c r="T752" s="566"/>
      <c r="U752" s="566"/>
      <c r="V752" s="566"/>
      <c r="W752" s="566"/>
      <c r="X752" s="566"/>
      <c r="Y752" s="566"/>
      <c r="Z752" s="566"/>
      <c r="AA752" s="566"/>
      <c r="AB752" s="566"/>
      <c r="AC752" s="566"/>
      <c r="AD752" s="566"/>
      <c r="AE752" s="566"/>
      <c r="AF752" s="566"/>
      <c r="AG752" s="566"/>
      <c r="AH752" s="566"/>
      <c r="AI752" s="566"/>
      <c r="AJ752" s="566"/>
      <c r="AK752" s="566"/>
      <c r="AL752" s="566"/>
      <c r="AM752" s="566"/>
      <c r="AN752" s="566"/>
      <c r="AO752" s="566"/>
    </row>
    <row r="753" spans="2:41" x14ac:dyDescent="0.15">
      <c r="B753" s="567">
        <v>-11</v>
      </c>
      <c r="C753" s="566"/>
      <c r="D753" s="566"/>
      <c r="E753" s="566"/>
      <c r="F753" s="566"/>
      <c r="G753" s="566"/>
      <c r="H753" s="566"/>
      <c r="I753" s="566"/>
      <c r="J753" s="566"/>
      <c r="K753" s="566"/>
      <c r="L753" s="566"/>
      <c r="M753" s="566"/>
      <c r="N753" s="566"/>
      <c r="O753" s="566"/>
      <c r="P753" s="566"/>
      <c r="Q753" s="566"/>
      <c r="R753" s="566"/>
      <c r="S753" s="566"/>
      <c r="T753" s="566"/>
      <c r="U753" s="566"/>
      <c r="V753" s="566"/>
      <c r="W753" s="566"/>
      <c r="X753" s="566"/>
      <c r="Y753" s="566"/>
      <c r="Z753" s="566"/>
      <c r="AA753" s="566"/>
      <c r="AB753" s="566"/>
      <c r="AC753" s="566"/>
      <c r="AD753" s="566"/>
      <c r="AE753" s="566"/>
      <c r="AF753" s="566"/>
      <c r="AG753" s="566"/>
      <c r="AH753" s="566"/>
      <c r="AI753" s="566"/>
      <c r="AJ753" s="566"/>
      <c r="AK753" s="566"/>
      <c r="AL753" s="566"/>
      <c r="AM753" s="566"/>
      <c r="AN753" s="566"/>
      <c r="AO753" s="566"/>
    </row>
    <row r="754" spans="2:41" x14ac:dyDescent="0.15">
      <c r="B754" s="567">
        <v>-10</v>
      </c>
      <c r="C754" s="566"/>
      <c r="D754" s="566"/>
      <c r="E754" s="566"/>
      <c r="F754" s="566"/>
      <c r="G754" s="566"/>
      <c r="H754" s="566"/>
      <c r="I754" s="566"/>
      <c r="J754" s="566"/>
      <c r="K754" s="566"/>
      <c r="L754" s="566"/>
      <c r="M754" s="566"/>
      <c r="N754" s="566"/>
      <c r="O754" s="566"/>
      <c r="P754" s="566"/>
      <c r="Q754" s="566"/>
      <c r="R754" s="566"/>
      <c r="S754" s="566"/>
      <c r="T754" s="566"/>
      <c r="U754" s="566"/>
      <c r="V754" s="566"/>
      <c r="W754" s="566"/>
      <c r="X754" s="566"/>
      <c r="Y754" s="566"/>
      <c r="Z754" s="566"/>
      <c r="AA754" s="566"/>
      <c r="AB754" s="566"/>
      <c r="AC754" s="566"/>
      <c r="AD754" s="566"/>
      <c r="AE754" s="566"/>
      <c r="AF754" s="566"/>
      <c r="AG754" s="566"/>
      <c r="AH754" s="566"/>
      <c r="AI754" s="566"/>
      <c r="AJ754" s="566"/>
      <c r="AK754" s="566"/>
      <c r="AL754" s="566"/>
      <c r="AM754" s="566"/>
      <c r="AN754" s="566"/>
      <c r="AO754" s="566"/>
    </row>
    <row r="755" spans="2:41" x14ac:dyDescent="0.15">
      <c r="B755" s="567">
        <v>-9</v>
      </c>
      <c r="C755" s="566"/>
      <c r="D755" s="566"/>
      <c r="E755" s="566"/>
      <c r="F755" s="566"/>
      <c r="G755" s="566"/>
      <c r="H755" s="566"/>
      <c r="I755" s="566"/>
      <c r="J755" s="566"/>
      <c r="K755" s="566"/>
      <c r="L755" s="566"/>
      <c r="M755" s="566"/>
      <c r="N755" s="566"/>
      <c r="O755" s="566"/>
      <c r="P755" s="566"/>
      <c r="Q755" s="566"/>
      <c r="R755" s="566"/>
      <c r="S755" s="566"/>
      <c r="T755" s="566"/>
      <c r="U755" s="566"/>
      <c r="V755" s="566"/>
      <c r="W755" s="566"/>
      <c r="X755" s="566"/>
      <c r="Y755" s="566"/>
      <c r="Z755" s="566"/>
      <c r="AA755" s="566"/>
      <c r="AB755" s="566"/>
      <c r="AC755" s="566"/>
      <c r="AD755" s="566"/>
      <c r="AE755" s="566"/>
      <c r="AF755" s="566"/>
      <c r="AG755" s="566"/>
      <c r="AH755" s="566"/>
      <c r="AI755" s="566"/>
      <c r="AJ755" s="566"/>
      <c r="AK755" s="566"/>
      <c r="AL755" s="566"/>
      <c r="AM755" s="566"/>
      <c r="AN755" s="566"/>
      <c r="AO755" s="566"/>
    </row>
    <row r="756" spans="2:41" x14ac:dyDescent="0.15">
      <c r="B756" s="567">
        <v>-8</v>
      </c>
      <c r="C756" s="566"/>
      <c r="D756" s="566"/>
      <c r="E756" s="566"/>
      <c r="F756" s="566"/>
      <c r="G756" s="566"/>
      <c r="H756" s="566"/>
      <c r="I756" s="566"/>
      <c r="J756" s="566"/>
      <c r="K756" s="566"/>
      <c r="L756" s="566"/>
      <c r="M756" s="566"/>
      <c r="N756" s="566"/>
      <c r="O756" s="566"/>
      <c r="P756" s="566"/>
      <c r="Q756" s="566"/>
      <c r="R756" s="566"/>
      <c r="S756" s="566"/>
      <c r="T756" s="566"/>
      <c r="U756" s="566"/>
      <c r="V756" s="566"/>
      <c r="W756" s="566"/>
      <c r="X756" s="566"/>
      <c r="Y756" s="566"/>
      <c r="Z756" s="566"/>
      <c r="AA756" s="566"/>
      <c r="AB756" s="566"/>
      <c r="AC756" s="566"/>
      <c r="AD756" s="566"/>
      <c r="AE756" s="566"/>
      <c r="AF756" s="566"/>
      <c r="AG756" s="566"/>
      <c r="AH756" s="566"/>
      <c r="AI756" s="566"/>
      <c r="AJ756" s="566"/>
      <c r="AK756" s="566"/>
      <c r="AL756" s="566"/>
      <c r="AM756" s="566"/>
      <c r="AN756" s="566"/>
      <c r="AO756" s="566"/>
    </row>
    <row r="757" spans="2:41" x14ac:dyDescent="0.15">
      <c r="B757" s="567">
        <v>-7</v>
      </c>
      <c r="C757" s="566"/>
      <c r="D757" s="566"/>
      <c r="E757" s="566"/>
      <c r="F757" s="566"/>
      <c r="G757" s="566"/>
      <c r="H757" s="566"/>
      <c r="I757" s="566"/>
      <c r="J757" s="566"/>
      <c r="K757" s="566"/>
      <c r="L757" s="566"/>
      <c r="M757" s="566"/>
      <c r="N757" s="566"/>
      <c r="O757" s="566"/>
      <c r="P757" s="566"/>
      <c r="Q757" s="566"/>
      <c r="R757" s="566"/>
      <c r="S757" s="566"/>
      <c r="T757" s="566"/>
      <c r="U757" s="566"/>
      <c r="V757" s="566"/>
      <c r="W757" s="566"/>
      <c r="X757" s="566"/>
      <c r="Y757" s="566"/>
      <c r="Z757" s="566"/>
      <c r="AA757" s="566"/>
      <c r="AB757" s="566"/>
      <c r="AC757" s="566"/>
      <c r="AD757" s="566"/>
      <c r="AE757" s="566"/>
      <c r="AF757" s="566"/>
      <c r="AG757" s="566"/>
      <c r="AH757" s="566"/>
      <c r="AI757" s="566"/>
      <c r="AJ757" s="566"/>
      <c r="AK757" s="566"/>
      <c r="AL757" s="566"/>
      <c r="AM757" s="566"/>
      <c r="AN757" s="566"/>
      <c r="AO757" s="566"/>
    </row>
    <row r="758" spans="2:41" x14ac:dyDescent="0.15">
      <c r="B758" s="567">
        <v>-6</v>
      </c>
      <c r="C758" s="566"/>
      <c r="D758" s="566"/>
      <c r="E758" s="566"/>
      <c r="F758" s="566"/>
      <c r="G758" s="566"/>
      <c r="H758" s="566"/>
      <c r="I758" s="566"/>
      <c r="J758" s="566"/>
      <c r="K758" s="566"/>
      <c r="L758" s="566"/>
      <c r="M758" s="566"/>
      <c r="N758" s="566"/>
      <c r="O758" s="566"/>
      <c r="P758" s="566"/>
      <c r="Q758" s="566"/>
      <c r="R758" s="566"/>
      <c r="S758" s="566"/>
      <c r="T758" s="566"/>
      <c r="U758" s="566"/>
      <c r="V758" s="566"/>
      <c r="W758" s="566"/>
      <c r="X758" s="566"/>
      <c r="Y758" s="566"/>
      <c r="Z758" s="566"/>
      <c r="AA758" s="566"/>
      <c r="AB758" s="566"/>
      <c r="AC758" s="566"/>
      <c r="AD758" s="566"/>
      <c r="AE758" s="566"/>
      <c r="AF758" s="566"/>
      <c r="AG758" s="566"/>
      <c r="AH758" s="566"/>
      <c r="AI758" s="566"/>
      <c r="AJ758" s="566"/>
      <c r="AK758" s="566"/>
      <c r="AL758" s="566"/>
      <c r="AM758" s="566"/>
      <c r="AN758" s="566"/>
      <c r="AO758" s="566"/>
    </row>
    <row r="759" spans="2:41" x14ac:dyDescent="0.15">
      <c r="B759" s="567">
        <v>-5</v>
      </c>
      <c r="C759" s="566"/>
      <c r="D759" s="566"/>
      <c r="E759" s="566"/>
      <c r="F759" s="566"/>
      <c r="G759" s="566"/>
      <c r="H759" s="566"/>
      <c r="I759" s="566"/>
      <c r="J759" s="566"/>
      <c r="K759" s="566"/>
      <c r="L759" s="566"/>
      <c r="M759" s="566"/>
      <c r="N759" s="566"/>
      <c r="O759" s="566"/>
      <c r="P759" s="566"/>
      <c r="Q759" s="566"/>
      <c r="R759" s="566"/>
      <c r="S759" s="566"/>
      <c r="T759" s="566"/>
      <c r="U759" s="566"/>
      <c r="V759" s="566"/>
      <c r="W759" s="566"/>
      <c r="X759" s="566"/>
      <c r="Y759" s="566"/>
      <c r="Z759" s="566"/>
      <c r="AA759" s="566"/>
      <c r="AB759" s="566"/>
      <c r="AC759" s="566"/>
      <c r="AD759" s="566"/>
      <c r="AE759" s="566"/>
      <c r="AF759" s="566"/>
      <c r="AG759" s="566"/>
      <c r="AH759" s="566"/>
      <c r="AI759" s="566"/>
      <c r="AJ759" s="566"/>
      <c r="AK759" s="566"/>
      <c r="AL759" s="566"/>
      <c r="AM759" s="566"/>
      <c r="AN759" s="566"/>
      <c r="AO759" s="566"/>
    </row>
    <row r="760" spans="2:41" x14ac:dyDescent="0.15">
      <c r="B760" s="567">
        <v>-4</v>
      </c>
      <c r="C760" s="566"/>
      <c r="D760" s="566"/>
      <c r="E760" s="566"/>
      <c r="F760" s="566"/>
      <c r="G760" s="566"/>
      <c r="H760" s="566"/>
      <c r="I760" s="566"/>
      <c r="J760" s="566"/>
      <c r="K760" s="566"/>
      <c r="L760" s="566"/>
      <c r="M760" s="566"/>
      <c r="N760" s="566"/>
      <c r="O760" s="566"/>
      <c r="P760" s="566"/>
      <c r="Q760" s="566"/>
      <c r="R760" s="566"/>
      <c r="S760" s="566"/>
      <c r="T760" s="566"/>
      <c r="U760" s="566"/>
      <c r="V760" s="566"/>
      <c r="W760" s="566"/>
      <c r="X760" s="566"/>
      <c r="Y760" s="566"/>
      <c r="Z760" s="566"/>
      <c r="AA760" s="566"/>
      <c r="AB760" s="566"/>
      <c r="AC760" s="566"/>
      <c r="AD760" s="566"/>
      <c r="AE760" s="566"/>
      <c r="AF760" s="566"/>
      <c r="AG760" s="566"/>
      <c r="AH760" s="566"/>
      <c r="AI760" s="566"/>
      <c r="AJ760" s="566"/>
      <c r="AK760" s="566"/>
      <c r="AL760" s="566"/>
      <c r="AM760" s="566"/>
      <c r="AN760" s="566"/>
      <c r="AO760" s="566"/>
    </row>
    <row r="761" spans="2:41" x14ac:dyDescent="0.15">
      <c r="B761" s="567">
        <v>-3</v>
      </c>
      <c r="C761" s="566"/>
      <c r="D761" s="566"/>
      <c r="E761" s="566"/>
      <c r="F761" s="566"/>
      <c r="G761" s="566"/>
      <c r="H761" s="566"/>
      <c r="I761" s="566"/>
      <c r="J761" s="566"/>
      <c r="K761" s="566"/>
      <c r="L761" s="566"/>
      <c r="M761" s="566"/>
      <c r="N761" s="566"/>
      <c r="O761" s="566"/>
      <c r="P761" s="566"/>
      <c r="Q761" s="566"/>
      <c r="R761" s="566"/>
      <c r="S761" s="566"/>
      <c r="T761" s="566"/>
      <c r="U761" s="566"/>
      <c r="V761" s="566"/>
      <c r="W761" s="566"/>
      <c r="X761" s="566"/>
      <c r="Y761" s="566"/>
      <c r="Z761" s="566"/>
      <c r="AA761" s="566"/>
      <c r="AB761" s="566"/>
      <c r="AC761" s="566"/>
      <c r="AD761" s="566"/>
      <c r="AE761" s="566"/>
      <c r="AF761" s="566"/>
      <c r="AG761" s="566"/>
      <c r="AH761" s="566"/>
      <c r="AI761" s="566"/>
      <c r="AJ761" s="566"/>
      <c r="AK761" s="566"/>
      <c r="AL761" s="566"/>
      <c r="AM761" s="566"/>
      <c r="AN761" s="566"/>
      <c r="AO761" s="566"/>
    </row>
    <row r="762" spans="2:41" x14ac:dyDescent="0.15">
      <c r="B762" s="567">
        <v>-2</v>
      </c>
      <c r="C762" s="566"/>
      <c r="D762" s="566"/>
      <c r="E762" s="566"/>
      <c r="F762" s="566"/>
      <c r="G762" s="566"/>
      <c r="H762" s="566"/>
      <c r="I762" s="566"/>
      <c r="J762" s="566"/>
      <c r="K762" s="566"/>
      <c r="L762" s="566"/>
      <c r="M762" s="566"/>
      <c r="N762" s="566"/>
      <c r="O762" s="566"/>
      <c r="P762" s="566"/>
      <c r="Q762" s="566"/>
      <c r="R762" s="566"/>
      <c r="S762" s="566"/>
      <c r="T762" s="566"/>
      <c r="U762" s="566"/>
      <c r="V762" s="566"/>
      <c r="W762" s="566"/>
      <c r="X762" s="566"/>
      <c r="Y762" s="566"/>
      <c r="Z762" s="566"/>
      <c r="AA762" s="566"/>
      <c r="AB762" s="566"/>
      <c r="AC762" s="566"/>
      <c r="AD762" s="566"/>
      <c r="AE762" s="566"/>
      <c r="AF762" s="566"/>
      <c r="AG762" s="566"/>
      <c r="AH762" s="566"/>
      <c r="AI762" s="566"/>
      <c r="AJ762" s="566"/>
      <c r="AK762" s="566"/>
      <c r="AL762" s="566"/>
      <c r="AM762" s="566"/>
      <c r="AN762" s="566"/>
      <c r="AO762" s="566"/>
    </row>
    <row r="763" spans="2:41" x14ac:dyDescent="0.15">
      <c r="B763" s="567">
        <v>-1</v>
      </c>
      <c r="C763" s="566"/>
      <c r="D763" s="566"/>
      <c r="E763" s="566"/>
      <c r="F763" s="566"/>
      <c r="G763" s="566"/>
      <c r="H763" s="566"/>
      <c r="I763" s="566"/>
      <c r="J763" s="566"/>
      <c r="K763" s="566"/>
      <c r="L763" s="566"/>
      <c r="M763" s="566"/>
      <c r="N763" s="566"/>
      <c r="O763" s="566"/>
      <c r="P763" s="566"/>
      <c r="Q763" s="566"/>
      <c r="R763" s="566"/>
      <c r="S763" s="566"/>
      <c r="T763" s="566"/>
      <c r="U763" s="566"/>
      <c r="V763" s="566"/>
      <c r="W763" s="566"/>
      <c r="X763" s="566"/>
      <c r="Y763" s="566"/>
      <c r="Z763" s="566"/>
      <c r="AA763" s="566"/>
      <c r="AB763" s="566"/>
      <c r="AC763" s="566"/>
      <c r="AD763" s="566"/>
      <c r="AE763" s="566"/>
      <c r="AF763" s="566"/>
      <c r="AG763" s="566"/>
      <c r="AH763" s="566"/>
      <c r="AI763" s="566"/>
      <c r="AJ763" s="566"/>
      <c r="AK763" s="566"/>
      <c r="AL763" s="566"/>
      <c r="AM763" s="566"/>
      <c r="AN763" s="566"/>
      <c r="AO763" s="566"/>
    </row>
    <row r="764" spans="2:41" x14ac:dyDescent="0.15">
      <c r="B764" s="567">
        <v>0</v>
      </c>
      <c r="C764" s="566"/>
      <c r="D764" s="566"/>
      <c r="E764" s="566"/>
      <c r="F764" s="566"/>
      <c r="G764" s="566"/>
      <c r="H764" s="566"/>
      <c r="I764" s="566"/>
      <c r="J764" s="566"/>
      <c r="K764" s="566"/>
      <c r="L764" s="566"/>
      <c r="M764" s="566"/>
      <c r="N764" s="566"/>
      <c r="O764" s="566"/>
      <c r="P764" s="566"/>
      <c r="Q764" s="566"/>
      <c r="R764" s="566"/>
      <c r="S764" s="566"/>
      <c r="T764" s="566"/>
      <c r="U764" s="566"/>
      <c r="V764" s="566"/>
      <c r="W764" s="566"/>
      <c r="X764" s="566"/>
      <c r="Y764" s="566"/>
      <c r="Z764" s="566"/>
      <c r="AA764" s="566"/>
      <c r="AB764" s="566"/>
      <c r="AC764" s="566"/>
      <c r="AD764" s="566"/>
      <c r="AE764" s="566"/>
      <c r="AF764" s="566"/>
      <c r="AG764" s="566"/>
      <c r="AH764" s="566"/>
      <c r="AI764" s="566"/>
      <c r="AJ764" s="566"/>
      <c r="AK764" s="566"/>
      <c r="AL764" s="566"/>
      <c r="AM764" s="566"/>
      <c r="AN764" s="566"/>
      <c r="AO764" s="566"/>
    </row>
    <row r="765" spans="2:41" x14ac:dyDescent="0.15">
      <c r="B765" s="567">
        <v>1</v>
      </c>
      <c r="C765" s="566"/>
      <c r="D765" s="566"/>
      <c r="E765" s="566"/>
      <c r="F765" s="566"/>
      <c r="G765" s="566"/>
      <c r="H765" s="566"/>
      <c r="I765" s="566"/>
      <c r="J765" s="566"/>
      <c r="K765" s="566"/>
      <c r="L765" s="566"/>
      <c r="M765" s="566"/>
      <c r="N765" s="566"/>
      <c r="O765" s="566"/>
      <c r="P765" s="566"/>
      <c r="Q765" s="566"/>
      <c r="R765" s="566"/>
      <c r="S765" s="566"/>
      <c r="T765" s="566"/>
      <c r="U765" s="566"/>
      <c r="V765" s="566"/>
      <c r="W765" s="566"/>
      <c r="X765" s="566"/>
      <c r="Y765" s="566"/>
      <c r="Z765" s="566"/>
      <c r="AA765" s="566"/>
      <c r="AB765" s="566"/>
      <c r="AC765" s="566"/>
      <c r="AD765" s="566"/>
      <c r="AE765" s="566"/>
      <c r="AF765" s="566"/>
      <c r="AG765" s="566"/>
      <c r="AH765" s="566"/>
      <c r="AI765" s="566"/>
      <c r="AJ765" s="566"/>
      <c r="AK765" s="566"/>
      <c r="AL765" s="566"/>
      <c r="AM765" s="566"/>
      <c r="AN765" s="566"/>
      <c r="AO765" s="566"/>
    </row>
    <row r="766" spans="2:41" x14ac:dyDescent="0.15">
      <c r="B766" s="567">
        <v>2</v>
      </c>
      <c r="C766" s="566"/>
      <c r="D766" s="566"/>
      <c r="E766" s="566"/>
      <c r="F766" s="566"/>
      <c r="G766" s="566"/>
      <c r="H766" s="566"/>
      <c r="I766" s="566"/>
      <c r="J766" s="566"/>
      <c r="K766" s="566"/>
      <c r="L766" s="566"/>
      <c r="M766" s="566"/>
      <c r="N766" s="566"/>
      <c r="O766" s="566"/>
      <c r="P766" s="566"/>
      <c r="Q766" s="566"/>
      <c r="R766" s="566"/>
      <c r="S766" s="566"/>
      <c r="T766" s="566"/>
      <c r="U766" s="566"/>
      <c r="V766" s="566"/>
      <c r="W766" s="566"/>
      <c r="X766" s="566"/>
      <c r="Y766" s="566"/>
      <c r="Z766" s="566"/>
      <c r="AA766" s="566"/>
      <c r="AB766" s="566"/>
      <c r="AC766" s="566"/>
      <c r="AD766" s="566"/>
      <c r="AE766" s="566"/>
      <c r="AF766" s="566"/>
      <c r="AG766" s="566"/>
      <c r="AH766" s="566"/>
      <c r="AI766" s="566"/>
      <c r="AJ766" s="566"/>
      <c r="AK766" s="566"/>
      <c r="AL766" s="566"/>
      <c r="AM766" s="566"/>
      <c r="AN766" s="566"/>
      <c r="AO766" s="566"/>
    </row>
    <row r="767" spans="2:41" x14ac:dyDescent="0.15">
      <c r="B767" s="567">
        <v>3</v>
      </c>
      <c r="C767" s="566"/>
      <c r="D767" s="566"/>
      <c r="E767" s="566"/>
      <c r="F767" s="566"/>
      <c r="G767" s="566"/>
      <c r="H767" s="566"/>
      <c r="I767" s="566"/>
      <c r="J767" s="566"/>
      <c r="K767" s="566"/>
      <c r="L767" s="566"/>
      <c r="M767" s="566"/>
      <c r="N767" s="566"/>
      <c r="O767" s="566"/>
      <c r="P767" s="566"/>
      <c r="Q767" s="566"/>
      <c r="R767" s="566"/>
      <c r="S767" s="566"/>
      <c r="T767" s="566"/>
      <c r="U767" s="566"/>
      <c r="V767" s="566"/>
      <c r="W767" s="566"/>
      <c r="X767" s="566"/>
      <c r="Y767" s="566"/>
      <c r="Z767" s="566"/>
      <c r="AA767" s="566"/>
      <c r="AB767" s="566"/>
      <c r="AC767" s="566"/>
      <c r="AD767" s="566"/>
      <c r="AE767" s="566"/>
      <c r="AF767" s="566"/>
      <c r="AG767" s="566"/>
      <c r="AH767" s="566"/>
      <c r="AI767" s="566"/>
      <c r="AJ767" s="566"/>
      <c r="AK767" s="566"/>
      <c r="AL767" s="566"/>
      <c r="AM767" s="566"/>
      <c r="AN767" s="566"/>
      <c r="AO767" s="566"/>
    </row>
    <row r="768" spans="2:41" x14ac:dyDescent="0.15">
      <c r="B768" s="567">
        <v>4</v>
      </c>
      <c r="C768" s="566"/>
      <c r="D768" s="566"/>
      <c r="E768" s="566"/>
      <c r="F768" s="566"/>
      <c r="G768" s="566"/>
      <c r="H768" s="566"/>
      <c r="I768" s="566"/>
      <c r="J768" s="566"/>
      <c r="K768" s="566"/>
      <c r="L768" s="566"/>
      <c r="M768" s="566"/>
      <c r="N768" s="566"/>
      <c r="O768" s="566"/>
      <c r="P768" s="566"/>
      <c r="Q768" s="566"/>
      <c r="R768" s="566"/>
      <c r="S768" s="566"/>
      <c r="T768" s="566"/>
      <c r="U768" s="566"/>
      <c r="V768" s="566"/>
      <c r="W768" s="566"/>
      <c r="X768" s="566"/>
      <c r="Y768" s="566"/>
      <c r="Z768" s="566"/>
      <c r="AA768" s="566"/>
      <c r="AB768" s="566"/>
      <c r="AC768" s="566"/>
      <c r="AD768" s="566"/>
      <c r="AE768" s="566"/>
      <c r="AF768" s="566"/>
      <c r="AG768" s="566"/>
      <c r="AH768" s="566"/>
      <c r="AI768" s="566"/>
      <c r="AJ768" s="566"/>
      <c r="AK768" s="566"/>
      <c r="AL768" s="566"/>
      <c r="AM768" s="566"/>
      <c r="AN768" s="566"/>
      <c r="AO768" s="566"/>
    </row>
    <row r="769" spans="2:41" x14ac:dyDescent="0.15">
      <c r="B769" s="567">
        <v>5</v>
      </c>
      <c r="C769" s="566"/>
      <c r="D769" s="566"/>
      <c r="E769" s="566"/>
      <c r="F769" s="566"/>
      <c r="G769" s="566"/>
      <c r="H769" s="566"/>
      <c r="I769" s="566"/>
      <c r="J769" s="566"/>
      <c r="K769" s="566"/>
      <c r="L769" s="566"/>
      <c r="M769" s="566"/>
      <c r="N769" s="566"/>
      <c r="O769" s="566"/>
      <c r="P769" s="566"/>
      <c r="Q769" s="566"/>
      <c r="R769" s="566"/>
      <c r="S769" s="566"/>
      <c r="T769" s="566"/>
      <c r="U769" s="566"/>
      <c r="V769" s="566"/>
      <c r="W769" s="566"/>
      <c r="X769" s="566"/>
      <c r="Y769" s="566"/>
      <c r="Z769" s="566"/>
      <c r="AA769" s="566"/>
      <c r="AB769" s="566"/>
      <c r="AC769" s="566"/>
      <c r="AD769" s="566"/>
      <c r="AE769" s="566"/>
      <c r="AF769" s="566"/>
      <c r="AG769" s="566"/>
      <c r="AH769" s="566"/>
      <c r="AI769" s="566"/>
      <c r="AJ769" s="566"/>
      <c r="AK769" s="566"/>
      <c r="AL769" s="566"/>
      <c r="AM769" s="566"/>
      <c r="AN769" s="566"/>
      <c r="AO769" s="566"/>
    </row>
    <row r="770" spans="2:41" x14ac:dyDescent="0.15">
      <c r="B770" s="567">
        <v>6</v>
      </c>
      <c r="C770" s="566"/>
      <c r="D770" s="566"/>
      <c r="E770" s="566"/>
      <c r="F770" s="566"/>
      <c r="G770" s="566"/>
      <c r="H770" s="566"/>
      <c r="I770" s="566"/>
      <c r="J770" s="566"/>
      <c r="K770" s="566"/>
      <c r="L770" s="566"/>
      <c r="M770" s="566"/>
      <c r="N770" s="566"/>
      <c r="O770" s="566"/>
      <c r="P770" s="566"/>
      <c r="Q770" s="566"/>
      <c r="R770" s="566"/>
      <c r="S770" s="566"/>
      <c r="T770" s="566"/>
      <c r="U770" s="566"/>
      <c r="V770" s="566"/>
      <c r="W770" s="566"/>
      <c r="X770" s="566"/>
      <c r="Y770" s="566"/>
      <c r="Z770" s="566"/>
      <c r="AA770" s="566"/>
      <c r="AB770" s="566"/>
      <c r="AC770" s="566"/>
      <c r="AD770" s="566"/>
      <c r="AE770" s="566"/>
      <c r="AF770" s="566"/>
      <c r="AG770" s="566"/>
      <c r="AH770" s="566"/>
      <c r="AI770" s="566"/>
      <c r="AJ770" s="566"/>
      <c r="AK770" s="566"/>
      <c r="AL770" s="566"/>
      <c r="AM770" s="566"/>
      <c r="AN770" s="566"/>
      <c r="AO770" s="566"/>
    </row>
    <row r="771" spans="2:41" x14ac:dyDescent="0.15">
      <c r="B771" s="567">
        <v>7</v>
      </c>
      <c r="C771" s="566"/>
      <c r="D771" s="566"/>
      <c r="E771" s="566"/>
      <c r="F771" s="566"/>
      <c r="G771" s="566"/>
      <c r="H771" s="566"/>
      <c r="I771" s="566"/>
      <c r="J771" s="566"/>
      <c r="K771" s="566"/>
      <c r="L771" s="566"/>
      <c r="M771" s="566"/>
      <c r="N771" s="566"/>
      <c r="O771" s="566"/>
      <c r="P771" s="566"/>
      <c r="Q771" s="566"/>
      <c r="R771" s="566"/>
      <c r="S771" s="566"/>
      <c r="T771" s="566"/>
      <c r="U771" s="566"/>
      <c r="V771" s="566"/>
      <c r="W771" s="566"/>
      <c r="X771" s="566"/>
      <c r="Y771" s="566"/>
      <c r="Z771" s="566"/>
      <c r="AA771" s="566"/>
      <c r="AB771" s="566"/>
      <c r="AC771" s="566"/>
      <c r="AD771" s="566"/>
      <c r="AE771" s="566"/>
      <c r="AF771" s="566"/>
      <c r="AG771" s="566"/>
      <c r="AH771" s="566"/>
      <c r="AI771" s="566"/>
      <c r="AJ771" s="566"/>
      <c r="AK771" s="566"/>
      <c r="AL771" s="566"/>
      <c r="AM771" s="566"/>
      <c r="AN771" s="566"/>
      <c r="AO771" s="566"/>
    </row>
    <row r="772" spans="2:41" x14ac:dyDescent="0.15">
      <c r="B772" s="567">
        <v>8</v>
      </c>
      <c r="C772" s="566"/>
      <c r="D772" s="566"/>
      <c r="E772" s="566"/>
      <c r="F772" s="566"/>
      <c r="G772" s="566"/>
      <c r="H772" s="566"/>
      <c r="I772" s="566"/>
      <c r="J772" s="566"/>
      <c r="K772" s="566"/>
      <c r="L772" s="566"/>
      <c r="M772" s="566"/>
      <c r="N772" s="566"/>
      <c r="O772" s="566"/>
      <c r="P772" s="566"/>
      <c r="Q772" s="566"/>
      <c r="R772" s="566"/>
      <c r="S772" s="566"/>
      <c r="T772" s="566"/>
      <c r="U772" s="566"/>
      <c r="V772" s="566"/>
      <c r="W772" s="566"/>
      <c r="X772" s="566"/>
      <c r="Y772" s="566"/>
      <c r="Z772" s="566"/>
      <c r="AA772" s="566"/>
      <c r="AB772" s="566"/>
      <c r="AC772" s="566"/>
      <c r="AD772" s="566"/>
      <c r="AE772" s="566"/>
      <c r="AF772" s="566"/>
      <c r="AG772" s="566"/>
      <c r="AH772" s="566"/>
      <c r="AI772" s="566"/>
      <c r="AJ772" s="566"/>
      <c r="AK772" s="566"/>
      <c r="AL772" s="566"/>
      <c r="AM772" s="566"/>
      <c r="AN772" s="566"/>
      <c r="AO772" s="566"/>
    </row>
    <row r="773" spans="2:41" x14ac:dyDescent="0.15">
      <c r="B773" s="567">
        <v>9</v>
      </c>
      <c r="C773" s="566"/>
      <c r="D773" s="566"/>
      <c r="E773" s="566"/>
      <c r="F773" s="566"/>
      <c r="G773" s="566"/>
      <c r="H773" s="566"/>
      <c r="I773" s="566"/>
      <c r="J773" s="566"/>
      <c r="K773" s="566"/>
      <c r="L773" s="566"/>
      <c r="M773" s="566"/>
      <c r="N773" s="566"/>
      <c r="O773" s="566"/>
      <c r="P773" s="566"/>
      <c r="Q773" s="566"/>
      <c r="R773" s="566"/>
      <c r="S773" s="566"/>
      <c r="T773" s="566"/>
      <c r="U773" s="566"/>
      <c r="V773" s="566"/>
      <c r="W773" s="566"/>
      <c r="X773" s="566"/>
      <c r="Y773" s="566"/>
      <c r="Z773" s="566"/>
      <c r="AA773" s="566"/>
      <c r="AB773" s="566"/>
      <c r="AC773" s="566"/>
      <c r="AD773" s="566"/>
      <c r="AE773" s="566"/>
      <c r="AF773" s="566"/>
      <c r="AG773" s="566"/>
      <c r="AH773" s="566"/>
      <c r="AI773" s="566"/>
      <c r="AJ773" s="566"/>
      <c r="AK773" s="566"/>
      <c r="AL773" s="566"/>
      <c r="AM773" s="566"/>
      <c r="AN773" s="566"/>
      <c r="AO773" s="566"/>
    </row>
    <row r="774" spans="2:41" x14ac:dyDescent="0.15">
      <c r="B774" s="567">
        <v>10</v>
      </c>
      <c r="C774" s="566"/>
      <c r="D774" s="566"/>
      <c r="E774" s="566"/>
      <c r="F774" s="566"/>
      <c r="G774" s="566"/>
      <c r="H774" s="566"/>
      <c r="I774" s="566"/>
      <c r="J774" s="566"/>
      <c r="K774" s="566"/>
      <c r="L774" s="566"/>
      <c r="M774" s="566"/>
      <c r="N774" s="566"/>
      <c r="O774" s="566"/>
      <c r="P774" s="566"/>
      <c r="Q774" s="566"/>
      <c r="R774" s="566"/>
      <c r="S774" s="566"/>
      <c r="T774" s="566"/>
      <c r="U774" s="566"/>
      <c r="V774" s="566"/>
      <c r="W774" s="566"/>
      <c r="X774" s="566"/>
      <c r="Y774" s="566"/>
      <c r="Z774" s="566"/>
      <c r="AA774" s="566"/>
      <c r="AB774" s="566"/>
      <c r="AC774" s="566"/>
      <c r="AD774" s="566"/>
      <c r="AE774" s="566"/>
      <c r="AF774" s="566"/>
      <c r="AG774" s="566"/>
      <c r="AH774" s="566"/>
      <c r="AI774" s="566"/>
      <c r="AJ774" s="566"/>
      <c r="AK774" s="566"/>
      <c r="AL774" s="566"/>
      <c r="AM774" s="566"/>
      <c r="AN774" s="566"/>
      <c r="AO774" s="566"/>
    </row>
    <row r="775" spans="2:41" x14ac:dyDescent="0.15">
      <c r="B775" s="567">
        <v>11</v>
      </c>
      <c r="C775" s="566"/>
      <c r="D775" s="566"/>
      <c r="E775" s="566"/>
      <c r="F775" s="566"/>
      <c r="G775" s="566"/>
      <c r="H775" s="566"/>
      <c r="I775" s="566"/>
      <c r="J775" s="566"/>
      <c r="K775" s="566"/>
      <c r="L775" s="566"/>
      <c r="M775" s="566"/>
      <c r="N775" s="566"/>
      <c r="O775" s="566"/>
      <c r="P775" s="566"/>
      <c r="Q775" s="566"/>
      <c r="R775" s="566"/>
      <c r="S775" s="566"/>
      <c r="T775" s="566"/>
      <c r="U775" s="566"/>
      <c r="V775" s="566"/>
      <c r="W775" s="566"/>
      <c r="X775" s="566"/>
      <c r="Y775" s="566"/>
      <c r="Z775" s="566"/>
      <c r="AA775" s="566"/>
      <c r="AB775" s="566"/>
      <c r="AC775" s="566"/>
      <c r="AD775" s="566"/>
      <c r="AE775" s="566"/>
      <c r="AF775" s="566"/>
      <c r="AG775" s="566"/>
      <c r="AH775" s="566"/>
      <c r="AI775" s="566"/>
      <c r="AJ775" s="566"/>
      <c r="AK775" s="566"/>
      <c r="AL775" s="566"/>
      <c r="AM775" s="566"/>
      <c r="AN775" s="566"/>
      <c r="AO775" s="566"/>
    </row>
    <row r="776" spans="2:41" x14ac:dyDescent="0.15">
      <c r="B776" s="567">
        <v>12</v>
      </c>
      <c r="C776" s="566"/>
      <c r="D776" s="566"/>
      <c r="E776" s="566"/>
      <c r="F776" s="566"/>
      <c r="G776" s="566"/>
      <c r="H776" s="566"/>
      <c r="I776" s="566"/>
      <c r="J776" s="566"/>
      <c r="K776" s="566"/>
      <c r="L776" s="566"/>
      <c r="M776" s="566"/>
      <c r="N776" s="566"/>
      <c r="O776" s="566"/>
      <c r="P776" s="566"/>
      <c r="Q776" s="566"/>
      <c r="R776" s="566"/>
      <c r="S776" s="566"/>
      <c r="T776" s="566"/>
      <c r="U776" s="566"/>
      <c r="V776" s="566"/>
      <c r="W776" s="566"/>
      <c r="X776" s="566"/>
      <c r="Y776" s="566"/>
      <c r="Z776" s="566"/>
      <c r="AA776" s="566"/>
      <c r="AB776" s="566"/>
      <c r="AC776" s="566"/>
      <c r="AD776" s="566"/>
      <c r="AE776" s="566"/>
      <c r="AF776" s="566"/>
      <c r="AG776" s="566"/>
      <c r="AH776" s="566"/>
      <c r="AI776" s="566"/>
      <c r="AJ776" s="566"/>
      <c r="AK776" s="566"/>
      <c r="AL776" s="566"/>
      <c r="AM776" s="566"/>
      <c r="AN776" s="566"/>
      <c r="AO776" s="566"/>
    </row>
    <row r="777" spans="2:41" x14ac:dyDescent="0.15">
      <c r="B777" s="567">
        <v>13</v>
      </c>
      <c r="C777" s="566"/>
      <c r="D777" s="566"/>
      <c r="E777" s="566"/>
      <c r="F777" s="566"/>
      <c r="G777" s="566"/>
      <c r="H777" s="566"/>
      <c r="I777" s="566"/>
      <c r="J777" s="566"/>
      <c r="K777" s="566"/>
      <c r="L777" s="566"/>
      <c r="M777" s="566"/>
      <c r="N777" s="566"/>
      <c r="O777" s="566"/>
      <c r="P777" s="566"/>
      <c r="Q777" s="566"/>
      <c r="R777" s="566"/>
      <c r="S777" s="566"/>
      <c r="T777" s="566"/>
      <c r="U777" s="566"/>
      <c r="V777" s="566"/>
      <c r="W777" s="566"/>
      <c r="X777" s="566"/>
      <c r="Y777" s="566"/>
      <c r="Z777" s="566"/>
      <c r="AA777" s="566"/>
      <c r="AB777" s="566"/>
      <c r="AC777" s="566"/>
      <c r="AD777" s="566"/>
      <c r="AE777" s="566"/>
      <c r="AF777" s="566"/>
      <c r="AG777" s="566"/>
      <c r="AH777" s="566"/>
      <c r="AI777" s="566"/>
      <c r="AJ777" s="566"/>
      <c r="AK777" s="566"/>
      <c r="AL777" s="566"/>
      <c r="AM777" s="566"/>
      <c r="AN777" s="566"/>
      <c r="AO777" s="566"/>
    </row>
    <row r="778" spans="2:41" x14ac:dyDescent="0.15">
      <c r="B778" s="567">
        <v>14</v>
      </c>
      <c r="C778" s="566"/>
      <c r="D778" s="566"/>
      <c r="E778" s="566"/>
      <c r="F778" s="566"/>
      <c r="G778" s="566"/>
      <c r="H778" s="566"/>
      <c r="I778" s="566"/>
      <c r="J778" s="566"/>
      <c r="K778" s="566"/>
      <c r="L778" s="566"/>
      <c r="M778" s="566"/>
      <c r="N778" s="566"/>
      <c r="O778" s="566"/>
      <c r="P778" s="566"/>
      <c r="Q778" s="566"/>
      <c r="R778" s="566"/>
      <c r="S778" s="566"/>
      <c r="T778" s="566"/>
      <c r="U778" s="566"/>
      <c r="V778" s="566"/>
      <c r="W778" s="566"/>
      <c r="X778" s="566"/>
      <c r="Y778" s="566"/>
      <c r="Z778" s="566"/>
      <c r="AA778" s="566"/>
      <c r="AB778" s="566"/>
      <c r="AC778" s="566"/>
      <c r="AD778" s="566"/>
      <c r="AE778" s="566"/>
      <c r="AF778" s="566"/>
      <c r="AG778" s="566"/>
      <c r="AH778" s="566"/>
      <c r="AI778" s="566"/>
      <c r="AJ778" s="566"/>
      <c r="AK778" s="566"/>
      <c r="AL778" s="566"/>
      <c r="AM778" s="566"/>
      <c r="AN778" s="566"/>
      <c r="AO778" s="566"/>
    </row>
    <row r="779" spans="2:41" x14ac:dyDescent="0.15">
      <c r="B779" s="567">
        <v>15</v>
      </c>
      <c r="C779" s="566"/>
      <c r="D779" s="566"/>
      <c r="E779" s="566"/>
      <c r="F779" s="566"/>
      <c r="G779" s="566"/>
      <c r="H779" s="566"/>
      <c r="I779" s="566"/>
      <c r="J779" s="566"/>
      <c r="K779" s="566"/>
      <c r="L779" s="566"/>
      <c r="M779" s="566"/>
      <c r="N779" s="566"/>
      <c r="O779" s="566"/>
      <c r="P779" s="566"/>
      <c r="Q779" s="566"/>
      <c r="R779" s="566"/>
      <c r="S779" s="566"/>
      <c r="T779" s="566"/>
      <c r="U779" s="566"/>
      <c r="V779" s="566"/>
      <c r="W779" s="566"/>
      <c r="X779" s="566"/>
      <c r="Y779" s="566"/>
      <c r="Z779" s="566"/>
      <c r="AA779" s="566"/>
      <c r="AB779" s="566"/>
      <c r="AC779" s="566"/>
      <c r="AD779" s="566"/>
      <c r="AE779" s="566"/>
      <c r="AF779" s="566"/>
      <c r="AG779" s="566"/>
      <c r="AH779" s="566"/>
      <c r="AI779" s="566"/>
      <c r="AJ779" s="566"/>
      <c r="AK779" s="566"/>
      <c r="AL779" s="566"/>
      <c r="AM779" s="566"/>
      <c r="AN779" s="566"/>
      <c r="AO779" s="566"/>
    </row>
    <row r="780" spans="2:41" x14ac:dyDescent="0.15">
      <c r="B780" s="567">
        <v>16</v>
      </c>
      <c r="C780" s="566"/>
      <c r="D780" s="566"/>
      <c r="E780" s="566"/>
      <c r="F780" s="566"/>
      <c r="G780" s="566"/>
      <c r="H780" s="566"/>
      <c r="I780" s="566"/>
      <c r="J780" s="566"/>
      <c r="K780" s="566"/>
      <c r="L780" s="566"/>
      <c r="M780" s="566"/>
      <c r="N780" s="566"/>
      <c r="O780" s="566"/>
      <c r="P780" s="566"/>
      <c r="Q780" s="566"/>
      <c r="R780" s="566"/>
      <c r="S780" s="566"/>
      <c r="T780" s="566"/>
      <c r="U780" s="566"/>
      <c r="V780" s="566"/>
      <c r="W780" s="566"/>
      <c r="X780" s="566"/>
      <c r="Y780" s="566"/>
      <c r="Z780" s="566"/>
      <c r="AA780" s="566"/>
      <c r="AB780" s="566"/>
      <c r="AC780" s="566"/>
      <c r="AD780" s="566"/>
      <c r="AE780" s="566"/>
      <c r="AF780" s="566"/>
      <c r="AG780" s="566"/>
      <c r="AH780" s="566"/>
      <c r="AI780" s="566"/>
      <c r="AJ780" s="566"/>
      <c r="AK780" s="566"/>
      <c r="AL780" s="566"/>
      <c r="AM780" s="566"/>
      <c r="AN780" s="566"/>
      <c r="AO780" s="566"/>
    </row>
    <row r="781" spans="2:41" x14ac:dyDescent="0.15">
      <c r="B781" s="567">
        <v>17</v>
      </c>
      <c r="C781" s="566"/>
      <c r="D781" s="566"/>
      <c r="E781" s="566"/>
      <c r="F781" s="566"/>
      <c r="G781" s="566"/>
      <c r="H781" s="566"/>
      <c r="I781" s="566"/>
      <c r="J781" s="566"/>
      <c r="K781" s="566"/>
      <c r="L781" s="566"/>
      <c r="M781" s="566"/>
      <c r="N781" s="566"/>
      <c r="O781" s="566"/>
      <c r="P781" s="566"/>
      <c r="Q781" s="566"/>
      <c r="R781" s="566"/>
      <c r="S781" s="566"/>
      <c r="T781" s="566"/>
      <c r="U781" s="566"/>
      <c r="V781" s="566"/>
      <c r="W781" s="566"/>
      <c r="X781" s="566"/>
      <c r="Y781" s="566"/>
      <c r="Z781" s="566"/>
      <c r="AA781" s="566"/>
      <c r="AB781" s="566"/>
      <c r="AC781" s="566"/>
      <c r="AD781" s="566"/>
      <c r="AE781" s="566"/>
      <c r="AF781" s="566"/>
      <c r="AG781" s="566"/>
      <c r="AH781" s="566"/>
      <c r="AI781" s="566"/>
      <c r="AJ781" s="566"/>
      <c r="AK781" s="566"/>
      <c r="AL781" s="566"/>
      <c r="AM781" s="566"/>
      <c r="AN781" s="566"/>
      <c r="AO781" s="566"/>
    </row>
    <row r="782" spans="2:41" x14ac:dyDescent="0.15">
      <c r="B782" s="567">
        <v>18</v>
      </c>
      <c r="C782" s="566"/>
      <c r="D782" s="566"/>
      <c r="E782" s="566"/>
      <c r="F782" s="566"/>
      <c r="G782" s="566"/>
      <c r="H782" s="566"/>
      <c r="I782" s="566"/>
      <c r="J782" s="566"/>
      <c r="K782" s="566"/>
      <c r="L782" s="566"/>
      <c r="M782" s="566"/>
      <c r="N782" s="566"/>
      <c r="O782" s="566"/>
      <c r="P782" s="566"/>
      <c r="Q782" s="566"/>
      <c r="R782" s="566"/>
      <c r="S782" s="566"/>
      <c r="T782" s="566"/>
      <c r="U782" s="566"/>
      <c r="V782" s="566"/>
      <c r="W782" s="566"/>
      <c r="X782" s="566"/>
      <c r="Y782" s="566"/>
      <c r="Z782" s="566"/>
      <c r="AA782" s="566"/>
      <c r="AB782" s="566"/>
      <c r="AC782" s="566"/>
      <c r="AD782" s="566"/>
      <c r="AE782" s="566"/>
      <c r="AF782" s="566"/>
      <c r="AG782" s="566"/>
      <c r="AH782" s="566"/>
      <c r="AI782" s="566"/>
      <c r="AJ782" s="566"/>
      <c r="AK782" s="566"/>
      <c r="AL782" s="566"/>
      <c r="AM782" s="566"/>
      <c r="AN782" s="566"/>
      <c r="AO782" s="566"/>
    </row>
    <row r="783" spans="2:41" x14ac:dyDescent="0.15">
      <c r="B783" s="567">
        <v>19</v>
      </c>
      <c r="C783" s="566"/>
      <c r="D783" s="566"/>
      <c r="E783" s="566"/>
      <c r="F783" s="566"/>
      <c r="G783" s="566"/>
      <c r="H783" s="566"/>
      <c r="I783" s="566"/>
      <c r="J783" s="566"/>
      <c r="K783" s="566"/>
      <c r="L783" s="566"/>
      <c r="M783" s="566"/>
      <c r="N783" s="566"/>
      <c r="O783" s="566"/>
      <c r="P783" s="566"/>
      <c r="Q783" s="566"/>
      <c r="R783" s="566"/>
      <c r="S783" s="566"/>
      <c r="T783" s="566"/>
      <c r="U783" s="566"/>
      <c r="V783" s="566"/>
      <c r="W783" s="566"/>
      <c r="X783" s="566"/>
      <c r="Y783" s="566"/>
      <c r="Z783" s="566"/>
      <c r="AA783" s="566"/>
      <c r="AB783" s="566"/>
      <c r="AC783" s="566"/>
      <c r="AD783" s="566"/>
      <c r="AE783" s="566"/>
      <c r="AF783" s="566"/>
      <c r="AG783" s="566"/>
      <c r="AH783" s="566"/>
      <c r="AI783" s="566"/>
      <c r="AJ783" s="566"/>
      <c r="AK783" s="566"/>
      <c r="AL783" s="566"/>
      <c r="AM783" s="566"/>
      <c r="AN783" s="566"/>
      <c r="AO783" s="566"/>
    </row>
    <row r="784" spans="2:41" x14ac:dyDescent="0.15">
      <c r="B784" s="567">
        <v>20</v>
      </c>
      <c r="C784" s="566"/>
      <c r="D784" s="566"/>
      <c r="E784" s="566"/>
      <c r="F784" s="566"/>
      <c r="G784" s="566"/>
      <c r="H784" s="566"/>
      <c r="I784" s="566"/>
      <c r="J784" s="566"/>
      <c r="K784" s="566"/>
      <c r="L784" s="566"/>
      <c r="M784" s="566"/>
      <c r="N784" s="566"/>
      <c r="O784" s="566"/>
      <c r="P784" s="566"/>
      <c r="Q784" s="566"/>
      <c r="R784" s="566"/>
      <c r="S784" s="566"/>
      <c r="T784" s="566"/>
      <c r="U784" s="566"/>
      <c r="V784" s="566"/>
      <c r="W784" s="566"/>
      <c r="X784" s="566"/>
      <c r="Y784" s="566"/>
      <c r="Z784" s="566"/>
      <c r="AA784" s="566"/>
      <c r="AB784" s="566"/>
      <c r="AC784" s="566"/>
      <c r="AD784" s="566"/>
      <c r="AE784" s="566"/>
      <c r="AF784" s="566"/>
      <c r="AG784" s="566"/>
      <c r="AH784" s="566"/>
      <c r="AI784" s="566"/>
      <c r="AJ784" s="566"/>
      <c r="AK784" s="566"/>
      <c r="AL784" s="566"/>
      <c r="AM784" s="566"/>
      <c r="AN784" s="566"/>
      <c r="AO784" s="566"/>
    </row>
    <row r="785" spans="2:41" x14ac:dyDescent="0.15">
      <c r="B785" s="567">
        <v>21</v>
      </c>
      <c r="C785" s="566"/>
      <c r="D785" s="566"/>
      <c r="E785" s="566"/>
      <c r="F785" s="566"/>
      <c r="G785" s="566"/>
      <c r="H785" s="566"/>
      <c r="I785" s="566"/>
      <c r="J785" s="566"/>
      <c r="K785" s="566"/>
      <c r="L785" s="566"/>
      <c r="M785" s="566"/>
      <c r="N785" s="566"/>
      <c r="O785" s="566"/>
      <c r="P785" s="566"/>
      <c r="Q785" s="566"/>
      <c r="R785" s="566"/>
      <c r="S785" s="566"/>
      <c r="T785" s="566"/>
      <c r="U785" s="566"/>
      <c r="V785" s="566"/>
      <c r="W785" s="566"/>
      <c r="X785" s="566"/>
      <c r="Y785" s="566"/>
      <c r="Z785" s="566"/>
      <c r="AA785" s="566"/>
      <c r="AB785" s="566"/>
      <c r="AC785" s="566"/>
      <c r="AD785" s="566"/>
      <c r="AE785" s="566"/>
      <c r="AF785" s="566"/>
      <c r="AG785" s="566"/>
      <c r="AH785" s="566"/>
      <c r="AI785" s="566"/>
      <c r="AJ785" s="566"/>
      <c r="AK785" s="566"/>
      <c r="AL785" s="566"/>
      <c r="AM785" s="566"/>
      <c r="AN785" s="566"/>
      <c r="AO785" s="566"/>
    </row>
    <row r="786" spans="2:41" x14ac:dyDescent="0.15">
      <c r="B786" s="567">
        <v>22</v>
      </c>
      <c r="C786" s="566"/>
      <c r="D786" s="566"/>
      <c r="E786" s="566"/>
      <c r="F786" s="566"/>
      <c r="G786" s="566"/>
      <c r="H786" s="566"/>
      <c r="I786" s="566"/>
      <c r="J786" s="566"/>
      <c r="K786" s="566"/>
      <c r="L786" s="566"/>
      <c r="M786" s="566"/>
      <c r="N786" s="566"/>
      <c r="O786" s="566"/>
      <c r="P786" s="566"/>
      <c r="Q786" s="566"/>
      <c r="R786" s="566"/>
      <c r="S786" s="566"/>
      <c r="T786" s="566"/>
      <c r="U786" s="566"/>
      <c r="V786" s="566"/>
      <c r="W786" s="566"/>
      <c r="X786" s="566"/>
      <c r="Y786" s="566"/>
      <c r="Z786" s="566"/>
      <c r="AA786" s="566"/>
      <c r="AB786" s="566"/>
      <c r="AC786" s="566"/>
      <c r="AD786" s="566"/>
      <c r="AE786" s="566"/>
      <c r="AF786" s="566"/>
      <c r="AG786" s="566"/>
      <c r="AH786" s="566"/>
      <c r="AI786" s="566"/>
      <c r="AJ786" s="566"/>
      <c r="AK786" s="566"/>
      <c r="AL786" s="566"/>
      <c r="AM786" s="566"/>
      <c r="AN786" s="566"/>
      <c r="AO786" s="566"/>
    </row>
    <row r="787" spans="2:41" x14ac:dyDescent="0.15">
      <c r="B787" s="567">
        <v>23</v>
      </c>
      <c r="C787" s="566"/>
      <c r="D787" s="566"/>
      <c r="E787" s="566"/>
      <c r="F787" s="566"/>
      <c r="G787" s="566"/>
      <c r="H787" s="566"/>
      <c r="I787" s="566"/>
      <c r="J787" s="566"/>
      <c r="K787" s="566"/>
      <c r="L787" s="566"/>
      <c r="M787" s="566"/>
      <c r="N787" s="566"/>
      <c r="O787" s="566"/>
      <c r="P787" s="566"/>
      <c r="Q787" s="566"/>
      <c r="R787" s="566"/>
      <c r="S787" s="566"/>
      <c r="T787" s="566"/>
      <c r="U787" s="566"/>
      <c r="V787" s="566"/>
      <c r="W787" s="566"/>
      <c r="X787" s="566"/>
      <c r="Y787" s="566"/>
      <c r="Z787" s="566"/>
      <c r="AA787" s="566"/>
      <c r="AB787" s="566"/>
      <c r="AC787" s="566"/>
      <c r="AD787" s="566"/>
      <c r="AE787" s="566"/>
      <c r="AF787" s="566"/>
      <c r="AG787" s="566"/>
      <c r="AH787" s="566"/>
      <c r="AI787" s="566"/>
      <c r="AJ787" s="566"/>
      <c r="AK787" s="566"/>
      <c r="AL787" s="566"/>
      <c r="AM787" s="566"/>
      <c r="AN787" s="566"/>
      <c r="AO787" s="566"/>
    </row>
    <row r="788" spans="2:41" x14ac:dyDescent="0.15">
      <c r="B788" s="567">
        <v>24</v>
      </c>
      <c r="C788" s="566"/>
      <c r="D788" s="566"/>
      <c r="E788" s="566"/>
      <c r="F788" s="566"/>
      <c r="G788" s="566"/>
      <c r="H788" s="566"/>
      <c r="I788" s="566"/>
      <c r="J788" s="566"/>
      <c r="K788" s="566"/>
      <c r="L788" s="566"/>
      <c r="M788" s="566"/>
      <c r="N788" s="566"/>
      <c r="O788" s="566"/>
      <c r="P788" s="566"/>
      <c r="Q788" s="566"/>
      <c r="R788" s="566"/>
      <c r="S788" s="566"/>
      <c r="T788" s="566"/>
      <c r="U788" s="566"/>
      <c r="V788" s="566"/>
      <c r="W788" s="566"/>
      <c r="X788" s="566"/>
      <c r="Y788" s="566"/>
      <c r="Z788" s="566"/>
      <c r="AA788" s="566"/>
      <c r="AB788" s="566"/>
      <c r="AC788" s="566"/>
      <c r="AD788" s="566"/>
      <c r="AE788" s="566"/>
      <c r="AF788" s="566"/>
      <c r="AG788" s="566"/>
      <c r="AH788" s="566"/>
      <c r="AI788" s="566"/>
      <c r="AJ788" s="566"/>
      <c r="AK788" s="566"/>
      <c r="AL788" s="566"/>
      <c r="AM788" s="566"/>
      <c r="AN788" s="566"/>
      <c r="AO788" s="566"/>
    </row>
    <row r="789" spans="2:41" x14ac:dyDescent="0.15">
      <c r="B789" s="567">
        <v>25</v>
      </c>
      <c r="C789" s="566"/>
      <c r="D789" s="566"/>
      <c r="E789" s="566"/>
      <c r="F789" s="566"/>
      <c r="G789" s="566"/>
      <c r="H789" s="566"/>
      <c r="I789" s="566"/>
      <c r="J789" s="566"/>
      <c r="K789" s="566"/>
      <c r="L789" s="566"/>
      <c r="M789" s="566"/>
      <c r="N789" s="566"/>
      <c r="O789" s="566"/>
      <c r="P789" s="566"/>
      <c r="Q789" s="566"/>
      <c r="R789" s="566"/>
      <c r="S789" s="566"/>
      <c r="T789" s="566"/>
      <c r="U789" s="566"/>
      <c r="V789" s="566"/>
      <c r="W789" s="566"/>
      <c r="X789" s="566"/>
      <c r="Y789" s="566"/>
      <c r="Z789" s="566"/>
      <c r="AA789" s="566"/>
      <c r="AB789" s="566"/>
      <c r="AC789" s="566"/>
      <c r="AD789" s="566"/>
      <c r="AE789" s="566"/>
      <c r="AF789" s="566"/>
      <c r="AG789" s="566"/>
      <c r="AH789" s="566"/>
      <c r="AI789" s="566"/>
      <c r="AJ789" s="566"/>
      <c r="AK789" s="566"/>
      <c r="AL789" s="566"/>
      <c r="AM789" s="566"/>
      <c r="AN789" s="566"/>
      <c r="AO789" s="566"/>
    </row>
    <row r="790" spans="2:41" x14ac:dyDescent="0.15">
      <c r="B790" s="567">
        <v>26</v>
      </c>
      <c r="C790" s="566"/>
      <c r="D790" s="566"/>
      <c r="E790" s="566"/>
      <c r="F790" s="566"/>
      <c r="G790" s="566"/>
      <c r="H790" s="566"/>
      <c r="I790" s="566"/>
      <c r="J790" s="566"/>
      <c r="K790" s="566"/>
      <c r="L790" s="566"/>
      <c r="M790" s="566"/>
      <c r="N790" s="566"/>
      <c r="O790" s="566"/>
      <c r="P790" s="566"/>
      <c r="Q790" s="566"/>
      <c r="R790" s="566"/>
      <c r="S790" s="566"/>
      <c r="T790" s="566"/>
      <c r="U790" s="566"/>
      <c r="V790" s="566"/>
      <c r="W790" s="566"/>
      <c r="X790" s="566"/>
      <c r="Y790" s="566"/>
      <c r="Z790" s="566"/>
      <c r="AA790" s="566"/>
      <c r="AB790" s="566"/>
      <c r="AC790" s="566"/>
      <c r="AD790" s="566"/>
      <c r="AE790" s="566"/>
      <c r="AF790" s="566"/>
      <c r="AG790" s="566"/>
      <c r="AH790" s="566"/>
      <c r="AI790" s="566"/>
      <c r="AJ790" s="566"/>
      <c r="AK790" s="566"/>
      <c r="AL790" s="566"/>
      <c r="AM790" s="566"/>
      <c r="AN790" s="566"/>
      <c r="AO790" s="566"/>
    </row>
    <row r="791" spans="2:41" x14ac:dyDescent="0.15">
      <c r="B791" s="567">
        <v>27</v>
      </c>
      <c r="C791" s="566"/>
      <c r="D791" s="566"/>
      <c r="E791" s="566"/>
      <c r="F791" s="566"/>
      <c r="G791" s="566"/>
      <c r="H791" s="566"/>
      <c r="I791" s="566"/>
      <c r="J791" s="566"/>
      <c r="K791" s="566"/>
      <c r="L791" s="566"/>
      <c r="M791" s="566"/>
      <c r="N791" s="566"/>
      <c r="O791" s="566"/>
      <c r="P791" s="566"/>
      <c r="Q791" s="566"/>
      <c r="R791" s="566"/>
      <c r="S791" s="566"/>
      <c r="T791" s="566"/>
      <c r="U791" s="566"/>
      <c r="V791" s="566"/>
      <c r="W791" s="566"/>
      <c r="X791" s="566"/>
      <c r="Y791" s="566"/>
      <c r="Z791" s="566"/>
      <c r="AA791" s="566"/>
      <c r="AB791" s="566"/>
      <c r="AC791" s="566"/>
      <c r="AD791" s="566"/>
      <c r="AE791" s="566"/>
      <c r="AF791" s="566"/>
      <c r="AG791" s="566"/>
      <c r="AH791" s="566"/>
      <c r="AI791" s="566"/>
      <c r="AJ791" s="566"/>
      <c r="AK791" s="566"/>
      <c r="AL791" s="566"/>
      <c r="AM791" s="566"/>
      <c r="AN791" s="566"/>
      <c r="AO791" s="566"/>
    </row>
    <row r="792" spans="2:41" x14ac:dyDescent="0.15">
      <c r="B792" s="567">
        <v>28</v>
      </c>
      <c r="C792" s="566"/>
      <c r="D792" s="566"/>
      <c r="E792" s="566"/>
      <c r="F792" s="566"/>
      <c r="G792" s="566"/>
      <c r="H792" s="566"/>
      <c r="I792" s="566"/>
      <c r="J792" s="566"/>
      <c r="K792" s="566"/>
      <c r="L792" s="566"/>
      <c r="M792" s="566"/>
      <c r="N792" s="566"/>
      <c r="O792" s="566"/>
      <c r="P792" s="566"/>
      <c r="Q792" s="566"/>
      <c r="R792" s="566"/>
      <c r="S792" s="566"/>
      <c r="T792" s="566"/>
      <c r="U792" s="566"/>
      <c r="V792" s="566"/>
      <c r="W792" s="566"/>
      <c r="X792" s="566"/>
      <c r="Y792" s="566"/>
      <c r="Z792" s="566"/>
      <c r="AA792" s="566"/>
      <c r="AB792" s="566"/>
      <c r="AC792" s="566"/>
      <c r="AD792" s="566"/>
      <c r="AE792" s="566"/>
      <c r="AF792" s="566"/>
      <c r="AG792" s="566"/>
      <c r="AH792" s="566"/>
      <c r="AI792" s="566"/>
      <c r="AJ792" s="566"/>
      <c r="AK792" s="566"/>
      <c r="AL792" s="566"/>
      <c r="AM792" s="566"/>
      <c r="AN792" s="566"/>
      <c r="AO792" s="566"/>
    </row>
    <row r="793" spans="2:41" x14ac:dyDescent="0.15">
      <c r="B793" s="567">
        <v>29</v>
      </c>
      <c r="C793" s="566"/>
      <c r="D793" s="566"/>
      <c r="E793" s="566"/>
      <c r="F793" s="566"/>
      <c r="G793" s="566"/>
      <c r="H793" s="566"/>
      <c r="I793" s="566"/>
      <c r="J793" s="566"/>
      <c r="K793" s="566"/>
      <c r="L793" s="566"/>
      <c r="M793" s="566"/>
      <c r="N793" s="566"/>
      <c r="O793" s="566"/>
      <c r="P793" s="566"/>
      <c r="Q793" s="566"/>
      <c r="R793" s="566"/>
      <c r="S793" s="566"/>
      <c r="T793" s="566"/>
      <c r="U793" s="566"/>
      <c r="V793" s="566"/>
      <c r="W793" s="566"/>
      <c r="X793" s="566"/>
      <c r="Y793" s="566"/>
      <c r="Z793" s="566"/>
      <c r="AA793" s="566"/>
      <c r="AB793" s="566"/>
      <c r="AC793" s="566"/>
      <c r="AD793" s="566"/>
      <c r="AE793" s="566"/>
      <c r="AF793" s="566"/>
      <c r="AG793" s="566"/>
      <c r="AH793" s="566"/>
      <c r="AI793" s="566"/>
      <c r="AJ793" s="566"/>
      <c r="AK793" s="566"/>
      <c r="AL793" s="566"/>
      <c r="AM793" s="566"/>
      <c r="AN793" s="566"/>
      <c r="AO793" s="566"/>
    </row>
    <row r="794" spans="2:41" x14ac:dyDescent="0.15">
      <c r="B794" s="567">
        <v>30</v>
      </c>
      <c r="C794" s="566"/>
      <c r="D794" s="566"/>
      <c r="E794" s="566"/>
      <c r="F794" s="566"/>
      <c r="G794" s="566"/>
      <c r="H794" s="566"/>
      <c r="I794" s="566"/>
      <c r="J794" s="566"/>
      <c r="K794" s="566"/>
      <c r="L794" s="566"/>
      <c r="M794" s="566"/>
      <c r="N794" s="566"/>
      <c r="O794" s="566"/>
      <c r="P794" s="566"/>
      <c r="Q794" s="566"/>
      <c r="R794" s="566"/>
      <c r="S794" s="566"/>
      <c r="T794" s="566"/>
      <c r="U794" s="566"/>
      <c r="V794" s="566"/>
      <c r="W794" s="566"/>
      <c r="X794" s="566"/>
      <c r="Y794" s="566"/>
      <c r="Z794" s="566"/>
      <c r="AA794" s="566"/>
      <c r="AB794" s="566"/>
      <c r="AC794" s="566"/>
      <c r="AD794" s="566"/>
      <c r="AE794" s="566"/>
      <c r="AF794" s="566"/>
      <c r="AG794" s="566"/>
      <c r="AH794" s="566"/>
      <c r="AI794" s="566"/>
      <c r="AJ794" s="566"/>
      <c r="AK794" s="566"/>
      <c r="AL794" s="566"/>
      <c r="AM794" s="566"/>
      <c r="AN794" s="566"/>
      <c r="AO794" s="566"/>
    </row>
    <row r="795" spans="2:41" x14ac:dyDescent="0.15">
      <c r="B795" s="567">
        <v>31</v>
      </c>
      <c r="C795" s="566"/>
      <c r="D795" s="566"/>
      <c r="E795" s="566"/>
      <c r="F795" s="566"/>
      <c r="G795" s="566"/>
      <c r="H795" s="566"/>
      <c r="I795" s="566"/>
      <c r="J795" s="566"/>
      <c r="K795" s="566"/>
      <c r="L795" s="566"/>
      <c r="M795" s="566"/>
      <c r="N795" s="566"/>
      <c r="O795" s="566"/>
      <c r="P795" s="566"/>
      <c r="Q795" s="566"/>
      <c r="R795" s="566"/>
      <c r="S795" s="566"/>
      <c r="T795" s="566"/>
      <c r="U795" s="566"/>
      <c r="V795" s="566"/>
      <c r="W795" s="566"/>
      <c r="X795" s="566"/>
      <c r="Y795" s="566"/>
      <c r="Z795" s="566"/>
      <c r="AA795" s="566"/>
      <c r="AB795" s="566"/>
      <c r="AC795" s="566"/>
      <c r="AD795" s="566"/>
      <c r="AE795" s="566"/>
      <c r="AF795" s="566"/>
      <c r="AG795" s="566"/>
      <c r="AH795" s="566"/>
      <c r="AI795" s="566"/>
      <c r="AJ795" s="566"/>
      <c r="AK795" s="566"/>
      <c r="AL795" s="566"/>
      <c r="AM795" s="566"/>
      <c r="AN795" s="566"/>
      <c r="AO795" s="566"/>
    </row>
    <row r="796" spans="2:41" x14ac:dyDescent="0.15">
      <c r="B796" s="567">
        <v>32</v>
      </c>
      <c r="C796" s="566"/>
      <c r="D796" s="566"/>
      <c r="E796" s="566"/>
      <c r="F796" s="566"/>
      <c r="G796" s="566"/>
      <c r="H796" s="566"/>
      <c r="I796" s="566"/>
      <c r="J796" s="566"/>
      <c r="K796" s="566"/>
      <c r="L796" s="566"/>
      <c r="M796" s="566"/>
      <c r="N796" s="566"/>
      <c r="O796" s="566"/>
      <c r="P796" s="566"/>
      <c r="Q796" s="566"/>
      <c r="R796" s="566"/>
      <c r="S796" s="566"/>
      <c r="T796" s="566"/>
      <c r="U796" s="566"/>
      <c r="V796" s="566"/>
      <c r="W796" s="566"/>
      <c r="X796" s="566"/>
      <c r="Y796" s="566"/>
      <c r="Z796" s="566"/>
      <c r="AA796" s="566"/>
      <c r="AB796" s="566"/>
      <c r="AC796" s="566"/>
      <c r="AD796" s="566"/>
      <c r="AE796" s="566"/>
      <c r="AF796" s="566"/>
      <c r="AG796" s="566"/>
      <c r="AH796" s="566"/>
      <c r="AI796" s="566"/>
      <c r="AJ796" s="566"/>
      <c r="AK796" s="566"/>
      <c r="AL796" s="566"/>
      <c r="AM796" s="566"/>
      <c r="AN796" s="566"/>
      <c r="AO796" s="566"/>
    </row>
    <row r="797" spans="2:41" x14ac:dyDescent="0.15">
      <c r="B797" s="567">
        <v>33</v>
      </c>
      <c r="C797" s="566"/>
      <c r="D797" s="566"/>
      <c r="E797" s="566"/>
      <c r="F797" s="566"/>
      <c r="G797" s="566"/>
      <c r="H797" s="566"/>
      <c r="I797" s="566"/>
      <c r="J797" s="566"/>
      <c r="K797" s="566"/>
      <c r="L797" s="566"/>
      <c r="M797" s="566"/>
      <c r="N797" s="566"/>
      <c r="O797" s="566"/>
      <c r="P797" s="566"/>
      <c r="Q797" s="566"/>
      <c r="R797" s="566"/>
      <c r="S797" s="566"/>
      <c r="T797" s="566"/>
      <c r="U797" s="566"/>
      <c r="V797" s="566"/>
      <c r="W797" s="566"/>
      <c r="X797" s="566"/>
      <c r="Y797" s="566"/>
      <c r="Z797" s="566"/>
      <c r="AA797" s="566"/>
      <c r="AB797" s="566"/>
      <c r="AC797" s="566"/>
      <c r="AD797" s="566"/>
      <c r="AE797" s="566"/>
      <c r="AF797" s="566"/>
      <c r="AG797" s="566"/>
      <c r="AH797" s="566"/>
      <c r="AI797" s="566"/>
      <c r="AJ797" s="566"/>
      <c r="AK797" s="566"/>
      <c r="AL797" s="566"/>
      <c r="AM797" s="566"/>
      <c r="AN797" s="566"/>
      <c r="AO797" s="566"/>
    </row>
    <row r="798" spans="2:41" x14ac:dyDescent="0.15">
      <c r="B798" s="567">
        <v>34</v>
      </c>
      <c r="C798" s="566"/>
      <c r="D798" s="566"/>
      <c r="E798" s="566"/>
      <c r="F798" s="566"/>
      <c r="G798" s="566"/>
      <c r="H798" s="566"/>
      <c r="I798" s="566"/>
      <c r="J798" s="566"/>
      <c r="K798" s="566"/>
      <c r="L798" s="566"/>
      <c r="M798" s="566"/>
      <c r="N798" s="566"/>
      <c r="O798" s="566"/>
      <c r="P798" s="566"/>
      <c r="Q798" s="566"/>
      <c r="R798" s="566"/>
      <c r="S798" s="566"/>
      <c r="T798" s="566"/>
      <c r="U798" s="566"/>
      <c r="V798" s="566"/>
      <c r="W798" s="566"/>
      <c r="X798" s="566"/>
      <c r="Y798" s="566"/>
      <c r="Z798" s="566"/>
      <c r="AA798" s="566"/>
      <c r="AB798" s="566"/>
      <c r="AC798" s="566"/>
      <c r="AD798" s="566"/>
      <c r="AE798" s="566"/>
      <c r="AF798" s="566"/>
      <c r="AG798" s="566"/>
      <c r="AH798" s="566"/>
      <c r="AI798" s="566"/>
      <c r="AJ798" s="566"/>
      <c r="AK798" s="566"/>
      <c r="AL798" s="566"/>
      <c r="AM798" s="566"/>
      <c r="AN798" s="566"/>
      <c r="AO798" s="566"/>
    </row>
    <row r="799" spans="2:41" x14ac:dyDescent="0.15">
      <c r="B799" s="567">
        <v>35</v>
      </c>
      <c r="C799" s="566"/>
      <c r="D799" s="566"/>
      <c r="E799" s="566"/>
      <c r="F799" s="566"/>
      <c r="G799" s="566"/>
      <c r="H799" s="566"/>
      <c r="I799" s="566"/>
      <c r="J799" s="566"/>
      <c r="K799" s="566"/>
      <c r="L799" s="566"/>
      <c r="M799" s="566"/>
      <c r="N799" s="566"/>
      <c r="O799" s="566"/>
      <c r="P799" s="566"/>
      <c r="Q799" s="566"/>
      <c r="R799" s="566"/>
      <c r="S799" s="566"/>
      <c r="T799" s="566"/>
      <c r="U799" s="566"/>
      <c r="V799" s="566"/>
      <c r="W799" s="566"/>
      <c r="X799" s="566"/>
      <c r="Y799" s="566"/>
      <c r="Z799" s="566"/>
      <c r="AA799" s="566"/>
      <c r="AB799" s="566"/>
      <c r="AC799" s="566"/>
      <c r="AD799" s="566"/>
      <c r="AE799" s="566"/>
      <c r="AF799" s="566"/>
      <c r="AG799" s="566"/>
      <c r="AH799" s="566"/>
      <c r="AI799" s="566"/>
      <c r="AJ799" s="566"/>
      <c r="AK799" s="566"/>
      <c r="AL799" s="566"/>
      <c r="AM799" s="566"/>
      <c r="AN799" s="566"/>
      <c r="AO799" s="566"/>
    </row>
    <row r="800" spans="2:41" x14ac:dyDescent="0.15">
      <c r="B800" s="567">
        <v>36</v>
      </c>
      <c r="C800" s="566"/>
      <c r="D800" s="566"/>
      <c r="E800" s="566"/>
      <c r="F800" s="566"/>
      <c r="G800" s="566"/>
      <c r="H800" s="566"/>
      <c r="I800" s="566"/>
      <c r="J800" s="566"/>
      <c r="K800" s="566"/>
      <c r="L800" s="566"/>
      <c r="M800" s="566"/>
      <c r="N800" s="566"/>
      <c r="O800" s="566"/>
      <c r="P800" s="566"/>
      <c r="Q800" s="566"/>
      <c r="R800" s="566"/>
      <c r="S800" s="566"/>
      <c r="T800" s="566"/>
      <c r="U800" s="566"/>
      <c r="V800" s="566"/>
      <c r="W800" s="566"/>
      <c r="X800" s="566"/>
      <c r="Y800" s="566"/>
      <c r="Z800" s="566"/>
      <c r="AA800" s="566"/>
      <c r="AB800" s="566"/>
      <c r="AC800" s="566"/>
      <c r="AD800" s="566"/>
      <c r="AE800" s="566"/>
      <c r="AF800" s="566"/>
      <c r="AG800" s="566"/>
      <c r="AH800" s="566"/>
      <c r="AI800" s="566"/>
      <c r="AJ800" s="566"/>
      <c r="AK800" s="566"/>
      <c r="AL800" s="566"/>
      <c r="AM800" s="566"/>
      <c r="AN800" s="566"/>
      <c r="AO800" s="566"/>
    </row>
    <row r="801" spans="2:41" x14ac:dyDescent="0.15">
      <c r="B801" s="567">
        <v>37</v>
      </c>
      <c r="C801" s="566"/>
      <c r="D801" s="566"/>
      <c r="E801" s="566"/>
      <c r="F801" s="566"/>
      <c r="G801" s="566"/>
      <c r="H801" s="566"/>
      <c r="I801" s="566"/>
      <c r="J801" s="566"/>
      <c r="K801" s="566"/>
      <c r="L801" s="566"/>
      <c r="M801" s="566"/>
      <c r="N801" s="566"/>
      <c r="O801" s="566"/>
      <c r="P801" s="566"/>
      <c r="Q801" s="566"/>
      <c r="R801" s="566"/>
      <c r="S801" s="566"/>
      <c r="T801" s="566"/>
      <c r="U801" s="566"/>
      <c r="V801" s="566"/>
      <c r="W801" s="566"/>
      <c r="X801" s="566"/>
      <c r="Y801" s="566"/>
      <c r="Z801" s="566"/>
      <c r="AA801" s="566"/>
      <c r="AB801" s="566"/>
      <c r="AC801" s="566"/>
      <c r="AD801" s="566"/>
      <c r="AE801" s="566"/>
      <c r="AF801" s="566"/>
      <c r="AG801" s="566"/>
      <c r="AH801" s="566"/>
      <c r="AI801" s="566"/>
      <c r="AJ801" s="566"/>
      <c r="AK801" s="566"/>
      <c r="AL801" s="566"/>
      <c r="AM801" s="566"/>
      <c r="AN801" s="566"/>
      <c r="AO801" s="566"/>
    </row>
    <row r="802" spans="2:41" x14ac:dyDescent="0.15">
      <c r="B802" s="567">
        <v>38</v>
      </c>
      <c r="C802" s="566"/>
      <c r="D802" s="566"/>
      <c r="E802" s="566"/>
      <c r="F802" s="566"/>
      <c r="G802" s="566"/>
      <c r="H802" s="566"/>
      <c r="I802" s="566"/>
      <c r="J802" s="566"/>
      <c r="K802" s="566"/>
      <c r="L802" s="566"/>
      <c r="M802" s="566"/>
      <c r="N802" s="566"/>
      <c r="O802" s="566"/>
      <c r="P802" s="566"/>
      <c r="Q802" s="566"/>
      <c r="R802" s="566"/>
      <c r="S802" s="566"/>
      <c r="T802" s="566"/>
      <c r="U802" s="566"/>
      <c r="V802" s="566"/>
      <c r="W802" s="566"/>
      <c r="X802" s="566"/>
      <c r="Y802" s="566"/>
      <c r="Z802" s="566"/>
      <c r="AA802" s="566"/>
      <c r="AB802" s="566"/>
      <c r="AC802" s="566"/>
      <c r="AD802" s="566"/>
      <c r="AE802" s="566"/>
      <c r="AF802" s="566"/>
      <c r="AG802" s="566"/>
      <c r="AH802" s="566"/>
      <c r="AI802" s="566"/>
      <c r="AJ802" s="566"/>
      <c r="AK802" s="566"/>
      <c r="AL802" s="566"/>
      <c r="AM802" s="566"/>
      <c r="AN802" s="566"/>
      <c r="AO802" s="566"/>
    </row>
    <row r="803" spans="2:41" x14ac:dyDescent="0.15">
      <c r="B803" s="567">
        <v>39</v>
      </c>
      <c r="C803" s="566"/>
      <c r="D803" s="566"/>
      <c r="E803" s="566"/>
      <c r="F803" s="566"/>
      <c r="G803" s="566"/>
      <c r="H803" s="566"/>
      <c r="I803" s="566"/>
      <c r="J803" s="566"/>
      <c r="K803" s="566"/>
      <c r="L803" s="566"/>
      <c r="M803" s="566"/>
      <c r="N803" s="566"/>
      <c r="O803" s="566"/>
      <c r="P803" s="566"/>
      <c r="Q803" s="566"/>
      <c r="R803" s="566"/>
      <c r="S803" s="566"/>
      <c r="T803" s="566"/>
      <c r="U803" s="566"/>
      <c r="V803" s="566"/>
      <c r="W803" s="566"/>
      <c r="X803" s="566"/>
      <c r="Y803" s="566"/>
      <c r="Z803" s="566"/>
      <c r="AA803" s="566"/>
      <c r="AB803" s="566"/>
      <c r="AC803" s="566"/>
      <c r="AD803" s="566"/>
      <c r="AE803" s="566"/>
      <c r="AF803" s="566"/>
      <c r="AG803" s="566"/>
      <c r="AH803" s="566"/>
      <c r="AI803" s="566"/>
      <c r="AJ803" s="566"/>
      <c r="AK803" s="566"/>
      <c r="AL803" s="566"/>
      <c r="AM803" s="566"/>
      <c r="AN803" s="566"/>
      <c r="AO803" s="566"/>
    </row>
    <row r="804" spans="2:41" x14ac:dyDescent="0.15">
      <c r="B804" s="568">
        <v>40</v>
      </c>
      <c r="C804" s="566"/>
      <c r="D804" s="566"/>
      <c r="E804" s="566"/>
      <c r="F804" s="566"/>
      <c r="G804" s="566"/>
      <c r="H804" s="566"/>
      <c r="I804" s="566"/>
      <c r="J804" s="566"/>
      <c r="K804" s="566"/>
      <c r="L804" s="566"/>
      <c r="M804" s="566"/>
      <c r="N804" s="566"/>
      <c r="O804" s="566"/>
      <c r="P804" s="566"/>
      <c r="Q804" s="566"/>
      <c r="R804" s="566"/>
      <c r="S804" s="566"/>
      <c r="T804" s="566"/>
      <c r="U804" s="566"/>
      <c r="V804" s="566"/>
      <c r="W804" s="566"/>
      <c r="X804" s="566"/>
      <c r="Y804" s="566"/>
      <c r="Z804" s="566"/>
      <c r="AA804" s="566"/>
      <c r="AB804" s="566"/>
      <c r="AC804" s="566"/>
      <c r="AD804" s="566"/>
      <c r="AE804" s="566"/>
      <c r="AF804" s="566"/>
      <c r="AG804" s="566"/>
      <c r="AH804" s="566"/>
      <c r="AI804" s="566"/>
      <c r="AJ804" s="566"/>
      <c r="AK804" s="566"/>
      <c r="AL804" s="566"/>
      <c r="AM804" s="566"/>
      <c r="AN804" s="566"/>
      <c r="AO804" s="566"/>
    </row>
    <row r="813" spans="2:41" s="563" customFormat="1" ht="14" x14ac:dyDescent="0.15">
      <c r="B813" s="560" t="str" cm="1">
        <f t="array" ref="B813:AO813">TRANSPOSE('Syötä kaupungit KIRJASTOLINKIT!'!$K$1:$K$40)</f>
        <v>MAA 10</v>
      </c>
      <c r="C813" s="564">
        <v>0</v>
      </c>
      <c r="D813" s="564">
        <v>0</v>
      </c>
      <c r="E813" s="564">
        <v>0</v>
      </c>
      <c r="F813" s="564">
        <v>0</v>
      </c>
      <c r="G813" s="564">
        <v>0</v>
      </c>
      <c r="H813" s="564">
        <v>0</v>
      </c>
      <c r="I813" s="564">
        <v>0</v>
      </c>
      <c r="J813" s="564">
        <v>0</v>
      </c>
      <c r="K813" s="564">
        <v>0</v>
      </c>
      <c r="L813" s="564">
        <v>0</v>
      </c>
      <c r="M813" s="564">
        <v>0</v>
      </c>
      <c r="N813" s="564">
        <v>0</v>
      </c>
      <c r="O813" s="564">
        <v>0</v>
      </c>
      <c r="P813" s="564">
        <v>0</v>
      </c>
      <c r="Q813" s="564">
        <v>0</v>
      </c>
      <c r="R813" s="564">
        <v>0</v>
      </c>
      <c r="S813" s="564">
        <v>0</v>
      </c>
      <c r="T813" s="564">
        <v>0</v>
      </c>
      <c r="U813" s="564">
        <v>0</v>
      </c>
      <c r="V813" s="564">
        <v>0</v>
      </c>
      <c r="W813" s="564">
        <v>0</v>
      </c>
      <c r="X813" s="564">
        <v>0</v>
      </c>
      <c r="Y813" s="564">
        <v>0</v>
      </c>
      <c r="Z813" s="564">
        <v>0</v>
      </c>
      <c r="AA813" s="564">
        <v>0</v>
      </c>
      <c r="AB813" s="564">
        <v>0</v>
      </c>
      <c r="AC813" s="564">
        <v>0</v>
      </c>
      <c r="AD813" s="564">
        <v>0</v>
      </c>
      <c r="AE813" s="564">
        <v>0</v>
      </c>
      <c r="AF813" s="564">
        <v>0</v>
      </c>
      <c r="AG813" s="564">
        <v>0</v>
      </c>
      <c r="AH813" s="564">
        <v>0</v>
      </c>
      <c r="AI813" s="564">
        <v>0</v>
      </c>
      <c r="AJ813" s="564">
        <v>0</v>
      </c>
      <c r="AK813" s="564">
        <v>0</v>
      </c>
      <c r="AL813" s="564">
        <v>0</v>
      </c>
      <c r="AM813" s="564">
        <v>0</v>
      </c>
      <c r="AN813" s="564">
        <v>0</v>
      </c>
      <c r="AO813" s="564">
        <v>0</v>
      </c>
    </row>
    <row r="814" spans="2:41" x14ac:dyDescent="0.15">
      <c r="B814" s="565">
        <v>-40</v>
      </c>
      <c r="C814" s="566"/>
      <c r="D814" s="566"/>
      <c r="E814" s="566"/>
      <c r="F814" s="566"/>
      <c r="G814" s="566"/>
      <c r="H814" s="566"/>
      <c r="I814" s="566"/>
      <c r="J814" s="566"/>
      <c r="K814" s="566"/>
      <c r="L814" s="566"/>
      <c r="M814" s="566"/>
      <c r="N814" s="566"/>
      <c r="O814" s="566"/>
      <c r="P814" s="566"/>
      <c r="Q814" s="566"/>
      <c r="R814" s="566"/>
      <c r="S814" s="566"/>
      <c r="T814" s="566"/>
      <c r="U814" s="566"/>
      <c r="V814" s="566"/>
      <c r="W814" s="566"/>
      <c r="X814" s="566"/>
      <c r="Y814" s="566"/>
      <c r="Z814" s="566"/>
      <c r="AA814" s="566"/>
      <c r="AB814" s="566"/>
      <c r="AC814" s="566"/>
      <c r="AD814" s="566"/>
      <c r="AE814" s="566"/>
      <c r="AF814" s="566"/>
      <c r="AG814" s="566"/>
      <c r="AH814" s="566"/>
      <c r="AI814" s="566"/>
      <c r="AJ814" s="566"/>
      <c r="AK814" s="566"/>
      <c r="AL814" s="566"/>
      <c r="AM814" s="566"/>
      <c r="AN814" s="566"/>
      <c r="AO814" s="566"/>
    </row>
    <row r="815" spans="2:41" x14ac:dyDescent="0.15">
      <c r="B815" s="567">
        <v>-39</v>
      </c>
      <c r="C815" s="566"/>
      <c r="D815" s="566"/>
      <c r="E815" s="566"/>
      <c r="F815" s="566"/>
      <c r="G815" s="566"/>
      <c r="H815" s="566"/>
      <c r="I815" s="566"/>
      <c r="J815" s="566"/>
      <c r="K815" s="566"/>
      <c r="L815" s="566"/>
      <c r="M815" s="566"/>
      <c r="N815" s="566"/>
      <c r="O815" s="566"/>
      <c r="P815" s="566"/>
      <c r="Q815" s="566"/>
      <c r="R815" s="566"/>
      <c r="S815" s="566"/>
      <c r="T815" s="566"/>
      <c r="U815" s="566"/>
      <c r="V815" s="566"/>
      <c r="W815" s="566"/>
      <c r="X815" s="566"/>
      <c r="Y815" s="566"/>
      <c r="Z815" s="566"/>
      <c r="AA815" s="566"/>
      <c r="AB815" s="566"/>
      <c r="AC815" s="566"/>
      <c r="AD815" s="566"/>
      <c r="AE815" s="566"/>
      <c r="AF815" s="566"/>
      <c r="AG815" s="566"/>
      <c r="AH815" s="566"/>
      <c r="AI815" s="566"/>
      <c r="AJ815" s="566"/>
      <c r="AK815" s="566"/>
      <c r="AL815" s="566"/>
      <c r="AM815" s="566"/>
      <c r="AN815" s="566"/>
      <c r="AO815" s="566"/>
    </row>
    <row r="816" spans="2:41" x14ac:dyDescent="0.15">
      <c r="B816" s="567">
        <v>-38</v>
      </c>
      <c r="C816" s="566"/>
      <c r="D816" s="566"/>
      <c r="E816" s="566"/>
      <c r="F816" s="566"/>
      <c r="G816" s="566"/>
      <c r="H816" s="566"/>
      <c r="I816" s="566"/>
      <c r="J816" s="566"/>
      <c r="K816" s="566"/>
      <c r="L816" s="566"/>
      <c r="M816" s="566"/>
      <c r="N816" s="566"/>
      <c r="O816" s="566"/>
      <c r="P816" s="566"/>
      <c r="Q816" s="566"/>
      <c r="R816" s="566"/>
      <c r="S816" s="566"/>
      <c r="T816" s="566"/>
      <c r="U816" s="566"/>
      <c r="V816" s="566"/>
      <c r="W816" s="566"/>
      <c r="X816" s="566"/>
      <c r="Y816" s="566"/>
      <c r="Z816" s="566"/>
      <c r="AA816" s="566"/>
      <c r="AB816" s="566"/>
      <c r="AC816" s="566"/>
      <c r="AD816" s="566"/>
      <c r="AE816" s="566"/>
      <c r="AF816" s="566"/>
      <c r="AG816" s="566"/>
      <c r="AH816" s="566"/>
      <c r="AI816" s="566"/>
      <c r="AJ816" s="566"/>
      <c r="AK816" s="566"/>
      <c r="AL816" s="566"/>
      <c r="AM816" s="566"/>
      <c r="AN816" s="566"/>
      <c r="AO816" s="566"/>
    </row>
    <row r="817" spans="2:41" x14ac:dyDescent="0.15">
      <c r="B817" s="567">
        <v>-37</v>
      </c>
      <c r="C817" s="566"/>
      <c r="D817" s="566"/>
      <c r="E817" s="566"/>
      <c r="F817" s="566"/>
      <c r="G817" s="566"/>
      <c r="H817" s="566"/>
      <c r="I817" s="566"/>
      <c r="J817" s="566"/>
      <c r="K817" s="566"/>
      <c r="L817" s="566"/>
      <c r="M817" s="566"/>
      <c r="N817" s="566"/>
      <c r="O817" s="566"/>
      <c r="P817" s="566"/>
      <c r="Q817" s="566"/>
      <c r="R817" s="566"/>
      <c r="S817" s="566"/>
      <c r="T817" s="566"/>
      <c r="U817" s="566"/>
      <c r="V817" s="566"/>
      <c r="W817" s="566"/>
      <c r="X817" s="566"/>
      <c r="Y817" s="566"/>
      <c r="Z817" s="566"/>
      <c r="AA817" s="566"/>
      <c r="AB817" s="566"/>
      <c r="AC817" s="566"/>
      <c r="AD817" s="566"/>
      <c r="AE817" s="566"/>
      <c r="AF817" s="566"/>
      <c r="AG817" s="566"/>
      <c r="AH817" s="566"/>
      <c r="AI817" s="566"/>
      <c r="AJ817" s="566"/>
      <c r="AK817" s="566"/>
      <c r="AL817" s="566"/>
      <c r="AM817" s="566"/>
      <c r="AN817" s="566"/>
      <c r="AO817" s="566"/>
    </row>
    <row r="818" spans="2:41" x14ac:dyDescent="0.15">
      <c r="B818" s="567">
        <v>-36</v>
      </c>
      <c r="C818" s="566"/>
      <c r="D818" s="566"/>
      <c r="E818" s="566"/>
      <c r="F818" s="566"/>
      <c r="G818" s="566"/>
      <c r="H818" s="566"/>
      <c r="I818" s="566"/>
      <c r="J818" s="566"/>
      <c r="K818" s="566"/>
      <c r="L818" s="566"/>
      <c r="M818" s="566"/>
      <c r="N818" s="566"/>
      <c r="O818" s="566"/>
      <c r="P818" s="566"/>
      <c r="Q818" s="566"/>
      <c r="R818" s="566"/>
      <c r="S818" s="566"/>
      <c r="T818" s="566"/>
      <c r="U818" s="566"/>
      <c r="V818" s="566"/>
      <c r="W818" s="566"/>
      <c r="X818" s="566"/>
      <c r="Y818" s="566"/>
      <c r="Z818" s="566"/>
      <c r="AA818" s="566"/>
      <c r="AB818" s="566"/>
      <c r="AC818" s="566"/>
      <c r="AD818" s="566"/>
      <c r="AE818" s="566"/>
      <c r="AF818" s="566"/>
      <c r="AG818" s="566"/>
      <c r="AH818" s="566"/>
      <c r="AI818" s="566"/>
      <c r="AJ818" s="566"/>
      <c r="AK818" s="566"/>
      <c r="AL818" s="566"/>
      <c r="AM818" s="566"/>
      <c r="AN818" s="566"/>
      <c r="AO818" s="566"/>
    </row>
    <row r="819" spans="2:41" x14ac:dyDescent="0.15">
      <c r="B819" s="567">
        <v>-35</v>
      </c>
      <c r="C819" s="566"/>
      <c r="D819" s="566"/>
      <c r="E819" s="566"/>
      <c r="F819" s="566"/>
      <c r="G819" s="566"/>
      <c r="H819" s="566"/>
      <c r="I819" s="566"/>
      <c r="J819" s="566"/>
      <c r="K819" s="566"/>
      <c r="L819" s="566"/>
      <c r="M819" s="566"/>
      <c r="N819" s="566"/>
      <c r="O819" s="566"/>
      <c r="P819" s="566"/>
      <c r="Q819" s="566"/>
      <c r="R819" s="566"/>
      <c r="S819" s="566"/>
      <c r="T819" s="566"/>
      <c r="U819" s="566"/>
      <c r="V819" s="566"/>
      <c r="W819" s="566"/>
      <c r="X819" s="566"/>
      <c r="Y819" s="566"/>
      <c r="Z819" s="566"/>
      <c r="AA819" s="566"/>
      <c r="AB819" s="566"/>
      <c r="AC819" s="566"/>
      <c r="AD819" s="566"/>
      <c r="AE819" s="566"/>
      <c r="AF819" s="566"/>
      <c r="AG819" s="566"/>
      <c r="AH819" s="566"/>
      <c r="AI819" s="566"/>
      <c r="AJ819" s="566"/>
      <c r="AK819" s="566"/>
      <c r="AL819" s="566"/>
      <c r="AM819" s="566"/>
      <c r="AN819" s="566"/>
      <c r="AO819" s="566"/>
    </row>
    <row r="820" spans="2:41" x14ac:dyDescent="0.15">
      <c r="B820" s="567">
        <v>-34</v>
      </c>
      <c r="C820" s="566"/>
      <c r="D820" s="566"/>
      <c r="E820" s="566"/>
      <c r="F820" s="566"/>
      <c r="G820" s="566"/>
      <c r="H820" s="566"/>
      <c r="I820" s="566"/>
      <c r="J820" s="566"/>
      <c r="K820" s="566"/>
      <c r="L820" s="566"/>
      <c r="M820" s="566"/>
      <c r="N820" s="566"/>
      <c r="O820" s="566"/>
      <c r="P820" s="566"/>
      <c r="Q820" s="566"/>
      <c r="R820" s="566"/>
      <c r="S820" s="566"/>
      <c r="T820" s="566"/>
      <c r="U820" s="566"/>
      <c r="V820" s="566"/>
      <c r="W820" s="566"/>
      <c r="X820" s="566"/>
      <c r="Y820" s="566"/>
      <c r="Z820" s="566"/>
      <c r="AA820" s="566"/>
      <c r="AB820" s="566"/>
      <c r="AC820" s="566"/>
      <c r="AD820" s="566"/>
      <c r="AE820" s="566"/>
      <c r="AF820" s="566"/>
      <c r="AG820" s="566"/>
      <c r="AH820" s="566"/>
      <c r="AI820" s="566"/>
      <c r="AJ820" s="566"/>
      <c r="AK820" s="566"/>
      <c r="AL820" s="566"/>
      <c r="AM820" s="566"/>
      <c r="AN820" s="566"/>
      <c r="AO820" s="566"/>
    </row>
    <row r="821" spans="2:41" x14ac:dyDescent="0.15">
      <c r="B821" s="567">
        <v>-33</v>
      </c>
      <c r="C821" s="566"/>
      <c r="D821" s="566"/>
      <c r="E821" s="566"/>
      <c r="F821" s="566"/>
      <c r="G821" s="566"/>
      <c r="H821" s="566"/>
      <c r="I821" s="566"/>
      <c r="J821" s="566"/>
      <c r="K821" s="566"/>
      <c r="L821" s="566"/>
      <c r="M821" s="566"/>
      <c r="N821" s="566"/>
      <c r="O821" s="566"/>
      <c r="P821" s="566"/>
      <c r="Q821" s="566"/>
      <c r="R821" s="566"/>
      <c r="S821" s="566"/>
      <c r="T821" s="566"/>
      <c r="U821" s="566"/>
      <c r="V821" s="566"/>
      <c r="W821" s="566"/>
      <c r="X821" s="566"/>
      <c r="Y821" s="566"/>
      <c r="Z821" s="566"/>
      <c r="AA821" s="566"/>
      <c r="AB821" s="566"/>
      <c r="AC821" s="566"/>
      <c r="AD821" s="566"/>
      <c r="AE821" s="566"/>
      <c r="AF821" s="566"/>
      <c r="AG821" s="566"/>
      <c r="AH821" s="566"/>
      <c r="AI821" s="566"/>
      <c r="AJ821" s="566"/>
      <c r="AK821" s="566"/>
      <c r="AL821" s="566"/>
      <c r="AM821" s="566"/>
      <c r="AN821" s="566"/>
      <c r="AO821" s="566"/>
    </row>
    <row r="822" spans="2:41" x14ac:dyDescent="0.15">
      <c r="B822" s="567">
        <v>-32</v>
      </c>
      <c r="C822" s="566"/>
      <c r="D822" s="566"/>
      <c r="E822" s="566"/>
      <c r="F822" s="566"/>
      <c r="G822" s="566"/>
      <c r="H822" s="566"/>
      <c r="I822" s="566"/>
      <c r="J822" s="566"/>
      <c r="K822" s="566"/>
      <c r="L822" s="566"/>
      <c r="M822" s="566"/>
      <c r="N822" s="566"/>
      <c r="O822" s="566"/>
      <c r="P822" s="566"/>
      <c r="Q822" s="566"/>
      <c r="R822" s="566"/>
      <c r="S822" s="566"/>
      <c r="T822" s="566"/>
      <c r="U822" s="566"/>
      <c r="V822" s="566"/>
      <c r="W822" s="566"/>
      <c r="X822" s="566"/>
      <c r="Y822" s="566"/>
      <c r="Z822" s="566"/>
      <c r="AA822" s="566"/>
      <c r="AB822" s="566"/>
      <c r="AC822" s="566"/>
      <c r="AD822" s="566"/>
      <c r="AE822" s="566"/>
      <c r="AF822" s="566"/>
      <c r="AG822" s="566"/>
      <c r="AH822" s="566"/>
      <c r="AI822" s="566"/>
      <c r="AJ822" s="566"/>
      <c r="AK822" s="566"/>
      <c r="AL822" s="566"/>
      <c r="AM822" s="566"/>
      <c r="AN822" s="566"/>
      <c r="AO822" s="566"/>
    </row>
    <row r="823" spans="2:41" x14ac:dyDescent="0.15">
      <c r="B823" s="567">
        <v>-31</v>
      </c>
      <c r="C823" s="566"/>
      <c r="D823" s="566"/>
      <c r="E823" s="566"/>
      <c r="F823" s="566"/>
      <c r="G823" s="566"/>
      <c r="H823" s="566"/>
      <c r="I823" s="566"/>
      <c r="J823" s="566"/>
      <c r="K823" s="566"/>
      <c r="L823" s="566"/>
      <c r="M823" s="566"/>
      <c r="N823" s="566"/>
      <c r="O823" s="566"/>
      <c r="P823" s="566"/>
      <c r="Q823" s="566"/>
      <c r="R823" s="566"/>
      <c r="S823" s="566"/>
      <c r="T823" s="566"/>
      <c r="U823" s="566"/>
      <c r="V823" s="566"/>
      <c r="W823" s="566"/>
      <c r="X823" s="566"/>
      <c r="Y823" s="566"/>
      <c r="Z823" s="566"/>
      <c r="AA823" s="566"/>
      <c r="AB823" s="566"/>
      <c r="AC823" s="566"/>
      <c r="AD823" s="566"/>
      <c r="AE823" s="566"/>
      <c r="AF823" s="566"/>
      <c r="AG823" s="566"/>
      <c r="AH823" s="566"/>
      <c r="AI823" s="566"/>
      <c r="AJ823" s="566"/>
      <c r="AK823" s="566"/>
      <c r="AL823" s="566"/>
      <c r="AM823" s="566"/>
      <c r="AN823" s="566"/>
      <c r="AO823" s="566"/>
    </row>
    <row r="824" spans="2:41" x14ac:dyDescent="0.15">
      <c r="B824" s="567">
        <v>-30</v>
      </c>
      <c r="C824" s="566"/>
      <c r="D824" s="566"/>
      <c r="E824" s="566"/>
      <c r="F824" s="566"/>
      <c r="G824" s="566"/>
      <c r="H824" s="566"/>
      <c r="I824" s="566"/>
      <c r="J824" s="566"/>
      <c r="K824" s="566"/>
      <c r="L824" s="566"/>
      <c r="M824" s="566"/>
      <c r="N824" s="566"/>
      <c r="O824" s="566"/>
      <c r="P824" s="566"/>
      <c r="Q824" s="566"/>
      <c r="R824" s="566"/>
      <c r="S824" s="566"/>
      <c r="T824" s="566"/>
      <c r="U824" s="566"/>
      <c r="V824" s="566"/>
      <c r="W824" s="566"/>
      <c r="X824" s="566"/>
      <c r="Y824" s="566"/>
      <c r="Z824" s="566"/>
      <c r="AA824" s="566"/>
      <c r="AB824" s="566"/>
      <c r="AC824" s="566"/>
      <c r="AD824" s="566"/>
      <c r="AE824" s="566"/>
      <c r="AF824" s="566"/>
      <c r="AG824" s="566"/>
      <c r="AH824" s="566"/>
      <c r="AI824" s="566"/>
      <c r="AJ824" s="566"/>
      <c r="AK824" s="566"/>
      <c r="AL824" s="566"/>
      <c r="AM824" s="566"/>
      <c r="AN824" s="566"/>
      <c r="AO824" s="566"/>
    </row>
    <row r="825" spans="2:41" x14ac:dyDescent="0.15">
      <c r="B825" s="567">
        <v>-29</v>
      </c>
      <c r="C825" s="566"/>
      <c r="D825" s="566"/>
      <c r="E825" s="566"/>
      <c r="F825" s="566"/>
      <c r="G825" s="566"/>
      <c r="H825" s="566"/>
      <c r="I825" s="566"/>
      <c r="J825" s="566"/>
      <c r="K825" s="566"/>
      <c r="L825" s="566"/>
      <c r="M825" s="566"/>
      <c r="N825" s="566"/>
      <c r="O825" s="566"/>
      <c r="P825" s="566"/>
      <c r="Q825" s="566"/>
      <c r="R825" s="566"/>
      <c r="S825" s="566"/>
      <c r="T825" s="566"/>
      <c r="U825" s="566"/>
      <c r="V825" s="566"/>
      <c r="W825" s="566"/>
      <c r="X825" s="566"/>
      <c r="Y825" s="566"/>
      <c r="Z825" s="566"/>
      <c r="AA825" s="566"/>
      <c r="AB825" s="566"/>
      <c r="AC825" s="566"/>
      <c r="AD825" s="566"/>
      <c r="AE825" s="566"/>
      <c r="AF825" s="566"/>
      <c r="AG825" s="566"/>
      <c r="AH825" s="566"/>
      <c r="AI825" s="566"/>
      <c r="AJ825" s="566"/>
      <c r="AK825" s="566"/>
      <c r="AL825" s="566"/>
      <c r="AM825" s="566"/>
      <c r="AN825" s="566"/>
      <c r="AO825" s="566"/>
    </row>
    <row r="826" spans="2:41" x14ac:dyDescent="0.15">
      <c r="B826" s="567">
        <v>-28</v>
      </c>
      <c r="C826" s="566"/>
      <c r="D826" s="566"/>
      <c r="E826" s="566"/>
      <c r="F826" s="566"/>
      <c r="G826" s="566"/>
      <c r="H826" s="566"/>
      <c r="I826" s="566"/>
      <c r="J826" s="566"/>
      <c r="K826" s="566"/>
      <c r="L826" s="566"/>
      <c r="M826" s="566"/>
      <c r="N826" s="566"/>
      <c r="O826" s="566"/>
      <c r="P826" s="566"/>
      <c r="Q826" s="566"/>
      <c r="R826" s="566"/>
      <c r="S826" s="566"/>
      <c r="T826" s="566"/>
      <c r="U826" s="566"/>
      <c r="V826" s="566"/>
      <c r="W826" s="566"/>
      <c r="X826" s="566"/>
      <c r="Y826" s="566"/>
      <c r="Z826" s="566"/>
      <c r="AA826" s="566"/>
      <c r="AB826" s="566"/>
      <c r="AC826" s="566"/>
      <c r="AD826" s="566"/>
      <c r="AE826" s="566"/>
      <c r="AF826" s="566"/>
      <c r="AG826" s="566"/>
      <c r="AH826" s="566"/>
      <c r="AI826" s="566"/>
      <c r="AJ826" s="566"/>
      <c r="AK826" s="566"/>
      <c r="AL826" s="566"/>
      <c r="AM826" s="566"/>
      <c r="AN826" s="566"/>
      <c r="AO826" s="566"/>
    </row>
    <row r="827" spans="2:41" x14ac:dyDescent="0.15">
      <c r="B827" s="567">
        <v>-27</v>
      </c>
      <c r="C827" s="566"/>
      <c r="D827" s="566"/>
      <c r="E827" s="566"/>
      <c r="F827" s="566"/>
      <c r="G827" s="566"/>
      <c r="H827" s="566"/>
      <c r="I827" s="566"/>
      <c r="J827" s="566"/>
      <c r="K827" s="566"/>
      <c r="L827" s="566"/>
      <c r="M827" s="566"/>
      <c r="N827" s="566"/>
      <c r="O827" s="566"/>
      <c r="P827" s="566"/>
      <c r="Q827" s="566"/>
      <c r="R827" s="566"/>
      <c r="S827" s="566"/>
      <c r="T827" s="566"/>
      <c r="U827" s="566"/>
      <c r="V827" s="566"/>
      <c r="W827" s="566"/>
      <c r="X827" s="566"/>
      <c r="Y827" s="566"/>
      <c r="Z827" s="566"/>
      <c r="AA827" s="566"/>
      <c r="AB827" s="566"/>
      <c r="AC827" s="566"/>
      <c r="AD827" s="566"/>
      <c r="AE827" s="566"/>
      <c r="AF827" s="566"/>
      <c r="AG827" s="566"/>
      <c r="AH827" s="566"/>
      <c r="AI827" s="566"/>
      <c r="AJ827" s="566"/>
      <c r="AK827" s="566"/>
      <c r="AL827" s="566"/>
      <c r="AM827" s="566"/>
      <c r="AN827" s="566"/>
      <c r="AO827" s="566"/>
    </row>
    <row r="828" spans="2:41" x14ac:dyDescent="0.15">
      <c r="B828" s="567">
        <v>-26</v>
      </c>
      <c r="C828" s="566"/>
      <c r="D828" s="566"/>
      <c r="E828" s="566"/>
      <c r="F828" s="566"/>
      <c r="G828" s="566"/>
      <c r="H828" s="566"/>
      <c r="I828" s="566"/>
      <c r="J828" s="566"/>
      <c r="K828" s="566"/>
      <c r="L828" s="566"/>
      <c r="M828" s="566"/>
      <c r="N828" s="566"/>
      <c r="O828" s="566"/>
      <c r="P828" s="566"/>
      <c r="Q828" s="566"/>
      <c r="R828" s="566"/>
      <c r="S828" s="566"/>
      <c r="T828" s="566"/>
      <c r="U828" s="566"/>
      <c r="V828" s="566"/>
      <c r="W828" s="566"/>
      <c r="X828" s="566"/>
      <c r="Y828" s="566"/>
      <c r="Z828" s="566"/>
      <c r="AA828" s="566"/>
      <c r="AB828" s="566"/>
      <c r="AC828" s="566"/>
      <c r="AD828" s="566"/>
      <c r="AE828" s="566"/>
      <c r="AF828" s="566"/>
      <c r="AG828" s="566"/>
      <c r="AH828" s="566"/>
      <c r="AI828" s="566"/>
      <c r="AJ828" s="566"/>
      <c r="AK828" s="566"/>
      <c r="AL828" s="566"/>
      <c r="AM828" s="566"/>
      <c r="AN828" s="566"/>
      <c r="AO828" s="566"/>
    </row>
    <row r="829" spans="2:41" x14ac:dyDescent="0.15">
      <c r="B829" s="567">
        <v>-25</v>
      </c>
      <c r="C829" s="566"/>
      <c r="D829" s="566"/>
      <c r="E829" s="566"/>
      <c r="F829" s="566"/>
      <c r="G829" s="566"/>
      <c r="H829" s="566"/>
      <c r="I829" s="566"/>
      <c r="J829" s="566"/>
      <c r="K829" s="566"/>
      <c r="L829" s="566"/>
      <c r="M829" s="566"/>
      <c r="N829" s="566"/>
      <c r="O829" s="566"/>
      <c r="P829" s="566"/>
      <c r="Q829" s="566"/>
      <c r="R829" s="566"/>
      <c r="S829" s="566"/>
      <c r="T829" s="566"/>
      <c r="U829" s="566"/>
      <c r="V829" s="566"/>
      <c r="W829" s="566"/>
      <c r="X829" s="566"/>
      <c r="Y829" s="566"/>
      <c r="Z829" s="566"/>
      <c r="AA829" s="566"/>
      <c r="AB829" s="566"/>
      <c r="AC829" s="566"/>
      <c r="AD829" s="566"/>
      <c r="AE829" s="566"/>
      <c r="AF829" s="566"/>
      <c r="AG829" s="566"/>
      <c r="AH829" s="566"/>
      <c r="AI829" s="566"/>
      <c r="AJ829" s="566"/>
      <c r="AK829" s="566"/>
      <c r="AL829" s="566"/>
      <c r="AM829" s="566"/>
      <c r="AN829" s="566"/>
      <c r="AO829" s="566"/>
    </row>
    <row r="830" spans="2:41" x14ac:dyDescent="0.15">
      <c r="B830" s="567">
        <v>-24</v>
      </c>
      <c r="C830" s="566"/>
      <c r="D830" s="566"/>
      <c r="E830" s="566"/>
      <c r="F830" s="566"/>
      <c r="G830" s="566"/>
      <c r="H830" s="566"/>
      <c r="I830" s="566"/>
      <c r="J830" s="566"/>
      <c r="K830" s="566"/>
      <c r="L830" s="566"/>
      <c r="M830" s="566"/>
      <c r="N830" s="566"/>
      <c r="O830" s="566"/>
      <c r="P830" s="566"/>
      <c r="Q830" s="566"/>
      <c r="R830" s="566"/>
      <c r="S830" s="566"/>
      <c r="T830" s="566"/>
      <c r="U830" s="566"/>
      <c r="V830" s="566"/>
      <c r="W830" s="566"/>
      <c r="X830" s="566"/>
      <c r="Y830" s="566"/>
      <c r="Z830" s="566"/>
      <c r="AA830" s="566"/>
      <c r="AB830" s="566"/>
      <c r="AC830" s="566"/>
      <c r="AD830" s="566"/>
      <c r="AE830" s="566"/>
      <c r="AF830" s="566"/>
      <c r="AG830" s="566"/>
      <c r="AH830" s="566"/>
      <c r="AI830" s="566"/>
      <c r="AJ830" s="566"/>
      <c r="AK830" s="566"/>
      <c r="AL830" s="566"/>
      <c r="AM830" s="566"/>
      <c r="AN830" s="566"/>
      <c r="AO830" s="566"/>
    </row>
    <row r="831" spans="2:41" x14ac:dyDescent="0.15">
      <c r="B831" s="567">
        <v>-23</v>
      </c>
      <c r="C831" s="566"/>
      <c r="D831" s="566"/>
      <c r="E831" s="566"/>
      <c r="F831" s="566"/>
      <c r="G831" s="566"/>
      <c r="H831" s="566"/>
      <c r="I831" s="566"/>
      <c r="J831" s="566"/>
      <c r="K831" s="566"/>
      <c r="L831" s="566"/>
      <c r="M831" s="566"/>
      <c r="N831" s="566"/>
      <c r="O831" s="566"/>
      <c r="P831" s="566"/>
      <c r="Q831" s="566"/>
      <c r="R831" s="566"/>
      <c r="S831" s="566"/>
      <c r="T831" s="566"/>
      <c r="U831" s="566"/>
      <c r="V831" s="566"/>
      <c r="W831" s="566"/>
      <c r="X831" s="566"/>
      <c r="Y831" s="566"/>
      <c r="Z831" s="566"/>
      <c r="AA831" s="566"/>
      <c r="AB831" s="566"/>
      <c r="AC831" s="566"/>
      <c r="AD831" s="566"/>
      <c r="AE831" s="566"/>
      <c r="AF831" s="566"/>
      <c r="AG831" s="566"/>
      <c r="AH831" s="566"/>
      <c r="AI831" s="566"/>
      <c r="AJ831" s="566"/>
      <c r="AK831" s="566"/>
      <c r="AL831" s="566"/>
      <c r="AM831" s="566"/>
      <c r="AN831" s="566"/>
      <c r="AO831" s="566"/>
    </row>
    <row r="832" spans="2:41" x14ac:dyDescent="0.15">
      <c r="B832" s="567">
        <v>-22</v>
      </c>
      <c r="C832" s="566"/>
      <c r="D832" s="566"/>
      <c r="E832" s="566"/>
      <c r="F832" s="566"/>
      <c r="G832" s="566"/>
      <c r="H832" s="566"/>
      <c r="I832" s="566"/>
      <c r="J832" s="566"/>
      <c r="K832" s="566"/>
      <c r="L832" s="566"/>
      <c r="M832" s="566"/>
      <c r="N832" s="566"/>
      <c r="O832" s="566"/>
      <c r="P832" s="566"/>
      <c r="Q832" s="566"/>
      <c r="R832" s="566"/>
      <c r="S832" s="566"/>
      <c r="T832" s="566"/>
      <c r="U832" s="566"/>
      <c r="V832" s="566"/>
      <c r="W832" s="566"/>
      <c r="X832" s="566"/>
      <c r="Y832" s="566"/>
      <c r="Z832" s="566"/>
      <c r="AA832" s="566"/>
      <c r="AB832" s="566"/>
      <c r="AC832" s="566"/>
      <c r="AD832" s="566"/>
      <c r="AE832" s="566"/>
      <c r="AF832" s="566"/>
      <c r="AG832" s="566"/>
      <c r="AH832" s="566"/>
      <c r="AI832" s="566"/>
      <c r="AJ832" s="566"/>
      <c r="AK832" s="566"/>
      <c r="AL832" s="566"/>
      <c r="AM832" s="566"/>
      <c r="AN832" s="566"/>
      <c r="AO832" s="566"/>
    </row>
    <row r="833" spans="2:41" x14ac:dyDescent="0.15">
      <c r="B833" s="567">
        <v>-21</v>
      </c>
      <c r="C833" s="566"/>
      <c r="D833" s="566"/>
      <c r="E833" s="566"/>
      <c r="F833" s="566"/>
      <c r="G833" s="566"/>
      <c r="H833" s="566"/>
      <c r="I833" s="566"/>
      <c r="J833" s="566"/>
      <c r="K833" s="566"/>
      <c r="L833" s="566"/>
      <c r="M833" s="566"/>
      <c r="N833" s="566"/>
      <c r="O833" s="566"/>
      <c r="P833" s="566"/>
      <c r="Q833" s="566"/>
      <c r="R833" s="566"/>
      <c r="S833" s="566"/>
      <c r="T833" s="566"/>
      <c r="U833" s="566"/>
      <c r="V833" s="566"/>
      <c r="W833" s="566"/>
      <c r="X833" s="566"/>
      <c r="Y833" s="566"/>
      <c r="Z833" s="566"/>
      <c r="AA833" s="566"/>
      <c r="AB833" s="566"/>
      <c r="AC833" s="566"/>
      <c r="AD833" s="566"/>
      <c r="AE833" s="566"/>
      <c r="AF833" s="566"/>
      <c r="AG833" s="566"/>
      <c r="AH833" s="566"/>
      <c r="AI833" s="566"/>
      <c r="AJ833" s="566"/>
      <c r="AK833" s="566"/>
      <c r="AL833" s="566"/>
      <c r="AM833" s="566"/>
      <c r="AN833" s="566"/>
      <c r="AO833" s="566"/>
    </row>
    <row r="834" spans="2:41" x14ac:dyDescent="0.15">
      <c r="B834" s="567">
        <v>-20</v>
      </c>
      <c r="C834" s="566"/>
      <c r="D834" s="566"/>
      <c r="E834" s="566"/>
      <c r="F834" s="566"/>
      <c r="G834" s="566"/>
      <c r="H834" s="566"/>
      <c r="I834" s="566"/>
      <c r="J834" s="566"/>
      <c r="K834" s="566"/>
      <c r="L834" s="566"/>
      <c r="M834" s="566"/>
      <c r="N834" s="566"/>
      <c r="O834" s="566"/>
      <c r="P834" s="566"/>
      <c r="Q834" s="566"/>
      <c r="R834" s="566"/>
      <c r="S834" s="566"/>
      <c r="T834" s="566"/>
      <c r="U834" s="566"/>
      <c r="V834" s="566"/>
      <c r="W834" s="566"/>
      <c r="X834" s="566"/>
      <c r="Y834" s="566"/>
      <c r="Z834" s="566"/>
      <c r="AA834" s="566"/>
      <c r="AB834" s="566"/>
      <c r="AC834" s="566"/>
      <c r="AD834" s="566"/>
      <c r="AE834" s="566"/>
      <c r="AF834" s="566"/>
      <c r="AG834" s="566"/>
      <c r="AH834" s="566"/>
      <c r="AI834" s="566"/>
      <c r="AJ834" s="566"/>
      <c r="AK834" s="566"/>
      <c r="AL834" s="566"/>
      <c r="AM834" s="566"/>
      <c r="AN834" s="566"/>
      <c r="AO834" s="566"/>
    </row>
    <row r="835" spans="2:41" x14ac:dyDescent="0.15">
      <c r="B835" s="567">
        <v>-19</v>
      </c>
      <c r="C835" s="566"/>
      <c r="D835" s="566"/>
      <c r="E835" s="566"/>
      <c r="F835" s="566"/>
      <c r="G835" s="566"/>
      <c r="H835" s="566"/>
      <c r="I835" s="566"/>
      <c r="J835" s="566"/>
      <c r="K835" s="566"/>
      <c r="L835" s="566"/>
      <c r="M835" s="566"/>
      <c r="N835" s="566"/>
      <c r="O835" s="566"/>
      <c r="P835" s="566"/>
      <c r="Q835" s="566"/>
      <c r="R835" s="566"/>
      <c r="S835" s="566"/>
      <c r="T835" s="566"/>
      <c r="U835" s="566"/>
      <c r="V835" s="566"/>
      <c r="W835" s="566"/>
      <c r="X835" s="566"/>
      <c r="Y835" s="566"/>
      <c r="Z835" s="566"/>
      <c r="AA835" s="566"/>
      <c r="AB835" s="566"/>
      <c r="AC835" s="566"/>
      <c r="AD835" s="566"/>
      <c r="AE835" s="566"/>
      <c r="AF835" s="566"/>
      <c r="AG835" s="566"/>
      <c r="AH835" s="566"/>
      <c r="AI835" s="566"/>
      <c r="AJ835" s="566"/>
      <c r="AK835" s="566"/>
      <c r="AL835" s="566"/>
      <c r="AM835" s="566"/>
      <c r="AN835" s="566"/>
      <c r="AO835" s="566"/>
    </row>
    <row r="836" spans="2:41" x14ac:dyDescent="0.15">
      <c r="B836" s="567">
        <v>-18</v>
      </c>
      <c r="C836" s="566"/>
      <c r="D836" s="566"/>
      <c r="E836" s="566"/>
      <c r="F836" s="566"/>
      <c r="G836" s="566"/>
      <c r="H836" s="566"/>
      <c r="I836" s="566"/>
      <c r="J836" s="566"/>
      <c r="K836" s="566"/>
      <c r="L836" s="566"/>
      <c r="M836" s="566"/>
      <c r="N836" s="566"/>
      <c r="O836" s="566"/>
      <c r="P836" s="566"/>
      <c r="Q836" s="566"/>
      <c r="R836" s="566"/>
      <c r="S836" s="566"/>
      <c r="T836" s="566"/>
      <c r="U836" s="566"/>
      <c r="V836" s="566"/>
      <c r="W836" s="566"/>
      <c r="X836" s="566"/>
      <c r="Y836" s="566"/>
      <c r="Z836" s="566"/>
      <c r="AA836" s="566"/>
      <c r="AB836" s="566"/>
      <c r="AC836" s="566"/>
      <c r="AD836" s="566"/>
      <c r="AE836" s="566"/>
      <c r="AF836" s="566"/>
      <c r="AG836" s="566"/>
      <c r="AH836" s="566"/>
      <c r="AI836" s="566"/>
      <c r="AJ836" s="566"/>
      <c r="AK836" s="566"/>
      <c r="AL836" s="566"/>
      <c r="AM836" s="566"/>
      <c r="AN836" s="566"/>
      <c r="AO836" s="566"/>
    </row>
    <row r="837" spans="2:41" x14ac:dyDescent="0.15">
      <c r="B837" s="567">
        <v>-17</v>
      </c>
      <c r="C837" s="566"/>
      <c r="D837" s="566"/>
      <c r="E837" s="566"/>
      <c r="F837" s="566"/>
      <c r="G837" s="566"/>
      <c r="H837" s="566"/>
      <c r="I837" s="566"/>
      <c r="J837" s="566"/>
      <c r="K837" s="566"/>
      <c r="L837" s="566"/>
      <c r="M837" s="566"/>
      <c r="N837" s="566"/>
      <c r="O837" s="566"/>
      <c r="P837" s="566"/>
      <c r="Q837" s="566"/>
      <c r="R837" s="566"/>
      <c r="S837" s="566"/>
      <c r="T837" s="566"/>
      <c r="U837" s="566"/>
      <c r="V837" s="566"/>
      <c r="W837" s="566"/>
      <c r="X837" s="566"/>
      <c r="Y837" s="566"/>
      <c r="Z837" s="566"/>
      <c r="AA837" s="566"/>
      <c r="AB837" s="566"/>
      <c r="AC837" s="566"/>
      <c r="AD837" s="566"/>
      <c r="AE837" s="566"/>
      <c r="AF837" s="566"/>
      <c r="AG837" s="566"/>
      <c r="AH837" s="566"/>
      <c r="AI837" s="566"/>
      <c r="AJ837" s="566"/>
      <c r="AK837" s="566"/>
      <c r="AL837" s="566"/>
      <c r="AM837" s="566"/>
      <c r="AN837" s="566"/>
      <c r="AO837" s="566"/>
    </row>
    <row r="838" spans="2:41" x14ac:dyDescent="0.15">
      <c r="B838" s="567">
        <v>-16</v>
      </c>
      <c r="C838" s="566"/>
      <c r="D838" s="566"/>
      <c r="E838" s="566"/>
      <c r="F838" s="566"/>
      <c r="G838" s="566"/>
      <c r="H838" s="566"/>
      <c r="I838" s="566"/>
      <c r="J838" s="566"/>
      <c r="K838" s="566"/>
      <c r="L838" s="566"/>
      <c r="M838" s="566"/>
      <c r="N838" s="566"/>
      <c r="O838" s="566"/>
      <c r="P838" s="566"/>
      <c r="Q838" s="566"/>
      <c r="R838" s="566"/>
      <c r="S838" s="566"/>
      <c r="T838" s="566"/>
      <c r="U838" s="566"/>
      <c r="V838" s="566"/>
      <c r="W838" s="566"/>
      <c r="X838" s="566"/>
      <c r="Y838" s="566"/>
      <c r="Z838" s="566"/>
      <c r="AA838" s="566"/>
      <c r="AB838" s="566"/>
      <c r="AC838" s="566"/>
      <c r="AD838" s="566"/>
      <c r="AE838" s="566"/>
      <c r="AF838" s="566"/>
      <c r="AG838" s="566"/>
      <c r="AH838" s="566"/>
      <c r="AI838" s="566"/>
      <c r="AJ838" s="566"/>
      <c r="AK838" s="566"/>
      <c r="AL838" s="566"/>
      <c r="AM838" s="566"/>
      <c r="AN838" s="566"/>
      <c r="AO838" s="566"/>
    </row>
    <row r="839" spans="2:41" x14ac:dyDescent="0.15">
      <c r="B839" s="567">
        <v>-15</v>
      </c>
      <c r="C839" s="566"/>
      <c r="D839" s="566"/>
      <c r="E839" s="566"/>
      <c r="F839" s="566"/>
      <c r="G839" s="566"/>
      <c r="H839" s="566"/>
      <c r="I839" s="566"/>
      <c r="J839" s="566"/>
      <c r="K839" s="566"/>
      <c r="L839" s="566"/>
      <c r="M839" s="566"/>
      <c r="N839" s="566"/>
      <c r="O839" s="566"/>
      <c r="P839" s="566"/>
      <c r="Q839" s="566"/>
      <c r="R839" s="566"/>
      <c r="S839" s="566"/>
      <c r="T839" s="566"/>
      <c r="U839" s="566"/>
      <c r="V839" s="566"/>
      <c r="W839" s="566"/>
      <c r="X839" s="566"/>
      <c r="Y839" s="566"/>
      <c r="Z839" s="566"/>
      <c r="AA839" s="566"/>
      <c r="AB839" s="566"/>
      <c r="AC839" s="566"/>
      <c r="AD839" s="566"/>
      <c r="AE839" s="566"/>
      <c r="AF839" s="566"/>
      <c r="AG839" s="566"/>
      <c r="AH839" s="566"/>
      <c r="AI839" s="566"/>
      <c r="AJ839" s="566"/>
      <c r="AK839" s="566"/>
      <c r="AL839" s="566"/>
      <c r="AM839" s="566"/>
      <c r="AN839" s="566"/>
      <c r="AO839" s="566"/>
    </row>
    <row r="840" spans="2:41" x14ac:dyDescent="0.15">
      <c r="B840" s="567">
        <v>-14</v>
      </c>
      <c r="C840" s="566"/>
      <c r="D840" s="566"/>
      <c r="E840" s="566"/>
      <c r="F840" s="566"/>
      <c r="G840" s="566"/>
      <c r="H840" s="566"/>
      <c r="I840" s="566"/>
      <c r="J840" s="566"/>
      <c r="K840" s="566"/>
      <c r="L840" s="566"/>
      <c r="M840" s="566"/>
      <c r="N840" s="566"/>
      <c r="O840" s="566"/>
      <c r="P840" s="566"/>
      <c r="Q840" s="566"/>
      <c r="R840" s="566"/>
      <c r="S840" s="566"/>
      <c r="T840" s="566"/>
      <c r="U840" s="566"/>
      <c r="V840" s="566"/>
      <c r="W840" s="566"/>
      <c r="X840" s="566"/>
      <c r="Y840" s="566"/>
      <c r="Z840" s="566"/>
      <c r="AA840" s="566"/>
      <c r="AB840" s="566"/>
      <c r="AC840" s="566"/>
      <c r="AD840" s="566"/>
      <c r="AE840" s="566"/>
      <c r="AF840" s="566"/>
      <c r="AG840" s="566"/>
      <c r="AH840" s="566"/>
      <c r="AI840" s="566"/>
      <c r="AJ840" s="566"/>
      <c r="AK840" s="566"/>
      <c r="AL840" s="566"/>
      <c r="AM840" s="566"/>
      <c r="AN840" s="566"/>
      <c r="AO840" s="566"/>
    </row>
    <row r="841" spans="2:41" x14ac:dyDescent="0.15">
      <c r="B841" s="567">
        <v>-13</v>
      </c>
      <c r="C841" s="566"/>
      <c r="D841" s="566"/>
      <c r="E841" s="566"/>
      <c r="F841" s="566"/>
      <c r="G841" s="566"/>
      <c r="H841" s="566"/>
      <c r="I841" s="566"/>
      <c r="J841" s="566"/>
      <c r="K841" s="566"/>
      <c r="L841" s="566"/>
      <c r="M841" s="566"/>
      <c r="N841" s="566"/>
      <c r="O841" s="566"/>
      <c r="P841" s="566"/>
      <c r="Q841" s="566"/>
      <c r="R841" s="566"/>
      <c r="S841" s="566"/>
      <c r="T841" s="566"/>
      <c r="U841" s="566"/>
      <c r="V841" s="566"/>
      <c r="W841" s="566"/>
      <c r="X841" s="566"/>
      <c r="Y841" s="566"/>
      <c r="Z841" s="566"/>
      <c r="AA841" s="566"/>
      <c r="AB841" s="566"/>
      <c r="AC841" s="566"/>
      <c r="AD841" s="566"/>
      <c r="AE841" s="566"/>
      <c r="AF841" s="566"/>
      <c r="AG841" s="566"/>
      <c r="AH841" s="566"/>
      <c r="AI841" s="566"/>
      <c r="AJ841" s="566"/>
      <c r="AK841" s="566"/>
      <c r="AL841" s="566"/>
      <c r="AM841" s="566"/>
      <c r="AN841" s="566"/>
      <c r="AO841" s="566"/>
    </row>
    <row r="842" spans="2:41" x14ac:dyDescent="0.15">
      <c r="B842" s="567">
        <v>-12</v>
      </c>
      <c r="C842" s="566"/>
      <c r="D842" s="566"/>
      <c r="E842" s="566"/>
      <c r="F842" s="566"/>
      <c r="G842" s="566"/>
      <c r="H842" s="566"/>
      <c r="I842" s="566"/>
      <c r="J842" s="566"/>
      <c r="K842" s="566"/>
      <c r="L842" s="566"/>
      <c r="M842" s="566"/>
      <c r="N842" s="566"/>
      <c r="O842" s="566"/>
      <c r="P842" s="566"/>
      <c r="Q842" s="566"/>
      <c r="R842" s="566"/>
      <c r="S842" s="566"/>
      <c r="T842" s="566"/>
      <c r="U842" s="566"/>
      <c r="V842" s="566"/>
      <c r="W842" s="566"/>
      <c r="X842" s="566"/>
      <c r="Y842" s="566"/>
      <c r="Z842" s="566"/>
      <c r="AA842" s="566"/>
      <c r="AB842" s="566"/>
      <c r="AC842" s="566"/>
      <c r="AD842" s="566"/>
      <c r="AE842" s="566"/>
      <c r="AF842" s="566"/>
      <c r="AG842" s="566"/>
      <c r="AH842" s="566"/>
      <c r="AI842" s="566"/>
      <c r="AJ842" s="566"/>
      <c r="AK842" s="566"/>
      <c r="AL842" s="566"/>
      <c r="AM842" s="566"/>
      <c r="AN842" s="566"/>
      <c r="AO842" s="566"/>
    </row>
    <row r="843" spans="2:41" x14ac:dyDescent="0.15">
      <c r="B843" s="567">
        <v>-11</v>
      </c>
      <c r="C843" s="566"/>
      <c r="D843" s="566"/>
      <c r="E843" s="566"/>
      <c r="F843" s="566"/>
      <c r="G843" s="566"/>
      <c r="H843" s="566"/>
      <c r="I843" s="566"/>
      <c r="J843" s="566"/>
      <c r="K843" s="566"/>
      <c r="L843" s="566"/>
      <c r="M843" s="566"/>
      <c r="N843" s="566"/>
      <c r="O843" s="566"/>
      <c r="P843" s="566"/>
      <c r="Q843" s="566"/>
      <c r="R843" s="566"/>
      <c r="S843" s="566"/>
      <c r="T843" s="566"/>
      <c r="U843" s="566"/>
      <c r="V843" s="566"/>
      <c r="W843" s="566"/>
      <c r="X843" s="566"/>
      <c r="Y843" s="566"/>
      <c r="Z843" s="566"/>
      <c r="AA843" s="566"/>
      <c r="AB843" s="566"/>
      <c r="AC843" s="566"/>
      <c r="AD843" s="566"/>
      <c r="AE843" s="566"/>
      <c r="AF843" s="566"/>
      <c r="AG843" s="566"/>
      <c r="AH843" s="566"/>
      <c r="AI843" s="566"/>
      <c r="AJ843" s="566"/>
      <c r="AK843" s="566"/>
      <c r="AL843" s="566"/>
      <c r="AM843" s="566"/>
      <c r="AN843" s="566"/>
      <c r="AO843" s="566"/>
    </row>
    <row r="844" spans="2:41" x14ac:dyDescent="0.15">
      <c r="B844" s="567">
        <v>-10</v>
      </c>
      <c r="C844" s="566"/>
      <c r="D844" s="566"/>
      <c r="E844" s="566"/>
      <c r="F844" s="566"/>
      <c r="G844" s="566"/>
      <c r="H844" s="566"/>
      <c r="I844" s="566"/>
      <c r="J844" s="566"/>
      <c r="K844" s="566"/>
      <c r="L844" s="566"/>
      <c r="M844" s="566"/>
      <c r="N844" s="566"/>
      <c r="O844" s="566"/>
      <c r="P844" s="566"/>
      <c r="Q844" s="566"/>
      <c r="R844" s="566"/>
      <c r="S844" s="566"/>
      <c r="T844" s="566"/>
      <c r="U844" s="566"/>
      <c r="V844" s="566"/>
      <c r="W844" s="566"/>
      <c r="X844" s="566"/>
      <c r="Y844" s="566"/>
      <c r="Z844" s="566"/>
      <c r="AA844" s="566"/>
      <c r="AB844" s="566"/>
      <c r="AC844" s="566"/>
      <c r="AD844" s="566"/>
      <c r="AE844" s="566"/>
      <c r="AF844" s="566"/>
      <c r="AG844" s="566"/>
      <c r="AH844" s="566"/>
      <c r="AI844" s="566"/>
      <c r="AJ844" s="566"/>
      <c r="AK844" s="566"/>
      <c r="AL844" s="566"/>
      <c r="AM844" s="566"/>
      <c r="AN844" s="566"/>
      <c r="AO844" s="566"/>
    </row>
    <row r="845" spans="2:41" x14ac:dyDescent="0.15">
      <c r="B845" s="567">
        <v>-9</v>
      </c>
      <c r="C845" s="566"/>
      <c r="D845" s="566"/>
      <c r="E845" s="566"/>
      <c r="F845" s="566"/>
      <c r="G845" s="566"/>
      <c r="H845" s="566"/>
      <c r="I845" s="566"/>
      <c r="J845" s="566"/>
      <c r="K845" s="566"/>
      <c r="L845" s="566"/>
      <c r="M845" s="566"/>
      <c r="N845" s="566"/>
      <c r="O845" s="566"/>
      <c r="P845" s="566"/>
      <c r="Q845" s="566"/>
      <c r="R845" s="566"/>
      <c r="S845" s="566"/>
      <c r="T845" s="566"/>
      <c r="U845" s="566"/>
      <c r="V845" s="566"/>
      <c r="W845" s="566"/>
      <c r="X845" s="566"/>
      <c r="Y845" s="566"/>
      <c r="Z845" s="566"/>
      <c r="AA845" s="566"/>
      <c r="AB845" s="566"/>
      <c r="AC845" s="566"/>
      <c r="AD845" s="566"/>
      <c r="AE845" s="566"/>
      <c r="AF845" s="566"/>
      <c r="AG845" s="566"/>
      <c r="AH845" s="566"/>
      <c r="AI845" s="566"/>
      <c r="AJ845" s="566"/>
      <c r="AK845" s="566"/>
      <c r="AL845" s="566"/>
      <c r="AM845" s="566"/>
      <c r="AN845" s="566"/>
      <c r="AO845" s="566"/>
    </row>
    <row r="846" spans="2:41" x14ac:dyDescent="0.15">
      <c r="B846" s="567">
        <v>-8</v>
      </c>
      <c r="C846" s="566"/>
      <c r="D846" s="566"/>
      <c r="E846" s="566"/>
      <c r="F846" s="566"/>
      <c r="G846" s="566"/>
      <c r="H846" s="566"/>
      <c r="I846" s="566"/>
      <c r="J846" s="566"/>
      <c r="K846" s="566"/>
      <c r="L846" s="566"/>
      <c r="M846" s="566"/>
      <c r="N846" s="566"/>
      <c r="O846" s="566"/>
      <c r="P846" s="566"/>
      <c r="Q846" s="566"/>
      <c r="R846" s="566"/>
      <c r="S846" s="566"/>
      <c r="T846" s="566"/>
      <c r="U846" s="566"/>
      <c r="V846" s="566"/>
      <c r="W846" s="566"/>
      <c r="X846" s="566"/>
      <c r="Y846" s="566"/>
      <c r="Z846" s="566"/>
      <c r="AA846" s="566"/>
      <c r="AB846" s="566"/>
      <c r="AC846" s="566"/>
      <c r="AD846" s="566"/>
      <c r="AE846" s="566"/>
      <c r="AF846" s="566"/>
      <c r="AG846" s="566"/>
      <c r="AH846" s="566"/>
      <c r="AI846" s="566"/>
      <c r="AJ846" s="566"/>
      <c r="AK846" s="566"/>
      <c r="AL846" s="566"/>
      <c r="AM846" s="566"/>
      <c r="AN846" s="566"/>
      <c r="AO846" s="566"/>
    </row>
    <row r="847" spans="2:41" x14ac:dyDescent="0.15">
      <c r="B847" s="567">
        <v>-7</v>
      </c>
      <c r="C847" s="566"/>
      <c r="D847" s="566"/>
      <c r="E847" s="566"/>
      <c r="F847" s="566"/>
      <c r="G847" s="566"/>
      <c r="H847" s="566"/>
      <c r="I847" s="566"/>
      <c r="J847" s="566"/>
      <c r="K847" s="566"/>
      <c r="L847" s="566"/>
      <c r="M847" s="566"/>
      <c r="N847" s="566"/>
      <c r="O847" s="566"/>
      <c r="P847" s="566"/>
      <c r="Q847" s="566"/>
      <c r="R847" s="566"/>
      <c r="S847" s="566"/>
      <c r="T847" s="566"/>
      <c r="U847" s="566"/>
      <c r="V847" s="566"/>
      <c r="W847" s="566"/>
      <c r="X847" s="566"/>
      <c r="Y847" s="566"/>
      <c r="Z847" s="566"/>
      <c r="AA847" s="566"/>
      <c r="AB847" s="566"/>
      <c r="AC847" s="566"/>
      <c r="AD847" s="566"/>
      <c r="AE847" s="566"/>
      <c r="AF847" s="566"/>
      <c r="AG847" s="566"/>
      <c r="AH847" s="566"/>
      <c r="AI847" s="566"/>
      <c r="AJ847" s="566"/>
      <c r="AK847" s="566"/>
      <c r="AL847" s="566"/>
      <c r="AM847" s="566"/>
      <c r="AN847" s="566"/>
      <c r="AO847" s="566"/>
    </row>
    <row r="848" spans="2:41" x14ac:dyDescent="0.15">
      <c r="B848" s="567">
        <v>-6</v>
      </c>
      <c r="C848" s="566"/>
      <c r="D848" s="566"/>
      <c r="E848" s="566"/>
      <c r="F848" s="566"/>
      <c r="G848" s="566"/>
      <c r="H848" s="566"/>
      <c r="I848" s="566"/>
      <c r="J848" s="566"/>
      <c r="K848" s="566"/>
      <c r="L848" s="566"/>
      <c r="M848" s="566"/>
      <c r="N848" s="566"/>
      <c r="O848" s="566"/>
      <c r="P848" s="566"/>
      <c r="Q848" s="566"/>
      <c r="R848" s="566"/>
      <c r="S848" s="566"/>
      <c r="T848" s="566"/>
      <c r="U848" s="566"/>
      <c r="V848" s="566"/>
      <c r="W848" s="566"/>
      <c r="X848" s="566"/>
      <c r="Y848" s="566"/>
      <c r="Z848" s="566"/>
      <c r="AA848" s="566"/>
      <c r="AB848" s="566"/>
      <c r="AC848" s="566"/>
      <c r="AD848" s="566"/>
      <c r="AE848" s="566"/>
      <c r="AF848" s="566"/>
      <c r="AG848" s="566"/>
      <c r="AH848" s="566"/>
      <c r="AI848" s="566"/>
      <c r="AJ848" s="566"/>
      <c r="AK848" s="566"/>
      <c r="AL848" s="566"/>
      <c r="AM848" s="566"/>
      <c r="AN848" s="566"/>
      <c r="AO848" s="566"/>
    </row>
    <row r="849" spans="2:41" x14ac:dyDescent="0.15">
      <c r="B849" s="567">
        <v>-5</v>
      </c>
      <c r="C849" s="566"/>
      <c r="D849" s="566"/>
      <c r="E849" s="566"/>
      <c r="F849" s="566"/>
      <c r="G849" s="566"/>
      <c r="H849" s="566"/>
      <c r="I849" s="566"/>
      <c r="J849" s="566"/>
      <c r="K849" s="566"/>
      <c r="L849" s="566"/>
      <c r="M849" s="566"/>
      <c r="N849" s="566"/>
      <c r="O849" s="566"/>
      <c r="P849" s="566"/>
      <c r="Q849" s="566"/>
      <c r="R849" s="566"/>
      <c r="S849" s="566"/>
      <c r="T849" s="566"/>
      <c r="U849" s="566"/>
      <c r="V849" s="566"/>
      <c r="W849" s="566"/>
      <c r="X849" s="566"/>
      <c r="Y849" s="566"/>
      <c r="Z849" s="566"/>
      <c r="AA849" s="566"/>
      <c r="AB849" s="566"/>
      <c r="AC849" s="566"/>
      <c r="AD849" s="566"/>
      <c r="AE849" s="566"/>
      <c r="AF849" s="566"/>
      <c r="AG849" s="566"/>
      <c r="AH849" s="566"/>
      <c r="AI849" s="566"/>
      <c r="AJ849" s="566"/>
      <c r="AK849" s="566"/>
      <c r="AL849" s="566"/>
      <c r="AM849" s="566"/>
      <c r="AN849" s="566"/>
      <c r="AO849" s="566"/>
    </row>
    <row r="850" spans="2:41" x14ac:dyDescent="0.15">
      <c r="B850" s="567">
        <v>-4</v>
      </c>
      <c r="C850" s="566"/>
      <c r="D850" s="566"/>
      <c r="E850" s="566"/>
      <c r="F850" s="566"/>
      <c r="G850" s="566"/>
      <c r="H850" s="566"/>
      <c r="I850" s="566"/>
      <c r="J850" s="566"/>
      <c r="K850" s="566"/>
      <c r="L850" s="566"/>
      <c r="M850" s="566"/>
      <c r="N850" s="566"/>
      <c r="O850" s="566"/>
      <c r="P850" s="566"/>
      <c r="Q850" s="566"/>
      <c r="R850" s="566"/>
      <c r="S850" s="566"/>
      <c r="T850" s="566"/>
      <c r="U850" s="566"/>
      <c r="V850" s="566"/>
      <c r="W850" s="566"/>
      <c r="X850" s="566"/>
      <c r="Y850" s="566"/>
      <c r="Z850" s="566"/>
      <c r="AA850" s="566"/>
      <c r="AB850" s="566"/>
      <c r="AC850" s="566"/>
      <c r="AD850" s="566"/>
      <c r="AE850" s="566"/>
      <c r="AF850" s="566"/>
      <c r="AG850" s="566"/>
      <c r="AH850" s="566"/>
      <c r="AI850" s="566"/>
      <c r="AJ850" s="566"/>
      <c r="AK850" s="566"/>
      <c r="AL850" s="566"/>
      <c r="AM850" s="566"/>
      <c r="AN850" s="566"/>
      <c r="AO850" s="566"/>
    </row>
    <row r="851" spans="2:41" x14ac:dyDescent="0.15">
      <c r="B851" s="567">
        <v>-3</v>
      </c>
      <c r="C851" s="566"/>
      <c r="D851" s="566"/>
      <c r="E851" s="566"/>
      <c r="F851" s="566"/>
      <c r="G851" s="566"/>
      <c r="H851" s="566"/>
      <c r="I851" s="566"/>
      <c r="J851" s="566"/>
      <c r="K851" s="566"/>
      <c r="L851" s="566"/>
      <c r="M851" s="566"/>
      <c r="N851" s="566"/>
      <c r="O851" s="566"/>
      <c r="P851" s="566"/>
      <c r="Q851" s="566"/>
      <c r="R851" s="566"/>
      <c r="S851" s="566"/>
      <c r="T851" s="566"/>
      <c r="U851" s="566"/>
      <c r="V851" s="566"/>
      <c r="W851" s="566"/>
      <c r="X851" s="566"/>
      <c r="Y851" s="566"/>
      <c r="Z851" s="566"/>
      <c r="AA851" s="566"/>
      <c r="AB851" s="566"/>
      <c r="AC851" s="566"/>
      <c r="AD851" s="566"/>
      <c r="AE851" s="566"/>
      <c r="AF851" s="566"/>
      <c r="AG851" s="566"/>
      <c r="AH851" s="566"/>
      <c r="AI851" s="566"/>
      <c r="AJ851" s="566"/>
      <c r="AK851" s="566"/>
      <c r="AL851" s="566"/>
      <c r="AM851" s="566"/>
      <c r="AN851" s="566"/>
      <c r="AO851" s="566"/>
    </row>
    <row r="852" spans="2:41" x14ac:dyDescent="0.15">
      <c r="B852" s="567">
        <v>-2</v>
      </c>
      <c r="C852" s="566"/>
      <c r="D852" s="566"/>
      <c r="E852" s="566"/>
      <c r="F852" s="566"/>
      <c r="G852" s="566"/>
      <c r="H852" s="566"/>
      <c r="I852" s="566"/>
      <c r="J852" s="566"/>
      <c r="K852" s="566"/>
      <c r="L852" s="566"/>
      <c r="M852" s="566"/>
      <c r="N852" s="566"/>
      <c r="O852" s="566"/>
      <c r="P852" s="566"/>
      <c r="Q852" s="566"/>
      <c r="R852" s="566"/>
      <c r="S852" s="566"/>
      <c r="T852" s="566"/>
      <c r="U852" s="566"/>
      <c r="V852" s="566"/>
      <c r="W852" s="566"/>
      <c r="X852" s="566"/>
      <c r="Y852" s="566"/>
      <c r="Z852" s="566"/>
      <c r="AA852" s="566"/>
      <c r="AB852" s="566"/>
      <c r="AC852" s="566"/>
      <c r="AD852" s="566"/>
      <c r="AE852" s="566"/>
      <c r="AF852" s="566"/>
      <c r="AG852" s="566"/>
      <c r="AH852" s="566"/>
      <c r="AI852" s="566"/>
      <c r="AJ852" s="566"/>
      <c r="AK852" s="566"/>
      <c r="AL852" s="566"/>
      <c r="AM852" s="566"/>
      <c r="AN852" s="566"/>
      <c r="AO852" s="566"/>
    </row>
    <row r="853" spans="2:41" x14ac:dyDescent="0.15">
      <c r="B853" s="567">
        <v>-1</v>
      </c>
      <c r="C853" s="566"/>
      <c r="D853" s="566"/>
      <c r="E853" s="566"/>
      <c r="F853" s="566"/>
      <c r="G853" s="566"/>
      <c r="H853" s="566"/>
      <c r="I853" s="566"/>
      <c r="J853" s="566"/>
      <c r="K853" s="566"/>
      <c r="L853" s="566"/>
      <c r="M853" s="566"/>
      <c r="N853" s="566"/>
      <c r="O853" s="566"/>
      <c r="P853" s="566"/>
      <c r="Q853" s="566"/>
      <c r="R853" s="566"/>
      <c r="S853" s="566"/>
      <c r="T853" s="566"/>
      <c r="U853" s="566"/>
      <c r="V853" s="566"/>
      <c r="W853" s="566"/>
      <c r="X853" s="566"/>
      <c r="Y853" s="566"/>
      <c r="Z853" s="566"/>
      <c r="AA853" s="566"/>
      <c r="AB853" s="566"/>
      <c r="AC853" s="566"/>
      <c r="AD853" s="566"/>
      <c r="AE853" s="566"/>
      <c r="AF853" s="566"/>
      <c r="AG853" s="566"/>
      <c r="AH853" s="566"/>
      <c r="AI853" s="566"/>
      <c r="AJ853" s="566"/>
      <c r="AK853" s="566"/>
      <c r="AL853" s="566"/>
      <c r="AM853" s="566"/>
      <c r="AN853" s="566"/>
      <c r="AO853" s="566"/>
    </row>
    <row r="854" spans="2:41" x14ac:dyDescent="0.15">
      <c r="B854" s="567">
        <v>0</v>
      </c>
      <c r="C854" s="566"/>
      <c r="D854" s="566"/>
      <c r="E854" s="566"/>
      <c r="F854" s="566"/>
      <c r="G854" s="566"/>
      <c r="H854" s="566"/>
      <c r="I854" s="566"/>
      <c r="J854" s="566"/>
      <c r="K854" s="566"/>
      <c r="L854" s="566"/>
      <c r="M854" s="566"/>
      <c r="N854" s="566"/>
      <c r="O854" s="566"/>
      <c r="P854" s="566"/>
      <c r="Q854" s="566"/>
      <c r="R854" s="566"/>
      <c r="S854" s="566"/>
      <c r="T854" s="566"/>
      <c r="U854" s="566"/>
      <c r="V854" s="566"/>
      <c r="W854" s="566"/>
      <c r="X854" s="566"/>
      <c r="Y854" s="566"/>
      <c r="Z854" s="566"/>
      <c r="AA854" s="566"/>
      <c r="AB854" s="566"/>
      <c r="AC854" s="566"/>
      <c r="AD854" s="566"/>
      <c r="AE854" s="566"/>
      <c r="AF854" s="566"/>
      <c r="AG854" s="566"/>
      <c r="AH854" s="566"/>
      <c r="AI854" s="566"/>
      <c r="AJ854" s="566"/>
      <c r="AK854" s="566"/>
      <c r="AL854" s="566"/>
      <c r="AM854" s="566"/>
      <c r="AN854" s="566"/>
      <c r="AO854" s="566"/>
    </row>
    <row r="855" spans="2:41" x14ac:dyDescent="0.15">
      <c r="B855" s="567">
        <v>1</v>
      </c>
      <c r="C855" s="566"/>
      <c r="D855" s="566"/>
      <c r="E855" s="566"/>
      <c r="F855" s="566"/>
      <c r="G855" s="566"/>
      <c r="H855" s="566"/>
      <c r="I855" s="566"/>
      <c r="J855" s="566"/>
      <c r="K855" s="566"/>
      <c r="L855" s="566"/>
      <c r="M855" s="566"/>
      <c r="N855" s="566"/>
      <c r="O855" s="566"/>
      <c r="P855" s="566"/>
      <c r="Q855" s="566"/>
      <c r="R855" s="566"/>
      <c r="S855" s="566"/>
      <c r="T855" s="566"/>
      <c r="U855" s="566"/>
      <c r="V855" s="566"/>
      <c r="W855" s="566"/>
      <c r="X855" s="566"/>
      <c r="Y855" s="566"/>
      <c r="Z855" s="566"/>
      <c r="AA855" s="566"/>
      <c r="AB855" s="566"/>
      <c r="AC855" s="566"/>
      <c r="AD855" s="566"/>
      <c r="AE855" s="566"/>
      <c r="AF855" s="566"/>
      <c r="AG855" s="566"/>
      <c r="AH855" s="566"/>
      <c r="AI855" s="566"/>
      <c r="AJ855" s="566"/>
      <c r="AK855" s="566"/>
      <c r="AL855" s="566"/>
      <c r="AM855" s="566"/>
      <c r="AN855" s="566"/>
      <c r="AO855" s="566"/>
    </row>
    <row r="856" spans="2:41" x14ac:dyDescent="0.15">
      <c r="B856" s="567">
        <v>2</v>
      </c>
      <c r="C856" s="566"/>
      <c r="D856" s="566"/>
      <c r="E856" s="566"/>
      <c r="F856" s="566"/>
      <c r="G856" s="566"/>
      <c r="H856" s="566"/>
      <c r="I856" s="566"/>
      <c r="J856" s="566"/>
      <c r="K856" s="566"/>
      <c r="L856" s="566"/>
      <c r="M856" s="566"/>
      <c r="N856" s="566"/>
      <c r="O856" s="566"/>
      <c r="P856" s="566"/>
      <c r="Q856" s="566"/>
      <c r="R856" s="566"/>
      <c r="S856" s="566"/>
      <c r="T856" s="566"/>
      <c r="U856" s="566"/>
      <c r="V856" s="566"/>
      <c r="W856" s="566"/>
      <c r="X856" s="566"/>
      <c r="Y856" s="566"/>
      <c r="Z856" s="566"/>
      <c r="AA856" s="566"/>
      <c r="AB856" s="566"/>
      <c r="AC856" s="566"/>
      <c r="AD856" s="566"/>
      <c r="AE856" s="566"/>
      <c r="AF856" s="566"/>
      <c r="AG856" s="566"/>
      <c r="AH856" s="566"/>
      <c r="AI856" s="566"/>
      <c r="AJ856" s="566"/>
      <c r="AK856" s="566"/>
      <c r="AL856" s="566"/>
      <c r="AM856" s="566"/>
      <c r="AN856" s="566"/>
      <c r="AO856" s="566"/>
    </row>
    <row r="857" spans="2:41" x14ac:dyDescent="0.15">
      <c r="B857" s="567">
        <v>3</v>
      </c>
      <c r="C857" s="566"/>
      <c r="D857" s="566"/>
      <c r="E857" s="566"/>
      <c r="F857" s="566"/>
      <c r="G857" s="566"/>
      <c r="H857" s="566"/>
      <c r="I857" s="566"/>
      <c r="J857" s="566"/>
      <c r="K857" s="566"/>
      <c r="L857" s="566"/>
      <c r="M857" s="566"/>
      <c r="N857" s="566"/>
      <c r="O857" s="566"/>
      <c r="P857" s="566"/>
      <c r="Q857" s="566"/>
      <c r="R857" s="566"/>
      <c r="S857" s="566"/>
      <c r="T857" s="566"/>
      <c r="U857" s="566"/>
      <c r="V857" s="566"/>
      <c r="W857" s="566"/>
      <c r="X857" s="566"/>
      <c r="Y857" s="566"/>
      <c r="Z857" s="566"/>
      <c r="AA857" s="566"/>
      <c r="AB857" s="566"/>
      <c r="AC857" s="566"/>
      <c r="AD857" s="566"/>
      <c r="AE857" s="566"/>
      <c r="AF857" s="566"/>
      <c r="AG857" s="566"/>
      <c r="AH857" s="566"/>
      <c r="AI857" s="566"/>
      <c r="AJ857" s="566"/>
      <c r="AK857" s="566"/>
      <c r="AL857" s="566"/>
      <c r="AM857" s="566"/>
      <c r="AN857" s="566"/>
      <c r="AO857" s="566"/>
    </row>
    <row r="858" spans="2:41" x14ac:dyDescent="0.15">
      <c r="B858" s="567">
        <v>4</v>
      </c>
      <c r="C858" s="566"/>
      <c r="D858" s="566"/>
      <c r="E858" s="566"/>
      <c r="F858" s="566"/>
      <c r="G858" s="566"/>
      <c r="H858" s="566"/>
      <c r="I858" s="566"/>
      <c r="J858" s="566"/>
      <c r="K858" s="566"/>
      <c r="L858" s="566"/>
      <c r="M858" s="566"/>
      <c r="N858" s="566"/>
      <c r="O858" s="566"/>
      <c r="P858" s="566"/>
      <c r="Q858" s="566"/>
      <c r="R858" s="566"/>
      <c r="S858" s="566"/>
      <c r="T858" s="566"/>
      <c r="U858" s="566"/>
      <c r="V858" s="566"/>
      <c r="W858" s="566"/>
      <c r="X858" s="566"/>
      <c r="Y858" s="566"/>
      <c r="Z858" s="566"/>
      <c r="AA858" s="566"/>
      <c r="AB858" s="566"/>
      <c r="AC858" s="566"/>
      <c r="AD858" s="566"/>
      <c r="AE858" s="566"/>
      <c r="AF858" s="566"/>
      <c r="AG858" s="566"/>
      <c r="AH858" s="566"/>
      <c r="AI858" s="566"/>
      <c r="AJ858" s="566"/>
      <c r="AK858" s="566"/>
      <c r="AL858" s="566"/>
      <c r="AM858" s="566"/>
      <c r="AN858" s="566"/>
      <c r="AO858" s="566"/>
    </row>
    <row r="859" spans="2:41" x14ac:dyDescent="0.15">
      <c r="B859" s="567">
        <v>5</v>
      </c>
      <c r="C859" s="566"/>
      <c r="D859" s="566"/>
      <c r="E859" s="566"/>
      <c r="F859" s="566"/>
      <c r="G859" s="566"/>
      <c r="H859" s="566"/>
      <c r="I859" s="566"/>
      <c r="J859" s="566"/>
      <c r="K859" s="566"/>
      <c r="L859" s="566"/>
      <c r="M859" s="566"/>
      <c r="N859" s="566"/>
      <c r="O859" s="566"/>
      <c r="P859" s="566"/>
      <c r="Q859" s="566"/>
      <c r="R859" s="566"/>
      <c r="S859" s="566"/>
      <c r="T859" s="566"/>
      <c r="U859" s="566"/>
      <c r="V859" s="566"/>
      <c r="W859" s="566"/>
      <c r="X859" s="566"/>
      <c r="Y859" s="566"/>
      <c r="Z859" s="566"/>
      <c r="AA859" s="566"/>
      <c r="AB859" s="566"/>
      <c r="AC859" s="566"/>
      <c r="AD859" s="566"/>
      <c r="AE859" s="566"/>
      <c r="AF859" s="566"/>
      <c r="AG859" s="566"/>
      <c r="AH859" s="566"/>
      <c r="AI859" s="566"/>
      <c r="AJ859" s="566"/>
      <c r="AK859" s="566"/>
      <c r="AL859" s="566"/>
      <c r="AM859" s="566"/>
      <c r="AN859" s="566"/>
      <c r="AO859" s="566"/>
    </row>
    <row r="860" spans="2:41" x14ac:dyDescent="0.15">
      <c r="B860" s="567">
        <v>6</v>
      </c>
      <c r="C860" s="566"/>
      <c r="D860" s="566"/>
      <c r="E860" s="566"/>
      <c r="F860" s="566"/>
      <c r="G860" s="566"/>
      <c r="H860" s="566"/>
      <c r="I860" s="566"/>
      <c r="J860" s="566"/>
      <c r="K860" s="566"/>
      <c r="L860" s="566"/>
      <c r="M860" s="566"/>
      <c r="N860" s="566"/>
      <c r="O860" s="566"/>
      <c r="P860" s="566"/>
      <c r="Q860" s="566"/>
      <c r="R860" s="566"/>
      <c r="S860" s="566"/>
      <c r="T860" s="566"/>
      <c r="U860" s="566"/>
      <c r="V860" s="566"/>
      <c r="W860" s="566"/>
      <c r="X860" s="566"/>
      <c r="Y860" s="566"/>
      <c r="Z860" s="566"/>
      <c r="AA860" s="566"/>
      <c r="AB860" s="566"/>
      <c r="AC860" s="566"/>
      <c r="AD860" s="566"/>
      <c r="AE860" s="566"/>
      <c r="AF860" s="566"/>
      <c r="AG860" s="566"/>
      <c r="AH860" s="566"/>
      <c r="AI860" s="566"/>
      <c r="AJ860" s="566"/>
      <c r="AK860" s="566"/>
      <c r="AL860" s="566"/>
      <c r="AM860" s="566"/>
      <c r="AN860" s="566"/>
      <c r="AO860" s="566"/>
    </row>
    <row r="861" spans="2:41" x14ac:dyDescent="0.15">
      <c r="B861" s="567">
        <v>7</v>
      </c>
      <c r="C861" s="566"/>
      <c r="D861" s="566"/>
      <c r="E861" s="566"/>
      <c r="F861" s="566"/>
      <c r="G861" s="566"/>
      <c r="H861" s="566"/>
      <c r="I861" s="566"/>
      <c r="J861" s="566"/>
      <c r="K861" s="566"/>
      <c r="L861" s="566"/>
      <c r="M861" s="566"/>
      <c r="N861" s="566"/>
      <c r="O861" s="566"/>
      <c r="P861" s="566"/>
      <c r="Q861" s="566"/>
      <c r="R861" s="566"/>
      <c r="S861" s="566"/>
      <c r="T861" s="566"/>
      <c r="U861" s="566"/>
      <c r="V861" s="566"/>
      <c r="W861" s="566"/>
      <c r="X861" s="566"/>
      <c r="Y861" s="566"/>
      <c r="Z861" s="566"/>
      <c r="AA861" s="566"/>
      <c r="AB861" s="566"/>
      <c r="AC861" s="566"/>
      <c r="AD861" s="566"/>
      <c r="AE861" s="566"/>
      <c r="AF861" s="566"/>
      <c r="AG861" s="566"/>
      <c r="AH861" s="566"/>
      <c r="AI861" s="566"/>
      <c r="AJ861" s="566"/>
      <c r="AK861" s="566"/>
      <c r="AL861" s="566"/>
      <c r="AM861" s="566"/>
      <c r="AN861" s="566"/>
      <c r="AO861" s="566"/>
    </row>
    <row r="862" spans="2:41" x14ac:dyDescent="0.15">
      <c r="B862" s="567">
        <v>8</v>
      </c>
      <c r="C862" s="566"/>
      <c r="D862" s="566"/>
      <c r="E862" s="566"/>
      <c r="F862" s="566"/>
      <c r="G862" s="566"/>
      <c r="H862" s="566"/>
      <c r="I862" s="566"/>
      <c r="J862" s="566"/>
      <c r="K862" s="566"/>
      <c r="L862" s="566"/>
      <c r="M862" s="566"/>
      <c r="N862" s="566"/>
      <c r="O862" s="566"/>
      <c r="P862" s="566"/>
      <c r="Q862" s="566"/>
      <c r="R862" s="566"/>
      <c r="S862" s="566"/>
      <c r="T862" s="566"/>
      <c r="U862" s="566"/>
      <c r="V862" s="566"/>
      <c r="W862" s="566"/>
      <c r="X862" s="566"/>
      <c r="Y862" s="566"/>
      <c r="Z862" s="566"/>
      <c r="AA862" s="566"/>
      <c r="AB862" s="566"/>
      <c r="AC862" s="566"/>
      <c r="AD862" s="566"/>
      <c r="AE862" s="566"/>
      <c r="AF862" s="566"/>
      <c r="AG862" s="566"/>
      <c r="AH862" s="566"/>
      <c r="AI862" s="566"/>
      <c r="AJ862" s="566"/>
      <c r="AK862" s="566"/>
      <c r="AL862" s="566"/>
      <c r="AM862" s="566"/>
      <c r="AN862" s="566"/>
      <c r="AO862" s="566"/>
    </row>
    <row r="863" spans="2:41" x14ac:dyDescent="0.15">
      <c r="B863" s="567">
        <v>9</v>
      </c>
      <c r="C863" s="566"/>
      <c r="D863" s="566"/>
      <c r="E863" s="566"/>
      <c r="F863" s="566"/>
      <c r="G863" s="566"/>
      <c r="H863" s="566"/>
      <c r="I863" s="566"/>
      <c r="J863" s="566"/>
      <c r="K863" s="566"/>
      <c r="L863" s="566"/>
      <c r="M863" s="566"/>
      <c r="N863" s="566"/>
      <c r="O863" s="566"/>
      <c r="P863" s="566"/>
      <c r="Q863" s="566"/>
      <c r="R863" s="566"/>
      <c r="S863" s="566"/>
      <c r="T863" s="566"/>
      <c r="U863" s="566"/>
      <c r="V863" s="566"/>
      <c r="W863" s="566"/>
      <c r="X863" s="566"/>
      <c r="Y863" s="566"/>
      <c r="Z863" s="566"/>
      <c r="AA863" s="566"/>
      <c r="AB863" s="566"/>
      <c r="AC863" s="566"/>
      <c r="AD863" s="566"/>
      <c r="AE863" s="566"/>
      <c r="AF863" s="566"/>
      <c r="AG863" s="566"/>
      <c r="AH863" s="566"/>
      <c r="AI863" s="566"/>
      <c r="AJ863" s="566"/>
      <c r="AK863" s="566"/>
      <c r="AL863" s="566"/>
      <c r="AM863" s="566"/>
      <c r="AN863" s="566"/>
      <c r="AO863" s="566"/>
    </row>
    <row r="864" spans="2:41" x14ac:dyDescent="0.15">
      <c r="B864" s="567">
        <v>10</v>
      </c>
      <c r="C864" s="566"/>
      <c r="D864" s="566"/>
      <c r="E864" s="566"/>
      <c r="F864" s="566"/>
      <c r="G864" s="566"/>
      <c r="H864" s="566"/>
      <c r="I864" s="566"/>
      <c r="J864" s="566"/>
      <c r="K864" s="566"/>
      <c r="L864" s="566"/>
      <c r="M864" s="566"/>
      <c r="N864" s="566"/>
      <c r="O864" s="566"/>
      <c r="P864" s="566"/>
      <c r="Q864" s="566"/>
      <c r="R864" s="566"/>
      <c r="S864" s="566"/>
      <c r="T864" s="566"/>
      <c r="U864" s="566"/>
      <c r="V864" s="566"/>
      <c r="W864" s="566"/>
      <c r="X864" s="566"/>
      <c r="Y864" s="566"/>
      <c r="Z864" s="566"/>
      <c r="AA864" s="566"/>
      <c r="AB864" s="566"/>
      <c r="AC864" s="566"/>
      <c r="AD864" s="566"/>
      <c r="AE864" s="566"/>
      <c r="AF864" s="566"/>
      <c r="AG864" s="566"/>
      <c r="AH864" s="566"/>
      <c r="AI864" s="566"/>
      <c r="AJ864" s="566"/>
      <c r="AK864" s="566"/>
      <c r="AL864" s="566"/>
      <c r="AM864" s="566"/>
      <c r="AN864" s="566"/>
      <c r="AO864" s="566"/>
    </row>
    <row r="865" spans="2:41" x14ac:dyDescent="0.15">
      <c r="B865" s="567">
        <v>11</v>
      </c>
      <c r="C865" s="566"/>
      <c r="D865" s="566"/>
      <c r="E865" s="566"/>
      <c r="F865" s="566"/>
      <c r="G865" s="566"/>
      <c r="H865" s="566"/>
      <c r="I865" s="566"/>
      <c r="J865" s="566"/>
      <c r="K865" s="566"/>
      <c r="L865" s="566"/>
      <c r="M865" s="566"/>
      <c r="N865" s="566"/>
      <c r="O865" s="566"/>
      <c r="P865" s="566"/>
      <c r="Q865" s="566"/>
      <c r="R865" s="566"/>
      <c r="S865" s="566"/>
      <c r="T865" s="566"/>
      <c r="U865" s="566"/>
      <c r="V865" s="566"/>
      <c r="W865" s="566"/>
      <c r="X865" s="566"/>
      <c r="Y865" s="566"/>
      <c r="Z865" s="566"/>
      <c r="AA865" s="566"/>
      <c r="AB865" s="566"/>
      <c r="AC865" s="566"/>
      <c r="AD865" s="566"/>
      <c r="AE865" s="566"/>
      <c r="AF865" s="566"/>
      <c r="AG865" s="566"/>
      <c r="AH865" s="566"/>
      <c r="AI865" s="566"/>
      <c r="AJ865" s="566"/>
      <c r="AK865" s="566"/>
      <c r="AL865" s="566"/>
      <c r="AM865" s="566"/>
      <c r="AN865" s="566"/>
      <c r="AO865" s="566"/>
    </row>
    <row r="866" spans="2:41" x14ac:dyDescent="0.15">
      <c r="B866" s="567">
        <v>12</v>
      </c>
      <c r="C866" s="566"/>
      <c r="D866" s="566"/>
      <c r="E866" s="566"/>
      <c r="F866" s="566"/>
      <c r="G866" s="566"/>
      <c r="H866" s="566"/>
      <c r="I866" s="566"/>
      <c r="J866" s="566"/>
      <c r="K866" s="566"/>
      <c r="L866" s="566"/>
      <c r="M866" s="566"/>
      <c r="N866" s="566"/>
      <c r="O866" s="566"/>
      <c r="P866" s="566"/>
      <c r="Q866" s="566"/>
      <c r="R866" s="566"/>
      <c r="S866" s="566"/>
      <c r="T866" s="566"/>
      <c r="U866" s="566"/>
      <c r="V866" s="566"/>
      <c r="W866" s="566"/>
      <c r="X866" s="566"/>
      <c r="Y866" s="566"/>
      <c r="Z866" s="566"/>
      <c r="AA866" s="566"/>
      <c r="AB866" s="566"/>
      <c r="AC866" s="566"/>
      <c r="AD866" s="566"/>
      <c r="AE866" s="566"/>
      <c r="AF866" s="566"/>
      <c r="AG866" s="566"/>
      <c r="AH866" s="566"/>
      <c r="AI866" s="566"/>
      <c r="AJ866" s="566"/>
      <c r="AK866" s="566"/>
      <c r="AL866" s="566"/>
      <c r="AM866" s="566"/>
      <c r="AN866" s="566"/>
      <c r="AO866" s="566"/>
    </row>
    <row r="867" spans="2:41" x14ac:dyDescent="0.15">
      <c r="B867" s="567">
        <v>13</v>
      </c>
      <c r="C867" s="566"/>
      <c r="D867" s="566"/>
      <c r="E867" s="566"/>
      <c r="F867" s="566"/>
      <c r="G867" s="566"/>
      <c r="H867" s="566"/>
      <c r="I867" s="566"/>
      <c r="J867" s="566"/>
      <c r="K867" s="566"/>
      <c r="L867" s="566"/>
      <c r="M867" s="566"/>
      <c r="N867" s="566"/>
      <c r="O867" s="566"/>
      <c r="P867" s="566"/>
      <c r="Q867" s="566"/>
      <c r="R867" s="566"/>
      <c r="S867" s="566"/>
      <c r="T867" s="566"/>
      <c r="U867" s="566"/>
      <c r="V867" s="566"/>
      <c r="W867" s="566"/>
      <c r="X867" s="566"/>
      <c r="Y867" s="566"/>
      <c r="Z867" s="566"/>
      <c r="AA867" s="566"/>
      <c r="AB867" s="566"/>
      <c r="AC867" s="566"/>
      <c r="AD867" s="566"/>
      <c r="AE867" s="566"/>
      <c r="AF867" s="566"/>
      <c r="AG867" s="566"/>
      <c r="AH867" s="566"/>
      <c r="AI867" s="566"/>
      <c r="AJ867" s="566"/>
      <c r="AK867" s="566"/>
      <c r="AL867" s="566"/>
      <c r="AM867" s="566"/>
      <c r="AN867" s="566"/>
      <c r="AO867" s="566"/>
    </row>
    <row r="868" spans="2:41" x14ac:dyDescent="0.15">
      <c r="B868" s="567">
        <v>14</v>
      </c>
      <c r="C868" s="566"/>
      <c r="D868" s="566"/>
      <c r="E868" s="566"/>
      <c r="F868" s="566"/>
      <c r="G868" s="566"/>
      <c r="H868" s="566"/>
      <c r="I868" s="566"/>
      <c r="J868" s="566"/>
      <c r="K868" s="566"/>
      <c r="L868" s="566"/>
      <c r="M868" s="566"/>
      <c r="N868" s="566"/>
      <c r="O868" s="566"/>
      <c r="P868" s="566"/>
      <c r="Q868" s="566"/>
      <c r="R868" s="566"/>
      <c r="S868" s="566"/>
      <c r="T868" s="566"/>
      <c r="U868" s="566"/>
      <c r="V868" s="566"/>
      <c r="W868" s="566"/>
      <c r="X868" s="566"/>
      <c r="Y868" s="566"/>
      <c r="Z868" s="566"/>
      <c r="AA868" s="566"/>
      <c r="AB868" s="566"/>
      <c r="AC868" s="566"/>
      <c r="AD868" s="566"/>
      <c r="AE868" s="566"/>
      <c r="AF868" s="566"/>
      <c r="AG868" s="566"/>
      <c r="AH868" s="566"/>
      <c r="AI868" s="566"/>
      <c r="AJ868" s="566"/>
      <c r="AK868" s="566"/>
      <c r="AL868" s="566"/>
      <c r="AM868" s="566"/>
      <c r="AN868" s="566"/>
      <c r="AO868" s="566"/>
    </row>
    <row r="869" spans="2:41" x14ac:dyDescent="0.15">
      <c r="B869" s="567">
        <v>15</v>
      </c>
      <c r="C869" s="566"/>
      <c r="D869" s="566"/>
      <c r="E869" s="566"/>
      <c r="F869" s="566"/>
      <c r="G869" s="566"/>
      <c r="H869" s="566"/>
      <c r="I869" s="566"/>
      <c r="J869" s="566"/>
      <c r="K869" s="566"/>
      <c r="L869" s="566"/>
      <c r="M869" s="566"/>
      <c r="N869" s="566"/>
      <c r="O869" s="566"/>
      <c r="P869" s="566"/>
      <c r="Q869" s="566"/>
      <c r="R869" s="566"/>
      <c r="S869" s="566"/>
      <c r="T869" s="566"/>
      <c r="U869" s="566"/>
      <c r="V869" s="566"/>
      <c r="W869" s="566"/>
      <c r="X869" s="566"/>
      <c r="Y869" s="566"/>
      <c r="Z869" s="566"/>
      <c r="AA869" s="566"/>
      <c r="AB869" s="566"/>
      <c r="AC869" s="566"/>
      <c r="AD869" s="566"/>
      <c r="AE869" s="566"/>
      <c r="AF869" s="566"/>
      <c r="AG869" s="566"/>
      <c r="AH869" s="566"/>
      <c r="AI869" s="566"/>
      <c r="AJ869" s="566"/>
      <c r="AK869" s="566"/>
      <c r="AL869" s="566"/>
      <c r="AM869" s="566"/>
      <c r="AN869" s="566"/>
      <c r="AO869" s="566"/>
    </row>
    <row r="870" spans="2:41" x14ac:dyDescent="0.15">
      <c r="B870" s="567">
        <v>16</v>
      </c>
      <c r="C870" s="566"/>
      <c r="D870" s="566"/>
      <c r="E870" s="566"/>
      <c r="F870" s="566"/>
      <c r="G870" s="566"/>
      <c r="H870" s="566"/>
      <c r="I870" s="566"/>
      <c r="J870" s="566"/>
      <c r="K870" s="566"/>
      <c r="L870" s="566"/>
      <c r="M870" s="566"/>
      <c r="N870" s="566"/>
      <c r="O870" s="566"/>
      <c r="P870" s="566"/>
      <c r="Q870" s="566"/>
      <c r="R870" s="566"/>
      <c r="S870" s="566"/>
      <c r="T870" s="566"/>
      <c r="U870" s="566"/>
      <c r="V870" s="566"/>
      <c r="W870" s="566"/>
      <c r="X870" s="566"/>
      <c r="Y870" s="566"/>
      <c r="Z870" s="566"/>
      <c r="AA870" s="566"/>
      <c r="AB870" s="566"/>
      <c r="AC870" s="566"/>
      <c r="AD870" s="566"/>
      <c r="AE870" s="566"/>
      <c r="AF870" s="566"/>
      <c r="AG870" s="566"/>
      <c r="AH870" s="566"/>
      <c r="AI870" s="566"/>
      <c r="AJ870" s="566"/>
      <c r="AK870" s="566"/>
      <c r="AL870" s="566"/>
      <c r="AM870" s="566"/>
      <c r="AN870" s="566"/>
      <c r="AO870" s="566"/>
    </row>
    <row r="871" spans="2:41" x14ac:dyDescent="0.15">
      <c r="B871" s="567">
        <v>17</v>
      </c>
      <c r="C871" s="566"/>
      <c r="D871" s="566"/>
      <c r="E871" s="566"/>
      <c r="F871" s="566"/>
      <c r="G871" s="566"/>
      <c r="H871" s="566"/>
      <c r="I871" s="566"/>
      <c r="J871" s="566"/>
      <c r="K871" s="566"/>
      <c r="L871" s="566"/>
      <c r="M871" s="566"/>
      <c r="N871" s="566"/>
      <c r="O871" s="566"/>
      <c r="P871" s="566"/>
      <c r="Q871" s="566"/>
      <c r="R871" s="566"/>
      <c r="S871" s="566"/>
      <c r="T871" s="566"/>
      <c r="U871" s="566"/>
      <c r="V871" s="566"/>
      <c r="W871" s="566"/>
      <c r="X871" s="566"/>
      <c r="Y871" s="566"/>
      <c r="Z871" s="566"/>
      <c r="AA871" s="566"/>
      <c r="AB871" s="566"/>
      <c r="AC871" s="566"/>
      <c r="AD871" s="566"/>
      <c r="AE871" s="566"/>
      <c r="AF871" s="566"/>
      <c r="AG871" s="566"/>
      <c r="AH871" s="566"/>
      <c r="AI871" s="566"/>
      <c r="AJ871" s="566"/>
      <c r="AK871" s="566"/>
      <c r="AL871" s="566"/>
      <c r="AM871" s="566"/>
      <c r="AN871" s="566"/>
      <c r="AO871" s="566"/>
    </row>
    <row r="872" spans="2:41" x14ac:dyDescent="0.15">
      <c r="B872" s="567">
        <v>18</v>
      </c>
      <c r="C872" s="566"/>
      <c r="D872" s="566"/>
      <c r="E872" s="566"/>
      <c r="F872" s="566"/>
      <c r="G872" s="566"/>
      <c r="H872" s="566"/>
      <c r="I872" s="566"/>
      <c r="J872" s="566"/>
      <c r="K872" s="566"/>
      <c r="L872" s="566"/>
      <c r="M872" s="566"/>
      <c r="N872" s="566"/>
      <c r="O872" s="566"/>
      <c r="P872" s="566"/>
      <c r="Q872" s="566"/>
      <c r="R872" s="566"/>
      <c r="S872" s="566"/>
      <c r="T872" s="566"/>
      <c r="U872" s="566"/>
      <c r="V872" s="566"/>
      <c r="W872" s="566"/>
      <c r="X872" s="566"/>
      <c r="Y872" s="566"/>
      <c r="Z872" s="566"/>
      <c r="AA872" s="566"/>
      <c r="AB872" s="566"/>
      <c r="AC872" s="566"/>
      <c r="AD872" s="566"/>
      <c r="AE872" s="566"/>
      <c r="AF872" s="566"/>
      <c r="AG872" s="566"/>
      <c r="AH872" s="566"/>
      <c r="AI872" s="566"/>
      <c r="AJ872" s="566"/>
      <c r="AK872" s="566"/>
      <c r="AL872" s="566"/>
      <c r="AM872" s="566"/>
      <c r="AN872" s="566"/>
      <c r="AO872" s="566"/>
    </row>
    <row r="873" spans="2:41" x14ac:dyDescent="0.15">
      <c r="B873" s="567">
        <v>19</v>
      </c>
      <c r="C873" s="566"/>
      <c r="D873" s="566"/>
      <c r="E873" s="566"/>
      <c r="F873" s="566"/>
      <c r="G873" s="566"/>
      <c r="H873" s="566"/>
      <c r="I873" s="566"/>
      <c r="J873" s="566"/>
      <c r="K873" s="566"/>
      <c r="L873" s="566"/>
      <c r="M873" s="566"/>
      <c r="N873" s="566"/>
      <c r="O873" s="566"/>
      <c r="P873" s="566"/>
      <c r="Q873" s="566"/>
      <c r="R873" s="566"/>
      <c r="S873" s="566"/>
      <c r="T873" s="566"/>
      <c r="U873" s="566"/>
      <c r="V873" s="566"/>
      <c r="W873" s="566"/>
      <c r="X873" s="566"/>
      <c r="Y873" s="566"/>
      <c r="Z873" s="566"/>
      <c r="AA873" s="566"/>
      <c r="AB873" s="566"/>
      <c r="AC873" s="566"/>
      <c r="AD873" s="566"/>
      <c r="AE873" s="566"/>
      <c r="AF873" s="566"/>
      <c r="AG873" s="566"/>
      <c r="AH873" s="566"/>
      <c r="AI873" s="566"/>
      <c r="AJ873" s="566"/>
      <c r="AK873" s="566"/>
      <c r="AL873" s="566"/>
      <c r="AM873" s="566"/>
      <c r="AN873" s="566"/>
      <c r="AO873" s="566"/>
    </row>
    <row r="874" spans="2:41" x14ac:dyDescent="0.15">
      <c r="B874" s="567">
        <v>20</v>
      </c>
      <c r="C874" s="566"/>
      <c r="D874" s="566"/>
      <c r="E874" s="566"/>
      <c r="F874" s="566"/>
      <c r="G874" s="566"/>
      <c r="H874" s="566"/>
      <c r="I874" s="566"/>
      <c r="J874" s="566"/>
      <c r="K874" s="566"/>
      <c r="L874" s="566"/>
      <c r="M874" s="566"/>
      <c r="N874" s="566"/>
      <c r="O874" s="566"/>
      <c r="P874" s="566"/>
      <c r="Q874" s="566"/>
      <c r="R874" s="566"/>
      <c r="S874" s="566"/>
      <c r="T874" s="566"/>
      <c r="U874" s="566"/>
      <c r="V874" s="566"/>
      <c r="W874" s="566"/>
      <c r="X874" s="566"/>
      <c r="Y874" s="566"/>
      <c r="Z874" s="566"/>
      <c r="AA874" s="566"/>
      <c r="AB874" s="566"/>
      <c r="AC874" s="566"/>
      <c r="AD874" s="566"/>
      <c r="AE874" s="566"/>
      <c r="AF874" s="566"/>
      <c r="AG874" s="566"/>
      <c r="AH874" s="566"/>
      <c r="AI874" s="566"/>
      <c r="AJ874" s="566"/>
      <c r="AK874" s="566"/>
      <c r="AL874" s="566"/>
      <c r="AM874" s="566"/>
      <c r="AN874" s="566"/>
      <c r="AO874" s="566"/>
    </row>
    <row r="875" spans="2:41" x14ac:dyDescent="0.15">
      <c r="B875" s="567">
        <v>21</v>
      </c>
      <c r="C875" s="566"/>
      <c r="D875" s="566"/>
      <c r="E875" s="566"/>
      <c r="F875" s="566"/>
      <c r="G875" s="566"/>
      <c r="H875" s="566"/>
      <c r="I875" s="566"/>
      <c r="J875" s="566"/>
      <c r="K875" s="566"/>
      <c r="L875" s="566"/>
      <c r="M875" s="566"/>
      <c r="N875" s="566"/>
      <c r="O875" s="566"/>
      <c r="P875" s="566"/>
      <c r="Q875" s="566"/>
      <c r="R875" s="566"/>
      <c r="S875" s="566"/>
      <c r="T875" s="566"/>
      <c r="U875" s="566"/>
      <c r="V875" s="566"/>
      <c r="W875" s="566"/>
      <c r="X875" s="566"/>
      <c r="Y875" s="566"/>
      <c r="Z875" s="566"/>
      <c r="AA875" s="566"/>
      <c r="AB875" s="566"/>
      <c r="AC875" s="566"/>
      <c r="AD875" s="566"/>
      <c r="AE875" s="566"/>
      <c r="AF875" s="566"/>
      <c r="AG875" s="566"/>
      <c r="AH875" s="566"/>
      <c r="AI875" s="566"/>
      <c r="AJ875" s="566"/>
      <c r="AK875" s="566"/>
      <c r="AL875" s="566"/>
      <c r="AM875" s="566"/>
      <c r="AN875" s="566"/>
      <c r="AO875" s="566"/>
    </row>
    <row r="876" spans="2:41" x14ac:dyDescent="0.15">
      <c r="B876" s="567">
        <v>22</v>
      </c>
      <c r="C876" s="566"/>
      <c r="D876" s="566"/>
      <c r="E876" s="566"/>
      <c r="F876" s="566"/>
      <c r="G876" s="566"/>
      <c r="H876" s="566"/>
      <c r="I876" s="566"/>
      <c r="J876" s="566"/>
      <c r="K876" s="566"/>
      <c r="L876" s="566"/>
      <c r="M876" s="566"/>
      <c r="N876" s="566"/>
      <c r="O876" s="566"/>
      <c r="P876" s="566"/>
      <c r="Q876" s="566"/>
      <c r="R876" s="566"/>
      <c r="S876" s="566"/>
      <c r="T876" s="566"/>
      <c r="U876" s="566"/>
      <c r="V876" s="566"/>
      <c r="W876" s="566"/>
      <c r="X876" s="566"/>
      <c r="Y876" s="566"/>
      <c r="Z876" s="566"/>
      <c r="AA876" s="566"/>
      <c r="AB876" s="566"/>
      <c r="AC876" s="566"/>
      <c r="AD876" s="566"/>
      <c r="AE876" s="566"/>
      <c r="AF876" s="566"/>
      <c r="AG876" s="566"/>
      <c r="AH876" s="566"/>
      <c r="AI876" s="566"/>
      <c r="AJ876" s="566"/>
      <c r="AK876" s="566"/>
      <c r="AL876" s="566"/>
      <c r="AM876" s="566"/>
      <c r="AN876" s="566"/>
      <c r="AO876" s="566"/>
    </row>
    <row r="877" spans="2:41" x14ac:dyDescent="0.15">
      <c r="B877" s="567">
        <v>23</v>
      </c>
      <c r="C877" s="566"/>
      <c r="D877" s="566"/>
      <c r="E877" s="566"/>
      <c r="F877" s="566"/>
      <c r="G877" s="566"/>
      <c r="H877" s="566"/>
      <c r="I877" s="566"/>
      <c r="J877" s="566"/>
      <c r="K877" s="566"/>
      <c r="L877" s="566"/>
      <c r="M877" s="566"/>
      <c r="N877" s="566"/>
      <c r="O877" s="566"/>
      <c r="P877" s="566"/>
      <c r="Q877" s="566"/>
      <c r="R877" s="566"/>
      <c r="S877" s="566"/>
      <c r="T877" s="566"/>
      <c r="U877" s="566"/>
      <c r="V877" s="566"/>
      <c r="W877" s="566"/>
      <c r="X877" s="566"/>
      <c r="Y877" s="566"/>
      <c r="Z877" s="566"/>
      <c r="AA877" s="566"/>
      <c r="AB877" s="566"/>
      <c r="AC877" s="566"/>
      <c r="AD877" s="566"/>
      <c r="AE877" s="566"/>
      <c r="AF877" s="566"/>
      <c r="AG877" s="566"/>
      <c r="AH877" s="566"/>
      <c r="AI877" s="566"/>
      <c r="AJ877" s="566"/>
      <c r="AK877" s="566"/>
      <c r="AL877" s="566"/>
      <c r="AM877" s="566"/>
      <c r="AN877" s="566"/>
      <c r="AO877" s="566"/>
    </row>
    <row r="878" spans="2:41" x14ac:dyDescent="0.15">
      <c r="B878" s="567">
        <v>24</v>
      </c>
      <c r="C878" s="566"/>
      <c r="D878" s="566"/>
      <c r="E878" s="566"/>
      <c r="F878" s="566"/>
      <c r="G878" s="566"/>
      <c r="H878" s="566"/>
      <c r="I878" s="566"/>
      <c r="J878" s="566"/>
      <c r="K878" s="566"/>
      <c r="L878" s="566"/>
      <c r="M878" s="566"/>
      <c r="N878" s="566"/>
      <c r="O878" s="566"/>
      <c r="P878" s="566"/>
      <c r="Q878" s="566"/>
      <c r="R878" s="566"/>
      <c r="S878" s="566"/>
      <c r="T878" s="566"/>
      <c r="U878" s="566"/>
      <c r="V878" s="566"/>
      <c r="W878" s="566"/>
      <c r="X878" s="566"/>
      <c r="Y878" s="566"/>
      <c r="Z878" s="566"/>
      <c r="AA878" s="566"/>
      <c r="AB878" s="566"/>
      <c r="AC878" s="566"/>
      <c r="AD878" s="566"/>
      <c r="AE878" s="566"/>
      <c r="AF878" s="566"/>
      <c r="AG878" s="566"/>
      <c r="AH878" s="566"/>
      <c r="AI878" s="566"/>
      <c r="AJ878" s="566"/>
      <c r="AK878" s="566"/>
      <c r="AL878" s="566"/>
      <c r="AM878" s="566"/>
      <c r="AN878" s="566"/>
      <c r="AO878" s="566"/>
    </row>
    <row r="879" spans="2:41" x14ac:dyDescent="0.15">
      <c r="B879" s="567">
        <v>25</v>
      </c>
      <c r="C879" s="566"/>
      <c r="D879" s="566"/>
      <c r="E879" s="566"/>
      <c r="F879" s="566"/>
      <c r="G879" s="566"/>
      <c r="H879" s="566"/>
      <c r="I879" s="566"/>
      <c r="J879" s="566"/>
      <c r="K879" s="566"/>
      <c r="L879" s="566"/>
      <c r="M879" s="566"/>
      <c r="N879" s="566"/>
      <c r="O879" s="566"/>
      <c r="P879" s="566"/>
      <c r="Q879" s="566"/>
      <c r="R879" s="566"/>
      <c r="S879" s="566"/>
      <c r="T879" s="566"/>
      <c r="U879" s="566"/>
      <c r="V879" s="566"/>
      <c r="W879" s="566"/>
      <c r="X879" s="566"/>
      <c r="Y879" s="566"/>
      <c r="Z879" s="566"/>
      <c r="AA879" s="566"/>
      <c r="AB879" s="566"/>
      <c r="AC879" s="566"/>
      <c r="AD879" s="566"/>
      <c r="AE879" s="566"/>
      <c r="AF879" s="566"/>
      <c r="AG879" s="566"/>
      <c r="AH879" s="566"/>
      <c r="AI879" s="566"/>
      <c r="AJ879" s="566"/>
      <c r="AK879" s="566"/>
      <c r="AL879" s="566"/>
      <c r="AM879" s="566"/>
      <c r="AN879" s="566"/>
      <c r="AO879" s="566"/>
    </row>
    <row r="880" spans="2:41" x14ac:dyDescent="0.15">
      <c r="B880" s="567">
        <v>26</v>
      </c>
      <c r="C880" s="566"/>
      <c r="D880" s="566"/>
      <c r="E880" s="566"/>
      <c r="F880" s="566"/>
      <c r="G880" s="566"/>
      <c r="H880" s="566"/>
      <c r="I880" s="566"/>
      <c r="J880" s="566"/>
      <c r="K880" s="566"/>
      <c r="L880" s="566"/>
      <c r="M880" s="566"/>
      <c r="N880" s="566"/>
      <c r="O880" s="566"/>
      <c r="P880" s="566"/>
      <c r="Q880" s="566"/>
      <c r="R880" s="566"/>
      <c r="S880" s="566"/>
      <c r="T880" s="566"/>
      <c r="U880" s="566"/>
      <c r="V880" s="566"/>
      <c r="W880" s="566"/>
      <c r="X880" s="566"/>
      <c r="Y880" s="566"/>
      <c r="Z880" s="566"/>
      <c r="AA880" s="566"/>
      <c r="AB880" s="566"/>
      <c r="AC880" s="566"/>
      <c r="AD880" s="566"/>
      <c r="AE880" s="566"/>
      <c r="AF880" s="566"/>
      <c r="AG880" s="566"/>
      <c r="AH880" s="566"/>
      <c r="AI880" s="566"/>
      <c r="AJ880" s="566"/>
      <c r="AK880" s="566"/>
      <c r="AL880" s="566"/>
      <c r="AM880" s="566"/>
      <c r="AN880" s="566"/>
      <c r="AO880" s="566"/>
    </row>
    <row r="881" spans="2:41" x14ac:dyDescent="0.15">
      <c r="B881" s="567">
        <v>27</v>
      </c>
      <c r="C881" s="566"/>
      <c r="D881" s="566"/>
      <c r="E881" s="566"/>
      <c r="F881" s="566"/>
      <c r="G881" s="566"/>
      <c r="H881" s="566"/>
      <c r="I881" s="566"/>
      <c r="J881" s="566"/>
      <c r="K881" s="566"/>
      <c r="L881" s="566"/>
      <c r="M881" s="566"/>
      <c r="N881" s="566"/>
      <c r="O881" s="566"/>
      <c r="P881" s="566"/>
      <c r="Q881" s="566"/>
      <c r="R881" s="566"/>
      <c r="S881" s="566"/>
      <c r="T881" s="566"/>
      <c r="U881" s="566"/>
      <c r="V881" s="566"/>
      <c r="W881" s="566"/>
      <c r="X881" s="566"/>
      <c r="Y881" s="566"/>
      <c r="Z881" s="566"/>
      <c r="AA881" s="566"/>
      <c r="AB881" s="566"/>
      <c r="AC881" s="566"/>
      <c r="AD881" s="566"/>
      <c r="AE881" s="566"/>
      <c r="AF881" s="566"/>
      <c r="AG881" s="566"/>
      <c r="AH881" s="566"/>
      <c r="AI881" s="566"/>
      <c r="AJ881" s="566"/>
      <c r="AK881" s="566"/>
      <c r="AL881" s="566"/>
      <c r="AM881" s="566"/>
      <c r="AN881" s="566"/>
      <c r="AO881" s="566"/>
    </row>
    <row r="882" spans="2:41" x14ac:dyDescent="0.15">
      <c r="B882" s="567">
        <v>28</v>
      </c>
      <c r="C882" s="566"/>
      <c r="D882" s="566"/>
      <c r="E882" s="566"/>
      <c r="F882" s="566"/>
      <c r="G882" s="566"/>
      <c r="H882" s="566"/>
      <c r="I882" s="566"/>
      <c r="J882" s="566"/>
      <c r="K882" s="566"/>
      <c r="L882" s="566"/>
      <c r="M882" s="566"/>
      <c r="N882" s="566"/>
      <c r="O882" s="566"/>
      <c r="P882" s="566"/>
      <c r="Q882" s="566"/>
      <c r="R882" s="566"/>
      <c r="S882" s="566"/>
      <c r="T882" s="566"/>
      <c r="U882" s="566"/>
      <c r="V882" s="566"/>
      <c r="W882" s="566"/>
      <c r="X882" s="566"/>
      <c r="Y882" s="566"/>
      <c r="Z882" s="566"/>
      <c r="AA882" s="566"/>
      <c r="AB882" s="566"/>
      <c r="AC882" s="566"/>
      <c r="AD882" s="566"/>
      <c r="AE882" s="566"/>
      <c r="AF882" s="566"/>
      <c r="AG882" s="566"/>
      <c r="AH882" s="566"/>
      <c r="AI882" s="566"/>
      <c r="AJ882" s="566"/>
      <c r="AK882" s="566"/>
      <c r="AL882" s="566"/>
      <c r="AM882" s="566"/>
      <c r="AN882" s="566"/>
      <c r="AO882" s="566"/>
    </row>
    <row r="883" spans="2:41" x14ac:dyDescent="0.15">
      <c r="B883" s="567">
        <v>29</v>
      </c>
      <c r="C883" s="566"/>
      <c r="D883" s="566"/>
      <c r="E883" s="566"/>
      <c r="F883" s="566"/>
      <c r="G883" s="566"/>
      <c r="H883" s="566"/>
      <c r="I883" s="566"/>
      <c r="J883" s="566"/>
      <c r="K883" s="566"/>
      <c r="L883" s="566"/>
      <c r="M883" s="566"/>
      <c r="N883" s="566"/>
      <c r="O883" s="566"/>
      <c r="P883" s="566"/>
      <c r="Q883" s="566"/>
      <c r="R883" s="566"/>
      <c r="S883" s="566"/>
      <c r="T883" s="566"/>
      <c r="U883" s="566"/>
      <c r="V883" s="566"/>
      <c r="W883" s="566"/>
      <c r="X883" s="566"/>
      <c r="Y883" s="566"/>
      <c r="Z883" s="566"/>
      <c r="AA883" s="566"/>
      <c r="AB883" s="566"/>
      <c r="AC883" s="566"/>
      <c r="AD883" s="566"/>
      <c r="AE883" s="566"/>
      <c r="AF883" s="566"/>
      <c r="AG883" s="566"/>
      <c r="AH883" s="566"/>
      <c r="AI883" s="566"/>
      <c r="AJ883" s="566"/>
      <c r="AK883" s="566"/>
      <c r="AL883" s="566"/>
      <c r="AM883" s="566"/>
      <c r="AN883" s="566"/>
      <c r="AO883" s="566"/>
    </row>
    <row r="884" spans="2:41" x14ac:dyDescent="0.15">
      <c r="B884" s="567">
        <v>30</v>
      </c>
      <c r="C884" s="566"/>
      <c r="D884" s="566"/>
      <c r="E884" s="566"/>
      <c r="F884" s="566"/>
      <c r="G884" s="566"/>
      <c r="H884" s="566"/>
      <c r="I884" s="566"/>
      <c r="J884" s="566"/>
      <c r="K884" s="566"/>
      <c r="L884" s="566"/>
      <c r="M884" s="566"/>
      <c r="N884" s="566"/>
      <c r="O884" s="566"/>
      <c r="P884" s="566"/>
      <c r="Q884" s="566"/>
      <c r="R884" s="566"/>
      <c r="S884" s="566"/>
      <c r="T884" s="566"/>
      <c r="U884" s="566"/>
      <c r="V884" s="566"/>
      <c r="W884" s="566"/>
      <c r="X884" s="566"/>
      <c r="Y884" s="566"/>
      <c r="Z884" s="566"/>
      <c r="AA884" s="566"/>
      <c r="AB884" s="566"/>
      <c r="AC884" s="566"/>
      <c r="AD884" s="566"/>
      <c r="AE884" s="566"/>
      <c r="AF884" s="566"/>
      <c r="AG884" s="566"/>
      <c r="AH884" s="566"/>
      <c r="AI884" s="566"/>
      <c r="AJ884" s="566"/>
      <c r="AK884" s="566"/>
      <c r="AL884" s="566"/>
      <c r="AM884" s="566"/>
      <c r="AN884" s="566"/>
      <c r="AO884" s="566"/>
    </row>
    <row r="885" spans="2:41" x14ac:dyDescent="0.15">
      <c r="B885" s="567">
        <v>31</v>
      </c>
      <c r="C885" s="566"/>
      <c r="D885" s="566"/>
      <c r="E885" s="566"/>
      <c r="F885" s="566"/>
      <c r="G885" s="566"/>
      <c r="H885" s="566"/>
      <c r="I885" s="566"/>
      <c r="J885" s="566"/>
      <c r="K885" s="566"/>
      <c r="L885" s="566"/>
      <c r="M885" s="566"/>
      <c r="N885" s="566"/>
      <c r="O885" s="566"/>
      <c r="P885" s="566"/>
      <c r="Q885" s="566"/>
      <c r="R885" s="566"/>
      <c r="S885" s="566"/>
      <c r="T885" s="566"/>
      <c r="U885" s="566"/>
      <c r="V885" s="566"/>
      <c r="W885" s="566"/>
      <c r="X885" s="566"/>
      <c r="Y885" s="566"/>
      <c r="Z885" s="566"/>
      <c r="AA885" s="566"/>
      <c r="AB885" s="566"/>
      <c r="AC885" s="566"/>
      <c r="AD885" s="566"/>
      <c r="AE885" s="566"/>
      <c r="AF885" s="566"/>
      <c r="AG885" s="566"/>
      <c r="AH885" s="566"/>
      <c r="AI885" s="566"/>
      <c r="AJ885" s="566"/>
      <c r="AK885" s="566"/>
      <c r="AL885" s="566"/>
      <c r="AM885" s="566"/>
      <c r="AN885" s="566"/>
      <c r="AO885" s="566"/>
    </row>
    <row r="886" spans="2:41" x14ac:dyDescent="0.15">
      <c r="B886" s="567">
        <v>32</v>
      </c>
      <c r="C886" s="566"/>
      <c r="D886" s="566"/>
      <c r="E886" s="566"/>
      <c r="F886" s="566"/>
      <c r="G886" s="566"/>
      <c r="H886" s="566"/>
      <c r="I886" s="566"/>
      <c r="J886" s="566"/>
      <c r="K886" s="566"/>
      <c r="L886" s="566"/>
      <c r="M886" s="566"/>
      <c r="N886" s="566"/>
      <c r="O886" s="566"/>
      <c r="P886" s="566"/>
      <c r="Q886" s="566"/>
      <c r="R886" s="566"/>
      <c r="S886" s="566"/>
      <c r="T886" s="566"/>
      <c r="U886" s="566"/>
      <c r="V886" s="566"/>
      <c r="W886" s="566"/>
      <c r="X886" s="566"/>
      <c r="Y886" s="566"/>
      <c r="Z886" s="566"/>
      <c r="AA886" s="566"/>
      <c r="AB886" s="566"/>
      <c r="AC886" s="566"/>
      <c r="AD886" s="566"/>
      <c r="AE886" s="566"/>
      <c r="AF886" s="566"/>
      <c r="AG886" s="566"/>
      <c r="AH886" s="566"/>
      <c r="AI886" s="566"/>
      <c r="AJ886" s="566"/>
      <c r="AK886" s="566"/>
      <c r="AL886" s="566"/>
      <c r="AM886" s="566"/>
      <c r="AN886" s="566"/>
      <c r="AO886" s="566"/>
    </row>
    <row r="887" spans="2:41" x14ac:dyDescent="0.15">
      <c r="B887" s="567">
        <v>33</v>
      </c>
      <c r="C887" s="566"/>
      <c r="D887" s="566"/>
      <c r="E887" s="566"/>
      <c r="F887" s="566"/>
      <c r="G887" s="566"/>
      <c r="H887" s="566"/>
      <c r="I887" s="566"/>
      <c r="J887" s="566"/>
      <c r="K887" s="566"/>
      <c r="L887" s="566"/>
      <c r="M887" s="566"/>
      <c r="N887" s="566"/>
      <c r="O887" s="566"/>
      <c r="P887" s="566"/>
      <c r="Q887" s="566"/>
      <c r="R887" s="566"/>
      <c r="S887" s="566"/>
      <c r="T887" s="566"/>
      <c r="U887" s="566"/>
      <c r="V887" s="566"/>
      <c r="W887" s="566"/>
      <c r="X887" s="566"/>
      <c r="Y887" s="566"/>
      <c r="Z887" s="566"/>
      <c r="AA887" s="566"/>
      <c r="AB887" s="566"/>
      <c r="AC887" s="566"/>
      <c r="AD887" s="566"/>
      <c r="AE887" s="566"/>
      <c r="AF887" s="566"/>
      <c r="AG887" s="566"/>
      <c r="AH887" s="566"/>
      <c r="AI887" s="566"/>
      <c r="AJ887" s="566"/>
      <c r="AK887" s="566"/>
      <c r="AL887" s="566"/>
      <c r="AM887" s="566"/>
      <c r="AN887" s="566"/>
      <c r="AO887" s="566"/>
    </row>
    <row r="888" spans="2:41" x14ac:dyDescent="0.15">
      <c r="B888" s="567">
        <v>34</v>
      </c>
      <c r="C888" s="566"/>
      <c r="D888" s="566"/>
      <c r="E888" s="566"/>
      <c r="F888" s="566"/>
      <c r="G888" s="566"/>
      <c r="H888" s="566"/>
      <c r="I888" s="566"/>
      <c r="J888" s="566"/>
      <c r="K888" s="566"/>
      <c r="L888" s="566"/>
      <c r="M888" s="566"/>
      <c r="N888" s="566"/>
      <c r="O888" s="566"/>
      <c r="P888" s="566"/>
      <c r="Q888" s="566"/>
      <c r="R888" s="566"/>
      <c r="S888" s="566"/>
      <c r="T888" s="566"/>
      <c r="U888" s="566"/>
      <c r="V888" s="566"/>
      <c r="W888" s="566"/>
      <c r="X888" s="566"/>
      <c r="Y888" s="566"/>
      <c r="Z888" s="566"/>
      <c r="AA888" s="566"/>
      <c r="AB888" s="566"/>
      <c r="AC888" s="566"/>
      <c r="AD888" s="566"/>
      <c r="AE888" s="566"/>
      <c r="AF888" s="566"/>
      <c r="AG888" s="566"/>
      <c r="AH888" s="566"/>
      <c r="AI888" s="566"/>
      <c r="AJ888" s="566"/>
      <c r="AK888" s="566"/>
      <c r="AL888" s="566"/>
      <c r="AM888" s="566"/>
      <c r="AN888" s="566"/>
      <c r="AO888" s="566"/>
    </row>
    <row r="889" spans="2:41" x14ac:dyDescent="0.15">
      <c r="B889" s="567">
        <v>35</v>
      </c>
      <c r="C889" s="566"/>
      <c r="D889" s="566"/>
      <c r="E889" s="566"/>
      <c r="F889" s="566"/>
      <c r="G889" s="566"/>
      <c r="H889" s="566"/>
      <c r="I889" s="566"/>
      <c r="J889" s="566"/>
      <c r="K889" s="566"/>
      <c r="L889" s="566"/>
      <c r="M889" s="566"/>
      <c r="N889" s="566"/>
      <c r="O889" s="566"/>
      <c r="P889" s="566"/>
      <c r="Q889" s="566"/>
      <c r="R889" s="566"/>
      <c r="S889" s="566"/>
      <c r="T889" s="566"/>
      <c r="U889" s="566"/>
      <c r="V889" s="566"/>
      <c r="W889" s="566"/>
      <c r="X889" s="566"/>
      <c r="Y889" s="566"/>
      <c r="Z889" s="566"/>
      <c r="AA889" s="566"/>
      <c r="AB889" s="566"/>
      <c r="AC889" s="566"/>
      <c r="AD889" s="566"/>
      <c r="AE889" s="566"/>
      <c r="AF889" s="566"/>
      <c r="AG889" s="566"/>
      <c r="AH889" s="566"/>
      <c r="AI889" s="566"/>
      <c r="AJ889" s="566"/>
      <c r="AK889" s="566"/>
      <c r="AL889" s="566"/>
      <c r="AM889" s="566"/>
      <c r="AN889" s="566"/>
      <c r="AO889" s="566"/>
    </row>
    <row r="890" spans="2:41" x14ac:dyDescent="0.15">
      <c r="B890" s="567">
        <v>36</v>
      </c>
      <c r="C890" s="566"/>
      <c r="D890" s="566"/>
      <c r="E890" s="566"/>
      <c r="F890" s="566"/>
      <c r="G890" s="566"/>
      <c r="H890" s="566"/>
      <c r="I890" s="566"/>
      <c r="J890" s="566"/>
      <c r="K890" s="566"/>
      <c r="L890" s="566"/>
      <c r="M890" s="566"/>
      <c r="N890" s="566"/>
      <c r="O890" s="566"/>
      <c r="P890" s="566"/>
      <c r="Q890" s="566"/>
      <c r="R890" s="566"/>
      <c r="S890" s="566"/>
      <c r="T890" s="566"/>
      <c r="U890" s="566"/>
      <c r="V890" s="566"/>
      <c r="W890" s="566"/>
      <c r="X890" s="566"/>
      <c r="Y890" s="566"/>
      <c r="Z890" s="566"/>
      <c r="AA890" s="566"/>
      <c r="AB890" s="566"/>
      <c r="AC890" s="566"/>
      <c r="AD890" s="566"/>
      <c r="AE890" s="566"/>
      <c r="AF890" s="566"/>
      <c r="AG890" s="566"/>
      <c r="AH890" s="566"/>
      <c r="AI890" s="566"/>
      <c r="AJ890" s="566"/>
      <c r="AK890" s="566"/>
      <c r="AL890" s="566"/>
      <c r="AM890" s="566"/>
      <c r="AN890" s="566"/>
      <c r="AO890" s="566"/>
    </row>
    <row r="891" spans="2:41" x14ac:dyDescent="0.15">
      <c r="B891" s="567">
        <v>37</v>
      </c>
      <c r="C891" s="566"/>
      <c r="D891" s="566"/>
      <c r="E891" s="566"/>
      <c r="F891" s="566"/>
      <c r="G891" s="566"/>
      <c r="H891" s="566"/>
      <c r="I891" s="566"/>
      <c r="J891" s="566"/>
      <c r="K891" s="566"/>
      <c r="L891" s="566"/>
      <c r="M891" s="566"/>
      <c r="N891" s="566"/>
      <c r="O891" s="566"/>
      <c r="P891" s="566"/>
      <c r="Q891" s="566"/>
      <c r="R891" s="566"/>
      <c r="S891" s="566"/>
      <c r="T891" s="566"/>
      <c r="U891" s="566"/>
      <c r="V891" s="566"/>
      <c r="W891" s="566"/>
      <c r="X891" s="566"/>
      <c r="Y891" s="566"/>
      <c r="Z891" s="566"/>
      <c r="AA891" s="566"/>
      <c r="AB891" s="566"/>
      <c r="AC891" s="566"/>
      <c r="AD891" s="566"/>
      <c r="AE891" s="566"/>
      <c r="AF891" s="566"/>
      <c r="AG891" s="566"/>
      <c r="AH891" s="566"/>
      <c r="AI891" s="566"/>
      <c r="AJ891" s="566"/>
      <c r="AK891" s="566"/>
      <c r="AL891" s="566"/>
      <c r="AM891" s="566"/>
      <c r="AN891" s="566"/>
      <c r="AO891" s="566"/>
    </row>
    <row r="892" spans="2:41" x14ac:dyDescent="0.15">
      <c r="B892" s="567">
        <v>38</v>
      </c>
      <c r="C892" s="566"/>
      <c r="D892" s="566"/>
      <c r="E892" s="566"/>
      <c r="F892" s="566"/>
      <c r="G892" s="566"/>
      <c r="H892" s="566"/>
      <c r="I892" s="566"/>
      <c r="J892" s="566"/>
      <c r="K892" s="566"/>
      <c r="L892" s="566"/>
      <c r="M892" s="566"/>
      <c r="N892" s="566"/>
      <c r="O892" s="566"/>
      <c r="P892" s="566"/>
      <c r="Q892" s="566"/>
      <c r="R892" s="566"/>
      <c r="S892" s="566"/>
      <c r="T892" s="566"/>
      <c r="U892" s="566"/>
      <c r="V892" s="566"/>
      <c r="W892" s="566"/>
      <c r="X892" s="566"/>
      <c r="Y892" s="566"/>
      <c r="Z892" s="566"/>
      <c r="AA892" s="566"/>
      <c r="AB892" s="566"/>
      <c r="AC892" s="566"/>
      <c r="AD892" s="566"/>
      <c r="AE892" s="566"/>
      <c r="AF892" s="566"/>
      <c r="AG892" s="566"/>
      <c r="AH892" s="566"/>
      <c r="AI892" s="566"/>
      <c r="AJ892" s="566"/>
      <c r="AK892" s="566"/>
      <c r="AL892" s="566"/>
      <c r="AM892" s="566"/>
      <c r="AN892" s="566"/>
      <c r="AO892" s="566"/>
    </row>
    <row r="893" spans="2:41" x14ac:dyDescent="0.15">
      <c r="B893" s="567">
        <v>39</v>
      </c>
      <c r="C893" s="566"/>
      <c r="D893" s="566"/>
      <c r="E893" s="566"/>
      <c r="F893" s="566"/>
      <c r="G893" s="566"/>
      <c r="H893" s="566"/>
      <c r="I893" s="566"/>
      <c r="J893" s="566"/>
      <c r="K893" s="566"/>
      <c r="L893" s="566"/>
      <c r="M893" s="566"/>
      <c r="N893" s="566"/>
      <c r="O893" s="566"/>
      <c r="P893" s="566"/>
      <c r="Q893" s="566"/>
      <c r="R893" s="566"/>
      <c r="S893" s="566"/>
      <c r="T893" s="566"/>
      <c r="U893" s="566"/>
      <c r="V893" s="566"/>
      <c r="W893" s="566"/>
      <c r="X893" s="566"/>
      <c r="Y893" s="566"/>
      <c r="Z893" s="566"/>
      <c r="AA893" s="566"/>
      <c r="AB893" s="566"/>
      <c r="AC893" s="566"/>
      <c r="AD893" s="566"/>
      <c r="AE893" s="566"/>
      <c r="AF893" s="566"/>
      <c r="AG893" s="566"/>
      <c r="AH893" s="566"/>
      <c r="AI893" s="566"/>
      <c r="AJ893" s="566"/>
      <c r="AK893" s="566"/>
      <c r="AL893" s="566"/>
      <c r="AM893" s="566"/>
      <c r="AN893" s="566"/>
      <c r="AO893" s="566"/>
    </row>
    <row r="894" spans="2:41" x14ac:dyDescent="0.15">
      <c r="B894" s="568">
        <v>40</v>
      </c>
      <c r="C894" s="566"/>
      <c r="D894" s="566"/>
      <c r="E894" s="566"/>
      <c r="F894" s="566"/>
      <c r="G894" s="566"/>
      <c r="H894" s="566"/>
      <c r="I894" s="566"/>
      <c r="J894" s="566"/>
      <c r="K894" s="566"/>
      <c r="L894" s="566"/>
      <c r="M894" s="566"/>
      <c r="N894" s="566"/>
      <c r="O894" s="566"/>
      <c r="P894" s="566"/>
      <c r="Q894" s="566"/>
      <c r="R894" s="566"/>
      <c r="S894" s="566"/>
      <c r="T894" s="566"/>
      <c r="U894" s="566"/>
      <c r="V894" s="566"/>
      <c r="W894" s="566"/>
      <c r="X894" s="566"/>
      <c r="Y894" s="566"/>
      <c r="Z894" s="566"/>
      <c r="AA894" s="566"/>
      <c r="AB894" s="566"/>
      <c r="AC894" s="566"/>
      <c r="AD894" s="566"/>
      <c r="AE894" s="566"/>
      <c r="AF894" s="566"/>
      <c r="AG894" s="566"/>
      <c r="AH894" s="566"/>
      <c r="AI894" s="566"/>
      <c r="AJ894" s="566"/>
      <c r="AK894" s="566"/>
      <c r="AL894" s="566"/>
      <c r="AM894" s="566"/>
      <c r="AN894" s="566"/>
      <c r="AO894" s="566"/>
    </row>
    <row r="903" spans="2:41" s="563" customFormat="1" ht="14" x14ac:dyDescent="0.15">
      <c r="B903" s="560" t="str" cm="1">
        <f t="array" ref="B903:AO903">TRANSPOSE('Syötä kaupungit KIRJASTOLINKIT!'!$L$1:$L$40)</f>
        <v>MAA 11</v>
      </c>
      <c r="C903" s="564">
        <v>0</v>
      </c>
      <c r="D903" s="564">
        <v>0</v>
      </c>
      <c r="E903" s="564">
        <v>0</v>
      </c>
      <c r="F903" s="564">
        <v>0</v>
      </c>
      <c r="G903" s="564">
        <v>0</v>
      </c>
      <c r="H903" s="564">
        <v>0</v>
      </c>
      <c r="I903" s="564">
        <v>0</v>
      </c>
      <c r="J903" s="564">
        <v>0</v>
      </c>
      <c r="K903" s="564">
        <v>0</v>
      </c>
      <c r="L903" s="564">
        <v>0</v>
      </c>
      <c r="M903" s="564">
        <v>0</v>
      </c>
      <c r="N903" s="564">
        <v>0</v>
      </c>
      <c r="O903" s="564">
        <v>0</v>
      </c>
      <c r="P903" s="564">
        <v>0</v>
      </c>
      <c r="Q903" s="564">
        <v>0</v>
      </c>
      <c r="R903" s="564">
        <v>0</v>
      </c>
      <c r="S903" s="564">
        <v>0</v>
      </c>
      <c r="T903" s="564">
        <v>0</v>
      </c>
      <c r="U903" s="564">
        <v>0</v>
      </c>
      <c r="V903" s="564">
        <v>0</v>
      </c>
      <c r="W903" s="564">
        <v>0</v>
      </c>
      <c r="X903" s="564">
        <v>0</v>
      </c>
      <c r="Y903" s="564">
        <v>0</v>
      </c>
      <c r="Z903" s="564">
        <v>0</v>
      </c>
      <c r="AA903" s="564">
        <v>0</v>
      </c>
      <c r="AB903" s="564">
        <v>0</v>
      </c>
      <c r="AC903" s="564">
        <v>0</v>
      </c>
      <c r="AD903" s="564">
        <v>0</v>
      </c>
      <c r="AE903" s="564">
        <v>0</v>
      </c>
      <c r="AF903" s="564">
        <v>0</v>
      </c>
      <c r="AG903" s="564">
        <v>0</v>
      </c>
      <c r="AH903" s="564">
        <v>0</v>
      </c>
      <c r="AI903" s="564">
        <v>0</v>
      </c>
      <c r="AJ903" s="564">
        <v>0</v>
      </c>
      <c r="AK903" s="564">
        <v>0</v>
      </c>
      <c r="AL903" s="564">
        <v>0</v>
      </c>
      <c r="AM903" s="564">
        <v>0</v>
      </c>
      <c r="AN903" s="564">
        <v>0</v>
      </c>
      <c r="AO903" s="564">
        <v>0</v>
      </c>
    </row>
    <row r="904" spans="2:41" x14ac:dyDescent="0.15">
      <c r="B904" s="565">
        <v>-40</v>
      </c>
      <c r="C904" s="566"/>
      <c r="D904" s="566"/>
      <c r="E904" s="566"/>
      <c r="F904" s="566"/>
      <c r="G904" s="566"/>
      <c r="H904" s="566"/>
      <c r="I904" s="566"/>
      <c r="J904" s="566"/>
      <c r="K904" s="566"/>
      <c r="L904" s="566"/>
      <c r="M904" s="566"/>
      <c r="N904" s="566"/>
      <c r="O904" s="566"/>
      <c r="P904" s="566"/>
      <c r="Q904" s="566"/>
      <c r="R904" s="566"/>
      <c r="S904" s="566"/>
      <c r="T904" s="566"/>
      <c r="U904" s="566"/>
      <c r="V904" s="566"/>
      <c r="W904" s="566"/>
      <c r="X904" s="566"/>
      <c r="Y904" s="566"/>
      <c r="Z904" s="566"/>
      <c r="AA904" s="566"/>
      <c r="AB904" s="566"/>
      <c r="AC904" s="566"/>
      <c r="AD904" s="566"/>
      <c r="AE904" s="566"/>
      <c r="AF904" s="566"/>
      <c r="AG904" s="566"/>
      <c r="AH904" s="566"/>
      <c r="AI904" s="566"/>
      <c r="AJ904" s="566"/>
      <c r="AK904" s="566"/>
      <c r="AL904" s="566"/>
      <c r="AM904" s="566"/>
      <c r="AN904" s="566"/>
      <c r="AO904" s="566"/>
    </row>
    <row r="905" spans="2:41" x14ac:dyDescent="0.15">
      <c r="B905" s="567">
        <v>-39</v>
      </c>
      <c r="C905" s="566"/>
      <c r="D905" s="566"/>
      <c r="E905" s="566"/>
      <c r="F905" s="566"/>
      <c r="G905" s="566"/>
      <c r="H905" s="566"/>
      <c r="I905" s="566"/>
      <c r="J905" s="566"/>
      <c r="K905" s="566"/>
      <c r="L905" s="566"/>
      <c r="M905" s="566"/>
      <c r="N905" s="566"/>
      <c r="O905" s="566"/>
      <c r="P905" s="566"/>
      <c r="Q905" s="566"/>
      <c r="R905" s="566"/>
      <c r="S905" s="566"/>
      <c r="T905" s="566"/>
      <c r="U905" s="566"/>
      <c r="V905" s="566"/>
      <c r="W905" s="566"/>
      <c r="X905" s="566"/>
      <c r="Y905" s="566"/>
      <c r="Z905" s="566"/>
      <c r="AA905" s="566"/>
      <c r="AB905" s="566"/>
      <c r="AC905" s="566"/>
      <c r="AD905" s="566"/>
      <c r="AE905" s="566"/>
      <c r="AF905" s="566"/>
      <c r="AG905" s="566"/>
      <c r="AH905" s="566"/>
      <c r="AI905" s="566"/>
      <c r="AJ905" s="566"/>
      <c r="AK905" s="566"/>
      <c r="AL905" s="566"/>
      <c r="AM905" s="566"/>
      <c r="AN905" s="566"/>
      <c r="AO905" s="566"/>
    </row>
    <row r="906" spans="2:41" x14ac:dyDescent="0.15">
      <c r="B906" s="567">
        <v>-38</v>
      </c>
      <c r="C906" s="566"/>
      <c r="D906" s="566"/>
      <c r="E906" s="566"/>
      <c r="F906" s="566"/>
      <c r="G906" s="566"/>
      <c r="H906" s="566"/>
      <c r="I906" s="566"/>
      <c r="J906" s="566"/>
      <c r="K906" s="566"/>
      <c r="L906" s="566"/>
      <c r="M906" s="566"/>
      <c r="N906" s="566"/>
      <c r="O906" s="566"/>
      <c r="P906" s="566"/>
      <c r="Q906" s="566"/>
      <c r="R906" s="566"/>
      <c r="S906" s="566"/>
      <c r="T906" s="566"/>
      <c r="U906" s="566"/>
      <c r="V906" s="566"/>
      <c r="W906" s="566"/>
      <c r="X906" s="566"/>
      <c r="Y906" s="566"/>
      <c r="Z906" s="566"/>
      <c r="AA906" s="566"/>
      <c r="AB906" s="566"/>
      <c r="AC906" s="566"/>
      <c r="AD906" s="566"/>
      <c r="AE906" s="566"/>
      <c r="AF906" s="566"/>
      <c r="AG906" s="566"/>
      <c r="AH906" s="566"/>
      <c r="AI906" s="566"/>
      <c r="AJ906" s="566"/>
      <c r="AK906" s="566"/>
      <c r="AL906" s="566"/>
      <c r="AM906" s="566"/>
      <c r="AN906" s="566"/>
      <c r="AO906" s="566"/>
    </row>
    <row r="907" spans="2:41" x14ac:dyDescent="0.15">
      <c r="B907" s="567">
        <v>-37</v>
      </c>
      <c r="C907" s="566"/>
      <c r="D907" s="566"/>
      <c r="E907" s="566"/>
      <c r="F907" s="566"/>
      <c r="G907" s="566"/>
      <c r="H907" s="566"/>
      <c r="I907" s="566"/>
      <c r="J907" s="566"/>
      <c r="K907" s="566"/>
      <c r="L907" s="566"/>
      <c r="M907" s="566"/>
      <c r="N907" s="566"/>
      <c r="O907" s="566"/>
      <c r="P907" s="566"/>
      <c r="Q907" s="566"/>
      <c r="R907" s="566"/>
      <c r="S907" s="566"/>
      <c r="T907" s="566"/>
      <c r="U907" s="566"/>
      <c r="V907" s="566"/>
      <c r="W907" s="566"/>
      <c r="X907" s="566"/>
      <c r="Y907" s="566"/>
      <c r="Z907" s="566"/>
      <c r="AA907" s="566"/>
      <c r="AB907" s="566"/>
      <c r="AC907" s="566"/>
      <c r="AD907" s="566"/>
      <c r="AE907" s="566"/>
      <c r="AF907" s="566"/>
      <c r="AG907" s="566"/>
      <c r="AH907" s="566"/>
      <c r="AI907" s="566"/>
      <c r="AJ907" s="566"/>
      <c r="AK907" s="566"/>
      <c r="AL907" s="566"/>
      <c r="AM907" s="566"/>
      <c r="AN907" s="566"/>
      <c r="AO907" s="566"/>
    </row>
    <row r="908" spans="2:41" x14ac:dyDescent="0.15">
      <c r="B908" s="567">
        <v>-36</v>
      </c>
      <c r="C908" s="566"/>
      <c r="D908" s="566"/>
      <c r="E908" s="566"/>
      <c r="F908" s="566"/>
      <c r="G908" s="566"/>
      <c r="H908" s="566"/>
      <c r="I908" s="566"/>
      <c r="J908" s="566"/>
      <c r="K908" s="566"/>
      <c r="L908" s="566"/>
      <c r="M908" s="566"/>
      <c r="N908" s="566"/>
      <c r="O908" s="566"/>
      <c r="P908" s="566"/>
      <c r="Q908" s="566"/>
      <c r="R908" s="566"/>
      <c r="S908" s="566"/>
      <c r="T908" s="566"/>
      <c r="U908" s="566"/>
      <c r="V908" s="566"/>
      <c r="W908" s="566"/>
      <c r="X908" s="566"/>
      <c r="Y908" s="566"/>
      <c r="Z908" s="566"/>
      <c r="AA908" s="566"/>
      <c r="AB908" s="566"/>
      <c r="AC908" s="566"/>
      <c r="AD908" s="566"/>
      <c r="AE908" s="566"/>
      <c r="AF908" s="566"/>
      <c r="AG908" s="566"/>
      <c r="AH908" s="566"/>
      <c r="AI908" s="566"/>
      <c r="AJ908" s="566"/>
      <c r="AK908" s="566"/>
      <c r="AL908" s="566"/>
      <c r="AM908" s="566"/>
      <c r="AN908" s="566"/>
      <c r="AO908" s="566"/>
    </row>
    <row r="909" spans="2:41" x14ac:dyDescent="0.15">
      <c r="B909" s="567">
        <v>-35</v>
      </c>
      <c r="C909" s="566"/>
      <c r="D909" s="566"/>
      <c r="E909" s="566"/>
      <c r="F909" s="566"/>
      <c r="G909" s="566"/>
      <c r="H909" s="566"/>
      <c r="I909" s="566"/>
      <c r="J909" s="566"/>
      <c r="K909" s="566"/>
      <c r="L909" s="566"/>
      <c r="M909" s="566"/>
      <c r="N909" s="566"/>
      <c r="O909" s="566"/>
      <c r="P909" s="566"/>
      <c r="Q909" s="566"/>
      <c r="R909" s="566"/>
      <c r="S909" s="566"/>
      <c r="T909" s="566"/>
      <c r="U909" s="566"/>
      <c r="V909" s="566"/>
      <c r="W909" s="566"/>
      <c r="X909" s="566"/>
      <c r="Y909" s="566"/>
      <c r="Z909" s="566"/>
      <c r="AA909" s="566"/>
      <c r="AB909" s="566"/>
      <c r="AC909" s="566"/>
      <c r="AD909" s="566"/>
      <c r="AE909" s="566"/>
      <c r="AF909" s="566"/>
      <c r="AG909" s="566"/>
      <c r="AH909" s="566"/>
      <c r="AI909" s="566"/>
      <c r="AJ909" s="566"/>
      <c r="AK909" s="566"/>
      <c r="AL909" s="566"/>
      <c r="AM909" s="566"/>
      <c r="AN909" s="566"/>
      <c r="AO909" s="566"/>
    </row>
    <row r="910" spans="2:41" x14ac:dyDescent="0.15">
      <c r="B910" s="567">
        <v>-34</v>
      </c>
      <c r="C910" s="566"/>
      <c r="D910" s="566"/>
      <c r="E910" s="566"/>
      <c r="F910" s="566"/>
      <c r="G910" s="566"/>
      <c r="H910" s="566"/>
      <c r="I910" s="566"/>
      <c r="J910" s="566"/>
      <c r="K910" s="566"/>
      <c r="L910" s="566"/>
      <c r="M910" s="566"/>
      <c r="N910" s="566"/>
      <c r="O910" s="566"/>
      <c r="P910" s="566"/>
      <c r="Q910" s="566"/>
      <c r="R910" s="566"/>
      <c r="S910" s="566"/>
      <c r="T910" s="566"/>
      <c r="U910" s="566"/>
      <c r="V910" s="566"/>
      <c r="W910" s="566"/>
      <c r="X910" s="566"/>
      <c r="Y910" s="566"/>
      <c r="Z910" s="566"/>
      <c r="AA910" s="566"/>
      <c r="AB910" s="566"/>
      <c r="AC910" s="566"/>
      <c r="AD910" s="566"/>
      <c r="AE910" s="566"/>
      <c r="AF910" s="566"/>
      <c r="AG910" s="566"/>
      <c r="AH910" s="566"/>
      <c r="AI910" s="566"/>
      <c r="AJ910" s="566"/>
      <c r="AK910" s="566"/>
      <c r="AL910" s="566"/>
      <c r="AM910" s="566"/>
      <c r="AN910" s="566"/>
      <c r="AO910" s="566"/>
    </row>
    <row r="911" spans="2:41" x14ac:dyDescent="0.15">
      <c r="B911" s="567">
        <v>-33</v>
      </c>
      <c r="C911" s="566"/>
      <c r="D911" s="566"/>
      <c r="E911" s="566"/>
      <c r="F911" s="566"/>
      <c r="G911" s="566"/>
      <c r="H911" s="566"/>
      <c r="I911" s="566"/>
      <c r="J911" s="566"/>
      <c r="K911" s="566"/>
      <c r="L911" s="566"/>
      <c r="M911" s="566"/>
      <c r="N911" s="566"/>
      <c r="O911" s="566"/>
      <c r="P911" s="566"/>
      <c r="Q911" s="566"/>
      <c r="R911" s="566"/>
      <c r="S911" s="566"/>
      <c r="T911" s="566"/>
      <c r="U911" s="566"/>
      <c r="V911" s="566"/>
      <c r="W911" s="566"/>
      <c r="X911" s="566"/>
      <c r="Y911" s="566"/>
      <c r="Z911" s="566"/>
      <c r="AA911" s="566"/>
      <c r="AB911" s="566"/>
      <c r="AC911" s="566"/>
      <c r="AD911" s="566"/>
      <c r="AE911" s="566"/>
      <c r="AF911" s="566"/>
      <c r="AG911" s="566"/>
      <c r="AH911" s="566"/>
      <c r="AI911" s="566"/>
      <c r="AJ911" s="566"/>
      <c r="AK911" s="566"/>
      <c r="AL911" s="566"/>
      <c r="AM911" s="566"/>
      <c r="AN911" s="566"/>
      <c r="AO911" s="566"/>
    </row>
    <row r="912" spans="2:41" x14ac:dyDescent="0.15">
      <c r="B912" s="567">
        <v>-32</v>
      </c>
      <c r="C912" s="566"/>
      <c r="D912" s="566"/>
      <c r="E912" s="566"/>
      <c r="F912" s="566"/>
      <c r="G912" s="566"/>
      <c r="H912" s="566"/>
      <c r="I912" s="566"/>
      <c r="J912" s="566"/>
      <c r="K912" s="566"/>
      <c r="L912" s="566"/>
      <c r="M912" s="566"/>
      <c r="N912" s="566"/>
      <c r="O912" s="566"/>
      <c r="P912" s="566"/>
      <c r="Q912" s="566"/>
      <c r="R912" s="566"/>
      <c r="S912" s="566"/>
      <c r="T912" s="566"/>
      <c r="U912" s="566"/>
      <c r="V912" s="566"/>
      <c r="W912" s="566"/>
      <c r="X912" s="566"/>
      <c r="Y912" s="566"/>
      <c r="Z912" s="566"/>
      <c r="AA912" s="566"/>
      <c r="AB912" s="566"/>
      <c r="AC912" s="566"/>
      <c r="AD912" s="566"/>
      <c r="AE912" s="566"/>
      <c r="AF912" s="566"/>
      <c r="AG912" s="566"/>
      <c r="AH912" s="566"/>
      <c r="AI912" s="566"/>
      <c r="AJ912" s="566"/>
      <c r="AK912" s="566"/>
      <c r="AL912" s="566"/>
      <c r="AM912" s="566"/>
      <c r="AN912" s="566"/>
      <c r="AO912" s="566"/>
    </row>
    <row r="913" spans="2:41" x14ac:dyDescent="0.15">
      <c r="B913" s="567">
        <v>-31</v>
      </c>
      <c r="C913" s="566"/>
      <c r="D913" s="566"/>
      <c r="E913" s="566"/>
      <c r="F913" s="566"/>
      <c r="G913" s="566"/>
      <c r="H913" s="566"/>
      <c r="I913" s="566"/>
      <c r="J913" s="566"/>
      <c r="K913" s="566"/>
      <c r="L913" s="566"/>
      <c r="M913" s="566"/>
      <c r="N913" s="566"/>
      <c r="O913" s="566"/>
      <c r="P913" s="566"/>
      <c r="Q913" s="566"/>
      <c r="R913" s="566"/>
      <c r="S913" s="566"/>
      <c r="T913" s="566"/>
      <c r="U913" s="566"/>
      <c r="V913" s="566"/>
      <c r="W913" s="566"/>
      <c r="X913" s="566"/>
      <c r="Y913" s="566"/>
      <c r="Z913" s="566"/>
      <c r="AA913" s="566"/>
      <c r="AB913" s="566"/>
      <c r="AC913" s="566"/>
      <c r="AD913" s="566"/>
      <c r="AE913" s="566"/>
      <c r="AF913" s="566"/>
      <c r="AG913" s="566"/>
      <c r="AH913" s="566"/>
      <c r="AI913" s="566"/>
      <c r="AJ913" s="566"/>
      <c r="AK913" s="566"/>
      <c r="AL913" s="566"/>
      <c r="AM913" s="566"/>
      <c r="AN913" s="566"/>
      <c r="AO913" s="566"/>
    </row>
    <row r="914" spans="2:41" x14ac:dyDescent="0.15">
      <c r="B914" s="567">
        <v>-30</v>
      </c>
      <c r="C914" s="566"/>
      <c r="D914" s="566"/>
      <c r="E914" s="566"/>
      <c r="F914" s="566"/>
      <c r="G914" s="566"/>
      <c r="H914" s="566"/>
      <c r="I914" s="566"/>
      <c r="J914" s="566"/>
      <c r="K914" s="566"/>
      <c r="L914" s="566"/>
      <c r="M914" s="566"/>
      <c r="N914" s="566"/>
      <c r="O914" s="566"/>
      <c r="P914" s="566"/>
      <c r="Q914" s="566"/>
      <c r="R914" s="566"/>
      <c r="S914" s="566"/>
      <c r="T914" s="566"/>
      <c r="U914" s="566"/>
      <c r="V914" s="566"/>
      <c r="W914" s="566"/>
      <c r="X914" s="566"/>
      <c r="Y914" s="566"/>
      <c r="Z914" s="566"/>
      <c r="AA914" s="566"/>
      <c r="AB914" s="566"/>
      <c r="AC914" s="566"/>
      <c r="AD914" s="566"/>
      <c r="AE914" s="566"/>
      <c r="AF914" s="566"/>
      <c r="AG914" s="566"/>
      <c r="AH914" s="566"/>
      <c r="AI914" s="566"/>
      <c r="AJ914" s="566"/>
      <c r="AK914" s="566"/>
      <c r="AL914" s="566"/>
      <c r="AM914" s="566"/>
      <c r="AN914" s="566"/>
      <c r="AO914" s="566"/>
    </row>
    <row r="915" spans="2:41" x14ac:dyDescent="0.15">
      <c r="B915" s="567">
        <v>-29</v>
      </c>
      <c r="C915" s="566"/>
      <c r="D915" s="566"/>
      <c r="E915" s="566"/>
      <c r="F915" s="566"/>
      <c r="G915" s="566"/>
      <c r="H915" s="566"/>
      <c r="I915" s="566"/>
      <c r="J915" s="566"/>
      <c r="K915" s="566"/>
      <c r="L915" s="566"/>
      <c r="M915" s="566"/>
      <c r="N915" s="566"/>
      <c r="O915" s="566"/>
      <c r="P915" s="566"/>
      <c r="Q915" s="566"/>
      <c r="R915" s="566"/>
      <c r="S915" s="566"/>
      <c r="T915" s="566"/>
      <c r="U915" s="566"/>
      <c r="V915" s="566"/>
      <c r="W915" s="566"/>
      <c r="X915" s="566"/>
      <c r="Y915" s="566"/>
      <c r="Z915" s="566"/>
      <c r="AA915" s="566"/>
      <c r="AB915" s="566"/>
      <c r="AC915" s="566"/>
      <c r="AD915" s="566"/>
      <c r="AE915" s="566"/>
      <c r="AF915" s="566"/>
      <c r="AG915" s="566"/>
      <c r="AH915" s="566"/>
      <c r="AI915" s="566"/>
      <c r="AJ915" s="566"/>
      <c r="AK915" s="566"/>
      <c r="AL915" s="566"/>
      <c r="AM915" s="566"/>
      <c r="AN915" s="566"/>
      <c r="AO915" s="566"/>
    </row>
    <row r="916" spans="2:41" x14ac:dyDescent="0.15">
      <c r="B916" s="567">
        <v>-28</v>
      </c>
      <c r="C916" s="566"/>
      <c r="D916" s="566"/>
      <c r="E916" s="566"/>
      <c r="F916" s="566"/>
      <c r="G916" s="566"/>
      <c r="H916" s="566"/>
      <c r="I916" s="566"/>
      <c r="J916" s="566"/>
      <c r="K916" s="566"/>
      <c r="L916" s="566"/>
      <c r="M916" s="566"/>
      <c r="N916" s="566"/>
      <c r="O916" s="566"/>
      <c r="P916" s="566"/>
      <c r="Q916" s="566"/>
      <c r="R916" s="566"/>
      <c r="S916" s="566"/>
      <c r="T916" s="566"/>
      <c r="U916" s="566"/>
      <c r="V916" s="566"/>
      <c r="W916" s="566"/>
      <c r="X916" s="566"/>
      <c r="Y916" s="566"/>
      <c r="Z916" s="566"/>
      <c r="AA916" s="566"/>
      <c r="AB916" s="566"/>
      <c r="AC916" s="566"/>
      <c r="AD916" s="566"/>
      <c r="AE916" s="566"/>
      <c r="AF916" s="566"/>
      <c r="AG916" s="566"/>
      <c r="AH916" s="566"/>
      <c r="AI916" s="566"/>
      <c r="AJ916" s="566"/>
      <c r="AK916" s="566"/>
      <c r="AL916" s="566"/>
      <c r="AM916" s="566"/>
      <c r="AN916" s="566"/>
      <c r="AO916" s="566"/>
    </row>
    <row r="917" spans="2:41" x14ac:dyDescent="0.15">
      <c r="B917" s="567">
        <v>-27</v>
      </c>
      <c r="C917" s="566"/>
      <c r="D917" s="566"/>
      <c r="E917" s="566"/>
      <c r="F917" s="566"/>
      <c r="G917" s="566"/>
      <c r="H917" s="566"/>
      <c r="I917" s="566"/>
      <c r="J917" s="566"/>
      <c r="K917" s="566"/>
      <c r="L917" s="566"/>
      <c r="M917" s="566"/>
      <c r="N917" s="566"/>
      <c r="O917" s="566"/>
      <c r="P917" s="566"/>
      <c r="Q917" s="566"/>
      <c r="R917" s="566"/>
      <c r="S917" s="566"/>
      <c r="T917" s="566"/>
      <c r="U917" s="566"/>
      <c r="V917" s="566"/>
      <c r="W917" s="566"/>
      <c r="X917" s="566"/>
      <c r="Y917" s="566"/>
      <c r="Z917" s="566"/>
      <c r="AA917" s="566"/>
      <c r="AB917" s="566"/>
      <c r="AC917" s="566"/>
      <c r="AD917" s="566"/>
      <c r="AE917" s="566"/>
      <c r="AF917" s="566"/>
      <c r="AG917" s="566"/>
      <c r="AH917" s="566"/>
      <c r="AI917" s="566"/>
      <c r="AJ917" s="566"/>
      <c r="AK917" s="566"/>
      <c r="AL917" s="566"/>
      <c r="AM917" s="566"/>
      <c r="AN917" s="566"/>
      <c r="AO917" s="566"/>
    </row>
    <row r="918" spans="2:41" x14ac:dyDescent="0.15">
      <c r="B918" s="567">
        <v>-26</v>
      </c>
      <c r="C918" s="566"/>
      <c r="D918" s="566"/>
      <c r="E918" s="566"/>
      <c r="F918" s="566"/>
      <c r="G918" s="566"/>
      <c r="H918" s="566"/>
      <c r="I918" s="566"/>
      <c r="J918" s="566"/>
      <c r="K918" s="566"/>
      <c r="L918" s="566"/>
      <c r="M918" s="566"/>
      <c r="N918" s="566"/>
      <c r="O918" s="566"/>
      <c r="P918" s="566"/>
      <c r="Q918" s="566"/>
      <c r="R918" s="566"/>
      <c r="S918" s="566"/>
      <c r="T918" s="566"/>
      <c r="U918" s="566"/>
      <c r="V918" s="566"/>
      <c r="W918" s="566"/>
      <c r="X918" s="566"/>
      <c r="Y918" s="566"/>
      <c r="Z918" s="566"/>
      <c r="AA918" s="566"/>
      <c r="AB918" s="566"/>
      <c r="AC918" s="566"/>
      <c r="AD918" s="566"/>
      <c r="AE918" s="566"/>
      <c r="AF918" s="566"/>
      <c r="AG918" s="566"/>
      <c r="AH918" s="566"/>
      <c r="AI918" s="566"/>
      <c r="AJ918" s="566"/>
      <c r="AK918" s="566"/>
      <c r="AL918" s="566"/>
      <c r="AM918" s="566"/>
      <c r="AN918" s="566"/>
      <c r="AO918" s="566"/>
    </row>
    <row r="919" spans="2:41" x14ac:dyDescent="0.15">
      <c r="B919" s="567">
        <v>-25</v>
      </c>
      <c r="C919" s="566"/>
      <c r="D919" s="566"/>
      <c r="E919" s="566"/>
      <c r="F919" s="566"/>
      <c r="G919" s="566"/>
      <c r="H919" s="566"/>
      <c r="I919" s="566"/>
      <c r="J919" s="566"/>
      <c r="K919" s="566"/>
      <c r="L919" s="566"/>
      <c r="M919" s="566"/>
      <c r="N919" s="566"/>
      <c r="O919" s="566"/>
      <c r="P919" s="566"/>
      <c r="Q919" s="566"/>
      <c r="R919" s="566"/>
      <c r="S919" s="566"/>
      <c r="T919" s="566"/>
      <c r="U919" s="566"/>
      <c r="V919" s="566"/>
      <c r="W919" s="566"/>
      <c r="X919" s="566"/>
      <c r="Y919" s="566"/>
      <c r="Z919" s="566"/>
      <c r="AA919" s="566"/>
      <c r="AB919" s="566"/>
      <c r="AC919" s="566"/>
      <c r="AD919" s="566"/>
      <c r="AE919" s="566"/>
      <c r="AF919" s="566"/>
      <c r="AG919" s="566"/>
      <c r="AH919" s="566"/>
      <c r="AI919" s="566"/>
      <c r="AJ919" s="566"/>
      <c r="AK919" s="566"/>
      <c r="AL919" s="566"/>
      <c r="AM919" s="566"/>
      <c r="AN919" s="566"/>
      <c r="AO919" s="566"/>
    </row>
    <row r="920" spans="2:41" x14ac:dyDescent="0.15">
      <c r="B920" s="567">
        <v>-24</v>
      </c>
      <c r="C920" s="566"/>
      <c r="D920" s="566"/>
      <c r="E920" s="566"/>
      <c r="F920" s="566"/>
      <c r="G920" s="566"/>
      <c r="H920" s="566"/>
      <c r="I920" s="566"/>
      <c r="J920" s="566"/>
      <c r="K920" s="566"/>
      <c r="L920" s="566"/>
      <c r="M920" s="566"/>
      <c r="N920" s="566"/>
      <c r="O920" s="566"/>
      <c r="P920" s="566"/>
      <c r="Q920" s="566"/>
      <c r="R920" s="566"/>
      <c r="S920" s="566"/>
      <c r="T920" s="566"/>
      <c r="U920" s="566"/>
      <c r="V920" s="566"/>
      <c r="W920" s="566"/>
      <c r="X920" s="566"/>
      <c r="Y920" s="566"/>
      <c r="Z920" s="566"/>
      <c r="AA920" s="566"/>
      <c r="AB920" s="566"/>
      <c r="AC920" s="566"/>
      <c r="AD920" s="566"/>
      <c r="AE920" s="566"/>
      <c r="AF920" s="566"/>
      <c r="AG920" s="566"/>
      <c r="AH920" s="566"/>
      <c r="AI920" s="566"/>
      <c r="AJ920" s="566"/>
      <c r="AK920" s="566"/>
      <c r="AL920" s="566"/>
      <c r="AM920" s="566"/>
      <c r="AN920" s="566"/>
      <c r="AO920" s="566"/>
    </row>
    <row r="921" spans="2:41" x14ac:dyDescent="0.15">
      <c r="B921" s="567">
        <v>-23</v>
      </c>
      <c r="C921" s="566"/>
      <c r="D921" s="566"/>
      <c r="E921" s="566"/>
      <c r="F921" s="566"/>
      <c r="G921" s="566"/>
      <c r="H921" s="566"/>
      <c r="I921" s="566"/>
      <c r="J921" s="566"/>
      <c r="K921" s="566"/>
      <c r="L921" s="566"/>
      <c r="M921" s="566"/>
      <c r="N921" s="566"/>
      <c r="O921" s="566"/>
      <c r="P921" s="566"/>
      <c r="Q921" s="566"/>
      <c r="R921" s="566"/>
      <c r="S921" s="566"/>
      <c r="T921" s="566"/>
      <c r="U921" s="566"/>
      <c r="V921" s="566"/>
      <c r="W921" s="566"/>
      <c r="X921" s="566"/>
      <c r="Y921" s="566"/>
      <c r="Z921" s="566"/>
      <c r="AA921" s="566"/>
      <c r="AB921" s="566"/>
      <c r="AC921" s="566"/>
      <c r="AD921" s="566"/>
      <c r="AE921" s="566"/>
      <c r="AF921" s="566"/>
      <c r="AG921" s="566"/>
      <c r="AH921" s="566"/>
      <c r="AI921" s="566"/>
      <c r="AJ921" s="566"/>
      <c r="AK921" s="566"/>
      <c r="AL921" s="566"/>
      <c r="AM921" s="566"/>
      <c r="AN921" s="566"/>
      <c r="AO921" s="566"/>
    </row>
    <row r="922" spans="2:41" x14ac:dyDescent="0.15">
      <c r="B922" s="567">
        <v>-22</v>
      </c>
      <c r="C922" s="566"/>
      <c r="D922" s="566"/>
      <c r="E922" s="566"/>
      <c r="F922" s="566"/>
      <c r="G922" s="566"/>
      <c r="H922" s="566"/>
      <c r="I922" s="566"/>
      <c r="J922" s="566"/>
      <c r="K922" s="566"/>
      <c r="L922" s="566"/>
      <c r="M922" s="566"/>
      <c r="N922" s="566"/>
      <c r="O922" s="566"/>
      <c r="P922" s="566"/>
      <c r="Q922" s="566"/>
      <c r="R922" s="566"/>
      <c r="S922" s="566"/>
      <c r="T922" s="566"/>
      <c r="U922" s="566"/>
      <c r="V922" s="566"/>
      <c r="W922" s="566"/>
      <c r="X922" s="566"/>
      <c r="Y922" s="566"/>
      <c r="Z922" s="566"/>
      <c r="AA922" s="566"/>
      <c r="AB922" s="566"/>
      <c r="AC922" s="566"/>
      <c r="AD922" s="566"/>
      <c r="AE922" s="566"/>
      <c r="AF922" s="566"/>
      <c r="AG922" s="566"/>
      <c r="AH922" s="566"/>
      <c r="AI922" s="566"/>
      <c r="AJ922" s="566"/>
      <c r="AK922" s="566"/>
      <c r="AL922" s="566"/>
      <c r="AM922" s="566"/>
      <c r="AN922" s="566"/>
      <c r="AO922" s="566"/>
    </row>
    <row r="923" spans="2:41" x14ac:dyDescent="0.15">
      <c r="B923" s="567">
        <v>-21</v>
      </c>
      <c r="C923" s="566"/>
      <c r="D923" s="566"/>
      <c r="E923" s="566"/>
      <c r="F923" s="566"/>
      <c r="G923" s="566"/>
      <c r="H923" s="566"/>
      <c r="I923" s="566"/>
      <c r="J923" s="566"/>
      <c r="K923" s="566"/>
      <c r="L923" s="566"/>
      <c r="M923" s="566"/>
      <c r="N923" s="566"/>
      <c r="O923" s="566"/>
      <c r="P923" s="566"/>
      <c r="Q923" s="566"/>
      <c r="R923" s="566"/>
      <c r="S923" s="566"/>
      <c r="T923" s="566"/>
      <c r="U923" s="566"/>
      <c r="V923" s="566"/>
      <c r="W923" s="566"/>
      <c r="X923" s="566"/>
      <c r="Y923" s="566"/>
      <c r="Z923" s="566"/>
      <c r="AA923" s="566"/>
      <c r="AB923" s="566"/>
      <c r="AC923" s="566"/>
      <c r="AD923" s="566"/>
      <c r="AE923" s="566"/>
      <c r="AF923" s="566"/>
      <c r="AG923" s="566"/>
      <c r="AH923" s="566"/>
      <c r="AI923" s="566"/>
      <c r="AJ923" s="566"/>
      <c r="AK923" s="566"/>
      <c r="AL923" s="566"/>
      <c r="AM923" s="566"/>
      <c r="AN923" s="566"/>
      <c r="AO923" s="566"/>
    </row>
    <row r="924" spans="2:41" x14ac:dyDescent="0.15">
      <c r="B924" s="567">
        <v>-20</v>
      </c>
      <c r="C924" s="566"/>
      <c r="D924" s="566"/>
      <c r="E924" s="566"/>
      <c r="F924" s="566"/>
      <c r="G924" s="566"/>
      <c r="H924" s="566"/>
      <c r="I924" s="566"/>
      <c r="J924" s="566"/>
      <c r="K924" s="566"/>
      <c r="L924" s="566"/>
      <c r="M924" s="566"/>
      <c r="N924" s="566"/>
      <c r="O924" s="566"/>
      <c r="P924" s="566"/>
      <c r="Q924" s="566"/>
      <c r="R924" s="566"/>
      <c r="S924" s="566"/>
      <c r="T924" s="566"/>
      <c r="U924" s="566"/>
      <c r="V924" s="566"/>
      <c r="W924" s="566"/>
      <c r="X924" s="566"/>
      <c r="Y924" s="566"/>
      <c r="Z924" s="566"/>
      <c r="AA924" s="566"/>
      <c r="AB924" s="566"/>
      <c r="AC924" s="566"/>
      <c r="AD924" s="566"/>
      <c r="AE924" s="566"/>
      <c r="AF924" s="566"/>
      <c r="AG924" s="566"/>
      <c r="AH924" s="566"/>
      <c r="AI924" s="566"/>
      <c r="AJ924" s="566"/>
      <c r="AK924" s="566"/>
      <c r="AL924" s="566"/>
      <c r="AM924" s="566"/>
      <c r="AN924" s="566"/>
      <c r="AO924" s="566"/>
    </row>
    <row r="925" spans="2:41" x14ac:dyDescent="0.15">
      <c r="B925" s="567">
        <v>-19</v>
      </c>
      <c r="C925" s="566"/>
      <c r="D925" s="566"/>
      <c r="E925" s="566"/>
      <c r="F925" s="566"/>
      <c r="G925" s="566"/>
      <c r="H925" s="566"/>
      <c r="I925" s="566"/>
      <c r="J925" s="566"/>
      <c r="K925" s="566"/>
      <c r="L925" s="566"/>
      <c r="M925" s="566"/>
      <c r="N925" s="566"/>
      <c r="O925" s="566"/>
      <c r="P925" s="566"/>
      <c r="Q925" s="566"/>
      <c r="R925" s="566"/>
      <c r="S925" s="566"/>
      <c r="T925" s="566"/>
      <c r="U925" s="566"/>
      <c r="V925" s="566"/>
      <c r="W925" s="566"/>
      <c r="X925" s="566"/>
      <c r="Y925" s="566"/>
      <c r="Z925" s="566"/>
      <c r="AA925" s="566"/>
      <c r="AB925" s="566"/>
      <c r="AC925" s="566"/>
      <c r="AD925" s="566"/>
      <c r="AE925" s="566"/>
      <c r="AF925" s="566"/>
      <c r="AG925" s="566"/>
      <c r="AH925" s="566"/>
      <c r="AI925" s="566"/>
      <c r="AJ925" s="566"/>
      <c r="AK925" s="566"/>
      <c r="AL925" s="566"/>
      <c r="AM925" s="566"/>
      <c r="AN925" s="566"/>
      <c r="AO925" s="566"/>
    </row>
    <row r="926" spans="2:41" x14ac:dyDescent="0.15">
      <c r="B926" s="567">
        <v>-18</v>
      </c>
      <c r="C926" s="566"/>
      <c r="D926" s="566"/>
      <c r="E926" s="566"/>
      <c r="F926" s="566"/>
      <c r="G926" s="566"/>
      <c r="H926" s="566"/>
      <c r="I926" s="566"/>
      <c r="J926" s="566"/>
      <c r="K926" s="566"/>
      <c r="L926" s="566"/>
      <c r="M926" s="566"/>
      <c r="N926" s="566"/>
      <c r="O926" s="566"/>
      <c r="P926" s="566"/>
      <c r="Q926" s="566"/>
      <c r="R926" s="566"/>
      <c r="S926" s="566"/>
      <c r="T926" s="566"/>
      <c r="U926" s="566"/>
      <c r="V926" s="566"/>
      <c r="W926" s="566"/>
      <c r="X926" s="566"/>
      <c r="Y926" s="566"/>
      <c r="Z926" s="566"/>
      <c r="AA926" s="566"/>
      <c r="AB926" s="566"/>
      <c r="AC926" s="566"/>
      <c r="AD926" s="566"/>
      <c r="AE926" s="566"/>
      <c r="AF926" s="566"/>
      <c r="AG926" s="566"/>
      <c r="AH926" s="566"/>
      <c r="AI926" s="566"/>
      <c r="AJ926" s="566"/>
      <c r="AK926" s="566"/>
      <c r="AL926" s="566"/>
      <c r="AM926" s="566"/>
      <c r="AN926" s="566"/>
      <c r="AO926" s="566"/>
    </row>
    <row r="927" spans="2:41" x14ac:dyDescent="0.15">
      <c r="B927" s="567">
        <v>-17</v>
      </c>
      <c r="C927" s="566"/>
      <c r="D927" s="566"/>
      <c r="E927" s="566"/>
      <c r="F927" s="566"/>
      <c r="G927" s="566"/>
      <c r="H927" s="566"/>
      <c r="I927" s="566"/>
      <c r="J927" s="566"/>
      <c r="K927" s="566"/>
      <c r="L927" s="566"/>
      <c r="M927" s="566"/>
      <c r="N927" s="566"/>
      <c r="O927" s="566"/>
      <c r="P927" s="566"/>
      <c r="Q927" s="566"/>
      <c r="R927" s="566"/>
      <c r="S927" s="566"/>
      <c r="T927" s="566"/>
      <c r="U927" s="566"/>
      <c r="V927" s="566"/>
      <c r="W927" s="566"/>
      <c r="X927" s="566"/>
      <c r="Y927" s="566"/>
      <c r="Z927" s="566"/>
      <c r="AA927" s="566"/>
      <c r="AB927" s="566"/>
      <c r="AC927" s="566"/>
      <c r="AD927" s="566"/>
      <c r="AE927" s="566"/>
      <c r="AF927" s="566"/>
      <c r="AG927" s="566"/>
      <c r="AH927" s="566"/>
      <c r="AI927" s="566"/>
      <c r="AJ927" s="566"/>
      <c r="AK927" s="566"/>
      <c r="AL927" s="566"/>
      <c r="AM927" s="566"/>
      <c r="AN927" s="566"/>
      <c r="AO927" s="566"/>
    </row>
    <row r="928" spans="2:41" x14ac:dyDescent="0.15">
      <c r="B928" s="567">
        <v>-16</v>
      </c>
      <c r="C928" s="566"/>
      <c r="D928" s="566"/>
      <c r="E928" s="566"/>
      <c r="F928" s="566"/>
      <c r="G928" s="566"/>
      <c r="H928" s="566"/>
      <c r="I928" s="566"/>
      <c r="J928" s="566"/>
      <c r="K928" s="566"/>
      <c r="L928" s="566"/>
      <c r="M928" s="566"/>
      <c r="N928" s="566"/>
      <c r="O928" s="566"/>
      <c r="P928" s="566"/>
      <c r="Q928" s="566"/>
      <c r="R928" s="566"/>
      <c r="S928" s="566"/>
      <c r="T928" s="566"/>
      <c r="U928" s="566"/>
      <c r="V928" s="566"/>
      <c r="W928" s="566"/>
      <c r="X928" s="566"/>
      <c r="Y928" s="566"/>
      <c r="Z928" s="566"/>
      <c r="AA928" s="566"/>
      <c r="AB928" s="566"/>
      <c r="AC928" s="566"/>
      <c r="AD928" s="566"/>
      <c r="AE928" s="566"/>
      <c r="AF928" s="566"/>
      <c r="AG928" s="566"/>
      <c r="AH928" s="566"/>
      <c r="AI928" s="566"/>
      <c r="AJ928" s="566"/>
      <c r="AK928" s="566"/>
      <c r="AL928" s="566"/>
      <c r="AM928" s="566"/>
      <c r="AN928" s="566"/>
      <c r="AO928" s="566"/>
    </row>
    <row r="929" spans="2:41" x14ac:dyDescent="0.15">
      <c r="B929" s="567">
        <v>-15</v>
      </c>
      <c r="C929" s="566"/>
      <c r="D929" s="566"/>
      <c r="E929" s="566"/>
      <c r="F929" s="566"/>
      <c r="G929" s="566"/>
      <c r="H929" s="566"/>
      <c r="I929" s="566"/>
      <c r="J929" s="566"/>
      <c r="K929" s="566"/>
      <c r="L929" s="566"/>
      <c r="M929" s="566"/>
      <c r="N929" s="566"/>
      <c r="O929" s="566"/>
      <c r="P929" s="566"/>
      <c r="Q929" s="566"/>
      <c r="R929" s="566"/>
      <c r="S929" s="566"/>
      <c r="T929" s="566"/>
      <c r="U929" s="566"/>
      <c r="V929" s="566"/>
      <c r="W929" s="566"/>
      <c r="X929" s="566"/>
      <c r="Y929" s="566"/>
      <c r="Z929" s="566"/>
      <c r="AA929" s="566"/>
      <c r="AB929" s="566"/>
      <c r="AC929" s="566"/>
      <c r="AD929" s="566"/>
      <c r="AE929" s="566"/>
      <c r="AF929" s="566"/>
      <c r="AG929" s="566"/>
      <c r="AH929" s="566"/>
      <c r="AI929" s="566"/>
      <c r="AJ929" s="566"/>
      <c r="AK929" s="566"/>
      <c r="AL929" s="566"/>
      <c r="AM929" s="566"/>
      <c r="AN929" s="566"/>
      <c r="AO929" s="566"/>
    </row>
    <row r="930" spans="2:41" x14ac:dyDescent="0.15">
      <c r="B930" s="567">
        <v>-14</v>
      </c>
      <c r="C930" s="566"/>
      <c r="D930" s="566"/>
      <c r="E930" s="566"/>
      <c r="F930" s="566"/>
      <c r="G930" s="566"/>
      <c r="H930" s="566"/>
      <c r="I930" s="566"/>
      <c r="J930" s="566"/>
      <c r="K930" s="566"/>
      <c r="L930" s="566"/>
      <c r="M930" s="566"/>
      <c r="N930" s="566"/>
      <c r="O930" s="566"/>
      <c r="P930" s="566"/>
      <c r="Q930" s="566"/>
      <c r="R930" s="566"/>
      <c r="S930" s="566"/>
      <c r="T930" s="566"/>
      <c r="U930" s="566"/>
      <c r="V930" s="566"/>
      <c r="W930" s="566"/>
      <c r="X930" s="566"/>
      <c r="Y930" s="566"/>
      <c r="Z930" s="566"/>
      <c r="AA930" s="566"/>
      <c r="AB930" s="566"/>
      <c r="AC930" s="566"/>
      <c r="AD930" s="566"/>
      <c r="AE930" s="566"/>
      <c r="AF930" s="566"/>
      <c r="AG930" s="566"/>
      <c r="AH930" s="566"/>
      <c r="AI930" s="566"/>
      <c r="AJ930" s="566"/>
      <c r="AK930" s="566"/>
      <c r="AL930" s="566"/>
      <c r="AM930" s="566"/>
      <c r="AN930" s="566"/>
      <c r="AO930" s="566"/>
    </row>
    <row r="931" spans="2:41" x14ac:dyDescent="0.15">
      <c r="B931" s="567">
        <v>-13</v>
      </c>
      <c r="C931" s="566"/>
      <c r="D931" s="566"/>
      <c r="E931" s="566"/>
      <c r="F931" s="566"/>
      <c r="G931" s="566"/>
      <c r="H931" s="566"/>
      <c r="I931" s="566"/>
      <c r="J931" s="566"/>
      <c r="K931" s="566"/>
      <c r="L931" s="566"/>
      <c r="M931" s="566"/>
      <c r="N931" s="566"/>
      <c r="O931" s="566"/>
      <c r="P931" s="566"/>
      <c r="Q931" s="566"/>
      <c r="R931" s="566"/>
      <c r="S931" s="566"/>
      <c r="T931" s="566"/>
      <c r="U931" s="566"/>
      <c r="V931" s="566"/>
      <c r="W931" s="566"/>
      <c r="X931" s="566"/>
      <c r="Y931" s="566"/>
      <c r="Z931" s="566"/>
      <c r="AA931" s="566"/>
      <c r="AB931" s="566"/>
      <c r="AC931" s="566"/>
      <c r="AD931" s="566"/>
      <c r="AE931" s="566"/>
      <c r="AF931" s="566"/>
      <c r="AG931" s="566"/>
      <c r="AH931" s="566"/>
      <c r="AI931" s="566"/>
      <c r="AJ931" s="566"/>
      <c r="AK931" s="566"/>
      <c r="AL931" s="566"/>
      <c r="AM931" s="566"/>
      <c r="AN931" s="566"/>
      <c r="AO931" s="566"/>
    </row>
    <row r="932" spans="2:41" x14ac:dyDescent="0.15">
      <c r="B932" s="567">
        <v>-12</v>
      </c>
      <c r="C932" s="566"/>
      <c r="D932" s="566"/>
      <c r="E932" s="566"/>
      <c r="F932" s="566"/>
      <c r="G932" s="566"/>
      <c r="H932" s="566"/>
      <c r="I932" s="566"/>
      <c r="J932" s="566"/>
      <c r="K932" s="566"/>
      <c r="L932" s="566"/>
      <c r="M932" s="566"/>
      <c r="N932" s="566"/>
      <c r="O932" s="566"/>
      <c r="P932" s="566"/>
      <c r="Q932" s="566"/>
      <c r="R932" s="566"/>
      <c r="S932" s="566"/>
      <c r="T932" s="566"/>
      <c r="U932" s="566"/>
      <c r="V932" s="566"/>
      <c r="W932" s="566"/>
      <c r="X932" s="566"/>
      <c r="Y932" s="566"/>
      <c r="Z932" s="566"/>
      <c r="AA932" s="566"/>
      <c r="AB932" s="566"/>
      <c r="AC932" s="566"/>
      <c r="AD932" s="566"/>
      <c r="AE932" s="566"/>
      <c r="AF932" s="566"/>
      <c r="AG932" s="566"/>
      <c r="AH932" s="566"/>
      <c r="AI932" s="566"/>
      <c r="AJ932" s="566"/>
      <c r="AK932" s="566"/>
      <c r="AL932" s="566"/>
      <c r="AM932" s="566"/>
      <c r="AN932" s="566"/>
      <c r="AO932" s="566"/>
    </row>
    <row r="933" spans="2:41" x14ac:dyDescent="0.15">
      <c r="B933" s="567">
        <v>-11</v>
      </c>
      <c r="C933" s="566"/>
      <c r="D933" s="566"/>
      <c r="E933" s="566"/>
      <c r="F933" s="566"/>
      <c r="G933" s="566"/>
      <c r="H933" s="566"/>
      <c r="I933" s="566"/>
      <c r="J933" s="566"/>
      <c r="K933" s="566"/>
      <c r="L933" s="566"/>
      <c r="M933" s="566"/>
      <c r="N933" s="566"/>
      <c r="O933" s="566"/>
      <c r="P933" s="566"/>
      <c r="Q933" s="566"/>
      <c r="R933" s="566"/>
      <c r="S933" s="566"/>
      <c r="T933" s="566"/>
      <c r="U933" s="566"/>
      <c r="V933" s="566"/>
      <c r="W933" s="566"/>
      <c r="X933" s="566"/>
      <c r="Y933" s="566"/>
      <c r="Z933" s="566"/>
      <c r="AA933" s="566"/>
      <c r="AB933" s="566"/>
      <c r="AC933" s="566"/>
      <c r="AD933" s="566"/>
      <c r="AE933" s="566"/>
      <c r="AF933" s="566"/>
      <c r="AG933" s="566"/>
      <c r="AH933" s="566"/>
      <c r="AI933" s="566"/>
      <c r="AJ933" s="566"/>
      <c r="AK933" s="566"/>
      <c r="AL933" s="566"/>
      <c r="AM933" s="566"/>
      <c r="AN933" s="566"/>
      <c r="AO933" s="566"/>
    </row>
    <row r="934" spans="2:41" x14ac:dyDescent="0.15">
      <c r="B934" s="567">
        <v>-10</v>
      </c>
      <c r="C934" s="566"/>
      <c r="D934" s="566"/>
      <c r="E934" s="566"/>
      <c r="F934" s="566"/>
      <c r="G934" s="566"/>
      <c r="H934" s="566"/>
      <c r="I934" s="566"/>
      <c r="J934" s="566"/>
      <c r="K934" s="566"/>
      <c r="L934" s="566"/>
      <c r="M934" s="566"/>
      <c r="N934" s="566"/>
      <c r="O934" s="566"/>
      <c r="P934" s="566"/>
      <c r="Q934" s="566"/>
      <c r="R934" s="566"/>
      <c r="S934" s="566"/>
      <c r="T934" s="566"/>
      <c r="U934" s="566"/>
      <c r="V934" s="566"/>
      <c r="W934" s="566"/>
      <c r="X934" s="566"/>
      <c r="Y934" s="566"/>
      <c r="Z934" s="566"/>
      <c r="AA934" s="566"/>
      <c r="AB934" s="566"/>
      <c r="AC934" s="566"/>
      <c r="AD934" s="566"/>
      <c r="AE934" s="566"/>
      <c r="AF934" s="566"/>
      <c r="AG934" s="566"/>
      <c r="AH934" s="566"/>
      <c r="AI934" s="566"/>
      <c r="AJ934" s="566"/>
      <c r="AK934" s="566"/>
      <c r="AL934" s="566"/>
      <c r="AM934" s="566"/>
      <c r="AN934" s="566"/>
      <c r="AO934" s="566"/>
    </row>
    <row r="935" spans="2:41" x14ac:dyDescent="0.15">
      <c r="B935" s="567">
        <v>-9</v>
      </c>
      <c r="C935" s="566"/>
      <c r="D935" s="566"/>
      <c r="E935" s="566"/>
      <c r="F935" s="566"/>
      <c r="G935" s="566"/>
      <c r="H935" s="566"/>
      <c r="I935" s="566"/>
      <c r="J935" s="566"/>
      <c r="K935" s="566"/>
      <c r="L935" s="566"/>
      <c r="M935" s="566"/>
      <c r="N935" s="566"/>
      <c r="O935" s="566"/>
      <c r="P935" s="566"/>
      <c r="Q935" s="566"/>
      <c r="R935" s="566"/>
      <c r="S935" s="566"/>
      <c r="T935" s="566"/>
      <c r="U935" s="566"/>
      <c r="V935" s="566"/>
      <c r="W935" s="566"/>
      <c r="X935" s="566"/>
      <c r="Y935" s="566"/>
      <c r="Z935" s="566"/>
      <c r="AA935" s="566"/>
      <c r="AB935" s="566"/>
      <c r="AC935" s="566"/>
      <c r="AD935" s="566"/>
      <c r="AE935" s="566"/>
      <c r="AF935" s="566"/>
      <c r="AG935" s="566"/>
      <c r="AH935" s="566"/>
      <c r="AI935" s="566"/>
      <c r="AJ935" s="566"/>
      <c r="AK935" s="566"/>
      <c r="AL935" s="566"/>
      <c r="AM935" s="566"/>
      <c r="AN935" s="566"/>
      <c r="AO935" s="566"/>
    </row>
    <row r="936" spans="2:41" x14ac:dyDescent="0.15">
      <c r="B936" s="567">
        <v>-8</v>
      </c>
      <c r="C936" s="566"/>
      <c r="D936" s="566"/>
      <c r="E936" s="566"/>
      <c r="F936" s="566"/>
      <c r="G936" s="566"/>
      <c r="H936" s="566"/>
      <c r="I936" s="566"/>
      <c r="J936" s="566"/>
      <c r="K936" s="566"/>
      <c r="L936" s="566"/>
      <c r="M936" s="566"/>
      <c r="N936" s="566"/>
      <c r="O936" s="566"/>
      <c r="P936" s="566"/>
      <c r="Q936" s="566"/>
      <c r="R936" s="566"/>
      <c r="S936" s="566"/>
      <c r="T936" s="566"/>
      <c r="U936" s="566"/>
      <c r="V936" s="566"/>
      <c r="W936" s="566"/>
      <c r="X936" s="566"/>
      <c r="Y936" s="566"/>
      <c r="Z936" s="566"/>
      <c r="AA936" s="566"/>
      <c r="AB936" s="566"/>
      <c r="AC936" s="566"/>
      <c r="AD936" s="566"/>
      <c r="AE936" s="566"/>
      <c r="AF936" s="566"/>
      <c r="AG936" s="566"/>
      <c r="AH936" s="566"/>
      <c r="AI936" s="566"/>
      <c r="AJ936" s="566"/>
      <c r="AK936" s="566"/>
      <c r="AL936" s="566"/>
      <c r="AM936" s="566"/>
      <c r="AN936" s="566"/>
      <c r="AO936" s="566"/>
    </row>
    <row r="937" spans="2:41" x14ac:dyDescent="0.15">
      <c r="B937" s="567">
        <v>-7</v>
      </c>
      <c r="C937" s="566"/>
      <c r="D937" s="566"/>
      <c r="E937" s="566"/>
      <c r="F937" s="566"/>
      <c r="G937" s="566"/>
      <c r="H937" s="566"/>
      <c r="I937" s="566"/>
      <c r="J937" s="566"/>
      <c r="K937" s="566"/>
      <c r="L937" s="566"/>
      <c r="M937" s="566"/>
      <c r="N937" s="566"/>
      <c r="O937" s="566"/>
      <c r="P937" s="566"/>
      <c r="Q937" s="566"/>
      <c r="R937" s="566"/>
      <c r="S937" s="566"/>
      <c r="T937" s="566"/>
      <c r="U937" s="566"/>
      <c r="V937" s="566"/>
      <c r="W937" s="566"/>
      <c r="X937" s="566"/>
      <c r="Y937" s="566"/>
      <c r="Z937" s="566"/>
      <c r="AA937" s="566"/>
      <c r="AB937" s="566"/>
      <c r="AC937" s="566"/>
      <c r="AD937" s="566"/>
      <c r="AE937" s="566"/>
      <c r="AF937" s="566"/>
      <c r="AG937" s="566"/>
      <c r="AH937" s="566"/>
      <c r="AI937" s="566"/>
      <c r="AJ937" s="566"/>
      <c r="AK937" s="566"/>
      <c r="AL937" s="566"/>
      <c r="AM937" s="566"/>
      <c r="AN937" s="566"/>
      <c r="AO937" s="566"/>
    </row>
    <row r="938" spans="2:41" x14ac:dyDescent="0.15">
      <c r="B938" s="567">
        <v>-6</v>
      </c>
      <c r="C938" s="566"/>
      <c r="D938" s="566"/>
      <c r="E938" s="566"/>
      <c r="F938" s="566"/>
      <c r="G938" s="566"/>
      <c r="H938" s="566"/>
      <c r="I938" s="566"/>
      <c r="J938" s="566"/>
      <c r="K938" s="566"/>
      <c r="L938" s="566"/>
      <c r="M938" s="566"/>
      <c r="N938" s="566"/>
      <c r="O938" s="566"/>
      <c r="P938" s="566"/>
      <c r="Q938" s="566"/>
      <c r="R938" s="566"/>
      <c r="S938" s="566"/>
      <c r="T938" s="566"/>
      <c r="U938" s="566"/>
      <c r="V938" s="566"/>
      <c r="W938" s="566"/>
      <c r="X938" s="566"/>
      <c r="Y938" s="566"/>
      <c r="Z938" s="566"/>
      <c r="AA938" s="566"/>
      <c r="AB938" s="566"/>
      <c r="AC938" s="566"/>
      <c r="AD938" s="566"/>
      <c r="AE938" s="566"/>
      <c r="AF938" s="566"/>
      <c r="AG938" s="566"/>
      <c r="AH938" s="566"/>
      <c r="AI938" s="566"/>
      <c r="AJ938" s="566"/>
      <c r="AK938" s="566"/>
      <c r="AL938" s="566"/>
      <c r="AM938" s="566"/>
      <c r="AN938" s="566"/>
      <c r="AO938" s="566"/>
    </row>
    <row r="939" spans="2:41" x14ac:dyDescent="0.15">
      <c r="B939" s="567">
        <v>-5</v>
      </c>
      <c r="C939" s="566"/>
      <c r="D939" s="566"/>
      <c r="E939" s="566"/>
      <c r="F939" s="566"/>
      <c r="G939" s="566"/>
      <c r="H939" s="566"/>
      <c r="I939" s="566"/>
      <c r="J939" s="566"/>
      <c r="K939" s="566"/>
      <c r="L939" s="566"/>
      <c r="M939" s="566"/>
      <c r="N939" s="566"/>
      <c r="O939" s="566"/>
      <c r="P939" s="566"/>
      <c r="Q939" s="566"/>
      <c r="R939" s="566"/>
      <c r="S939" s="566"/>
      <c r="T939" s="566"/>
      <c r="U939" s="566"/>
      <c r="V939" s="566"/>
      <c r="W939" s="566"/>
      <c r="X939" s="566"/>
      <c r="Y939" s="566"/>
      <c r="Z939" s="566"/>
      <c r="AA939" s="566"/>
      <c r="AB939" s="566"/>
      <c r="AC939" s="566"/>
      <c r="AD939" s="566"/>
      <c r="AE939" s="566"/>
      <c r="AF939" s="566"/>
      <c r="AG939" s="566"/>
      <c r="AH939" s="566"/>
      <c r="AI939" s="566"/>
      <c r="AJ939" s="566"/>
      <c r="AK939" s="566"/>
      <c r="AL939" s="566"/>
      <c r="AM939" s="566"/>
      <c r="AN939" s="566"/>
      <c r="AO939" s="566"/>
    </row>
    <row r="940" spans="2:41" x14ac:dyDescent="0.15">
      <c r="B940" s="567">
        <v>-4</v>
      </c>
      <c r="C940" s="566"/>
      <c r="D940" s="566"/>
      <c r="E940" s="566"/>
      <c r="F940" s="566"/>
      <c r="G940" s="566"/>
      <c r="H940" s="566"/>
      <c r="I940" s="566"/>
      <c r="J940" s="566"/>
      <c r="K940" s="566"/>
      <c r="L940" s="566"/>
      <c r="M940" s="566"/>
      <c r="N940" s="566"/>
      <c r="O940" s="566"/>
      <c r="P940" s="566"/>
      <c r="Q940" s="566"/>
      <c r="R940" s="566"/>
      <c r="S940" s="566"/>
      <c r="T940" s="566"/>
      <c r="U940" s="566"/>
      <c r="V940" s="566"/>
      <c r="W940" s="566"/>
      <c r="X940" s="566"/>
      <c r="Y940" s="566"/>
      <c r="Z940" s="566"/>
      <c r="AA940" s="566"/>
      <c r="AB940" s="566"/>
      <c r="AC940" s="566"/>
      <c r="AD940" s="566"/>
      <c r="AE940" s="566"/>
      <c r="AF940" s="566"/>
      <c r="AG940" s="566"/>
      <c r="AH940" s="566"/>
      <c r="AI940" s="566"/>
      <c r="AJ940" s="566"/>
      <c r="AK940" s="566"/>
      <c r="AL940" s="566"/>
      <c r="AM940" s="566"/>
      <c r="AN940" s="566"/>
      <c r="AO940" s="566"/>
    </row>
    <row r="941" spans="2:41" x14ac:dyDescent="0.15">
      <c r="B941" s="567">
        <v>-3</v>
      </c>
      <c r="C941" s="566"/>
      <c r="D941" s="566"/>
      <c r="E941" s="566"/>
      <c r="F941" s="566"/>
      <c r="G941" s="566"/>
      <c r="H941" s="566"/>
      <c r="I941" s="566"/>
      <c r="J941" s="566"/>
      <c r="K941" s="566"/>
      <c r="L941" s="566"/>
      <c r="M941" s="566"/>
      <c r="N941" s="566"/>
      <c r="O941" s="566"/>
      <c r="P941" s="566"/>
      <c r="Q941" s="566"/>
      <c r="R941" s="566"/>
      <c r="S941" s="566"/>
      <c r="T941" s="566"/>
      <c r="U941" s="566"/>
      <c r="V941" s="566"/>
      <c r="W941" s="566"/>
      <c r="X941" s="566"/>
      <c r="Y941" s="566"/>
      <c r="Z941" s="566"/>
      <c r="AA941" s="566"/>
      <c r="AB941" s="566"/>
      <c r="AC941" s="566"/>
      <c r="AD941" s="566"/>
      <c r="AE941" s="566"/>
      <c r="AF941" s="566"/>
      <c r="AG941" s="566"/>
      <c r="AH941" s="566"/>
      <c r="AI941" s="566"/>
      <c r="AJ941" s="566"/>
      <c r="AK941" s="566"/>
      <c r="AL941" s="566"/>
      <c r="AM941" s="566"/>
      <c r="AN941" s="566"/>
      <c r="AO941" s="566"/>
    </row>
    <row r="942" spans="2:41" x14ac:dyDescent="0.15">
      <c r="B942" s="567">
        <v>-2</v>
      </c>
      <c r="C942" s="566"/>
      <c r="D942" s="566"/>
      <c r="E942" s="566"/>
      <c r="F942" s="566"/>
      <c r="G942" s="566"/>
      <c r="H942" s="566"/>
      <c r="I942" s="566"/>
      <c r="J942" s="566"/>
      <c r="K942" s="566"/>
      <c r="L942" s="566"/>
      <c r="M942" s="566"/>
      <c r="N942" s="566"/>
      <c r="O942" s="566"/>
      <c r="P942" s="566"/>
      <c r="Q942" s="566"/>
      <c r="R942" s="566"/>
      <c r="S942" s="566"/>
      <c r="T942" s="566"/>
      <c r="U942" s="566"/>
      <c r="V942" s="566"/>
      <c r="W942" s="566"/>
      <c r="X942" s="566"/>
      <c r="Y942" s="566"/>
      <c r="Z942" s="566"/>
      <c r="AA942" s="566"/>
      <c r="AB942" s="566"/>
      <c r="AC942" s="566"/>
      <c r="AD942" s="566"/>
      <c r="AE942" s="566"/>
      <c r="AF942" s="566"/>
      <c r="AG942" s="566"/>
      <c r="AH942" s="566"/>
      <c r="AI942" s="566"/>
      <c r="AJ942" s="566"/>
      <c r="AK942" s="566"/>
      <c r="AL942" s="566"/>
      <c r="AM942" s="566"/>
      <c r="AN942" s="566"/>
      <c r="AO942" s="566"/>
    </row>
    <row r="943" spans="2:41" x14ac:dyDescent="0.15">
      <c r="B943" s="567">
        <v>-1</v>
      </c>
      <c r="C943" s="566"/>
      <c r="D943" s="566"/>
      <c r="E943" s="566"/>
      <c r="F943" s="566"/>
      <c r="G943" s="566"/>
      <c r="H943" s="566"/>
      <c r="I943" s="566"/>
      <c r="J943" s="566"/>
      <c r="K943" s="566"/>
      <c r="L943" s="566"/>
      <c r="M943" s="566"/>
      <c r="N943" s="566"/>
      <c r="O943" s="566"/>
      <c r="P943" s="566"/>
      <c r="Q943" s="566"/>
      <c r="R943" s="566"/>
      <c r="S943" s="566"/>
      <c r="T943" s="566"/>
      <c r="U943" s="566"/>
      <c r="V943" s="566"/>
      <c r="W943" s="566"/>
      <c r="X943" s="566"/>
      <c r="Y943" s="566"/>
      <c r="Z943" s="566"/>
      <c r="AA943" s="566"/>
      <c r="AB943" s="566"/>
      <c r="AC943" s="566"/>
      <c r="AD943" s="566"/>
      <c r="AE943" s="566"/>
      <c r="AF943" s="566"/>
      <c r="AG943" s="566"/>
      <c r="AH943" s="566"/>
      <c r="AI943" s="566"/>
      <c r="AJ943" s="566"/>
      <c r="AK943" s="566"/>
      <c r="AL943" s="566"/>
      <c r="AM943" s="566"/>
      <c r="AN943" s="566"/>
      <c r="AO943" s="566"/>
    </row>
    <row r="944" spans="2:41" x14ac:dyDescent="0.15">
      <c r="B944" s="567">
        <v>0</v>
      </c>
      <c r="C944" s="566"/>
      <c r="D944" s="566"/>
      <c r="E944" s="566"/>
      <c r="F944" s="566"/>
      <c r="G944" s="566"/>
      <c r="H944" s="566"/>
      <c r="I944" s="566"/>
      <c r="J944" s="566"/>
      <c r="K944" s="566"/>
      <c r="L944" s="566"/>
      <c r="M944" s="566"/>
      <c r="N944" s="566"/>
      <c r="O944" s="566"/>
      <c r="P944" s="566"/>
      <c r="Q944" s="566"/>
      <c r="R944" s="566"/>
      <c r="S944" s="566"/>
      <c r="T944" s="566"/>
      <c r="U944" s="566"/>
      <c r="V944" s="566"/>
      <c r="W944" s="566"/>
      <c r="X944" s="566"/>
      <c r="Y944" s="566"/>
      <c r="Z944" s="566"/>
      <c r="AA944" s="566"/>
      <c r="AB944" s="566"/>
      <c r="AC944" s="566"/>
      <c r="AD944" s="566"/>
      <c r="AE944" s="566"/>
      <c r="AF944" s="566"/>
      <c r="AG944" s="566"/>
      <c r="AH944" s="566"/>
      <c r="AI944" s="566"/>
      <c r="AJ944" s="566"/>
      <c r="AK944" s="566"/>
      <c r="AL944" s="566"/>
      <c r="AM944" s="566"/>
      <c r="AN944" s="566"/>
      <c r="AO944" s="566"/>
    </row>
    <row r="945" spans="2:41" x14ac:dyDescent="0.15">
      <c r="B945" s="567">
        <v>1</v>
      </c>
      <c r="C945" s="566"/>
      <c r="D945" s="566"/>
      <c r="E945" s="566"/>
      <c r="F945" s="566"/>
      <c r="G945" s="566"/>
      <c r="H945" s="566"/>
      <c r="I945" s="566"/>
      <c r="J945" s="566"/>
      <c r="K945" s="566"/>
      <c r="L945" s="566"/>
      <c r="M945" s="566"/>
      <c r="N945" s="566"/>
      <c r="O945" s="566"/>
      <c r="P945" s="566"/>
      <c r="Q945" s="566"/>
      <c r="R945" s="566"/>
      <c r="S945" s="566"/>
      <c r="T945" s="566"/>
      <c r="U945" s="566"/>
      <c r="V945" s="566"/>
      <c r="W945" s="566"/>
      <c r="X945" s="566"/>
      <c r="Y945" s="566"/>
      <c r="Z945" s="566"/>
      <c r="AA945" s="566"/>
      <c r="AB945" s="566"/>
      <c r="AC945" s="566"/>
      <c r="AD945" s="566"/>
      <c r="AE945" s="566"/>
      <c r="AF945" s="566"/>
      <c r="AG945" s="566"/>
      <c r="AH945" s="566"/>
      <c r="AI945" s="566"/>
      <c r="AJ945" s="566"/>
      <c r="AK945" s="566"/>
      <c r="AL945" s="566"/>
      <c r="AM945" s="566"/>
      <c r="AN945" s="566"/>
      <c r="AO945" s="566"/>
    </row>
    <row r="946" spans="2:41" x14ac:dyDescent="0.15">
      <c r="B946" s="567">
        <v>2</v>
      </c>
      <c r="C946" s="566"/>
      <c r="D946" s="566"/>
      <c r="E946" s="566"/>
      <c r="F946" s="566"/>
      <c r="G946" s="566"/>
      <c r="H946" s="566"/>
      <c r="I946" s="566"/>
      <c r="J946" s="566"/>
      <c r="K946" s="566"/>
      <c r="L946" s="566"/>
      <c r="M946" s="566"/>
      <c r="N946" s="566"/>
      <c r="O946" s="566"/>
      <c r="P946" s="566"/>
      <c r="Q946" s="566"/>
      <c r="R946" s="566"/>
      <c r="S946" s="566"/>
      <c r="T946" s="566"/>
      <c r="U946" s="566"/>
      <c r="V946" s="566"/>
      <c r="W946" s="566"/>
      <c r="X946" s="566"/>
      <c r="Y946" s="566"/>
      <c r="Z946" s="566"/>
      <c r="AA946" s="566"/>
      <c r="AB946" s="566"/>
      <c r="AC946" s="566"/>
      <c r="AD946" s="566"/>
      <c r="AE946" s="566"/>
      <c r="AF946" s="566"/>
      <c r="AG946" s="566"/>
      <c r="AH946" s="566"/>
      <c r="AI946" s="566"/>
      <c r="AJ946" s="566"/>
      <c r="AK946" s="566"/>
      <c r="AL946" s="566"/>
      <c r="AM946" s="566"/>
      <c r="AN946" s="566"/>
      <c r="AO946" s="566"/>
    </row>
    <row r="947" spans="2:41" x14ac:dyDescent="0.15">
      <c r="B947" s="567">
        <v>3</v>
      </c>
      <c r="C947" s="566"/>
      <c r="D947" s="566"/>
      <c r="E947" s="566"/>
      <c r="F947" s="566"/>
      <c r="G947" s="566"/>
      <c r="H947" s="566"/>
      <c r="I947" s="566"/>
      <c r="J947" s="566"/>
      <c r="K947" s="566"/>
      <c r="L947" s="566"/>
      <c r="M947" s="566"/>
      <c r="N947" s="566"/>
      <c r="O947" s="566"/>
      <c r="P947" s="566"/>
      <c r="Q947" s="566"/>
      <c r="R947" s="566"/>
      <c r="S947" s="566"/>
      <c r="T947" s="566"/>
      <c r="U947" s="566"/>
      <c r="V947" s="566"/>
      <c r="W947" s="566"/>
      <c r="X947" s="566"/>
      <c r="Y947" s="566"/>
      <c r="Z947" s="566"/>
      <c r="AA947" s="566"/>
      <c r="AB947" s="566"/>
      <c r="AC947" s="566"/>
      <c r="AD947" s="566"/>
      <c r="AE947" s="566"/>
      <c r="AF947" s="566"/>
      <c r="AG947" s="566"/>
      <c r="AH947" s="566"/>
      <c r="AI947" s="566"/>
      <c r="AJ947" s="566"/>
      <c r="AK947" s="566"/>
      <c r="AL947" s="566"/>
      <c r="AM947" s="566"/>
      <c r="AN947" s="566"/>
      <c r="AO947" s="566"/>
    </row>
    <row r="948" spans="2:41" x14ac:dyDescent="0.15">
      <c r="B948" s="567">
        <v>4</v>
      </c>
      <c r="C948" s="566"/>
      <c r="D948" s="566"/>
      <c r="E948" s="566"/>
      <c r="F948" s="566"/>
      <c r="G948" s="566"/>
      <c r="H948" s="566"/>
      <c r="I948" s="566"/>
      <c r="J948" s="566"/>
      <c r="K948" s="566"/>
      <c r="L948" s="566"/>
      <c r="M948" s="566"/>
      <c r="N948" s="566"/>
      <c r="O948" s="566"/>
      <c r="P948" s="566"/>
      <c r="Q948" s="566"/>
      <c r="R948" s="566"/>
      <c r="S948" s="566"/>
      <c r="T948" s="566"/>
      <c r="U948" s="566"/>
      <c r="V948" s="566"/>
      <c r="W948" s="566"/>
      <c r="X948" s="566"/>
      <c r="Y948" s="566"/>
      <c r="Z948" s="566"/>
      <c r="AA948" s="566"/>
      <c r="AB948" s="566"/>
      <c r="AC948" s="566"/>
      <c r="AD948" s="566"/>
      <c r="AE948" s="566"/>
      <c r="AF948" s="566"/>
      <c r="AG948" s="566"/>
      <c r="AH948" s="566"/>
      <c r="AI948" s="566"/>
      <c r="AJ948" s="566"/>
      <c r="AK948" s="566"/>
      <c r="AL948" s="566"/>
      <c r="AM948" s="566"/>
      <c r="AN948" s="566"/>
      <c r="AO948" s="566"/>
    </row>
    <row r="949" spans="2:41" x14ac:dyDescent="0.15">
      <c r="B949" s="567">
        <v>5</v>
      </c>
      <c r="C949" s="566"/>
      <c r="D949" s="566"/>
      <c r="E949" s="566"/>
      <c r="F949" s="566"/>
      <c r="G949" s="566"/>
      <c r="H949" s="566"/>
      <c r="I949" s="566"/>
      <c r="J949" s="566"/>
      <c r="K949" s="566"/>
      <c r="L949" s="566"/>
      <c r="M949" s="566"/>
      <c r="N949" s="566"/>
      <c r="O949" s="566"/>
      <c r="P949" s="566"/>
      <c r="Q949" s="566"/>
      <c r="R949" s="566"/>
      <c r="S949" s="566"/>
      <c r="T949" s="566"/>
      <c r="U949" s="566"/>
      <c r="V949" s="566"/>
      <c r="W949" s="566"/>
      <c r="X949" s="566"/>
      <c r="Y949" s="566"/>
      <c r="Z949" s="566"/>
      <c r="AA949" s="566"/>
      <c r="AB949" s="566"/>
      <c r="AC949" s="566"/>
      <c r="AD949" s="566"/>
      <c r="AE949" s="566"/>
      <c r="AF949" s="566"/>
      <c r="AG949" s="566"/>
      <c r="AH949" s="566"/>
      <c r="AI949" s="566"/>
      <c r="AJ949" s="566"/>
      <c r="AK949" s="566"/>
      <c r="AL949" s="566"/>
      <c r="AM949" s="566"/>
      <c r="AN949" s="566"/>
      <c r="AO949" s="566"/>
    </row>
    <row r="950" spans="2:41" x14ac:dyDescent="0.15">
      <c r="B950" s="567">
        <v>6</v>
      </c>
      <c r="C950" s="566"/>
      <c r="D950" s="566"/>
      <c r="E950" s="566"/>
      <c r="F950" s="566"/>
      <c r="G950" s="566"/>
      <c r="H950" s="566"/>
      <c r="I950" s="566"/>
      <c r="J950" s="566"/>
      <c r="K950" s="566"/>
      <c r="L950" s="566"/>
      <c r="M950" s="566"/>
      <c r="N950" s="566"/>
      <c r="O950" s="566"/>
      <c r="P950" s="566"/>
      <c r="Q950" s="566"/>
      <c r="R950" s="566"/>
      <c r="S950" s="566"/>
      <c r="T950" s="566"/>
      <c r="U950" s="566"/>
      <c r="V950" s="566"/>
      <c r="W950" s="566"/>
      <c r="X950" s="566"/>
      <c r="Y950" s="566"/>
      <c r="Z950" s="566"/>
      <c r="AA950" s="566"/>
      <c r="AB950" s="566"/>
      <c r="AC950" s="566"/>
      <c r="AD950" s="566"/>
      <c r="AE950" s="566"/>
      <c r="AF950" s="566"/>
      <c r="AG950" s="566"/>
      <c r="AH950" s="566"/>
      <c r="AI950" s="566"/>
      <c r="AJ950" s="566"/>
      <c r="AK950" s="566"/>
      <c r="AL950" s="566"/>
      <c r="AM950" s="566"/>
      <c r="AN950" s="566"/>
      <c r="AO950" s="566"/>
    </row>
    <row r="951" spans="2:41" x14ac:dyDescent="0.15">
      <c r="B951" s="567">
        <v>7</v>
      </c>
      <c r="C951" s="566"/>
      <c r="D951" s="566"/>
      <c r="E951" s="566"/>
      <c r="F951" s="566"/>
      <c r="G951" s="566"/>
      <c r="H951" s="566"/>
      <c r="I951" s="566"/>
      <c r="J951" s="566"/>
      <c r="K951" s="566"/>
      <c r="L951" s="566"/>
      <c r="M951" s="566"/>
      <c r="N951" s="566"/>
      <c r="O951" s="566"/>
      <c r="P951" s="566"/>
      <c r="Q951" s="566"/>
      <c r="R951" s="566"/>
      <c r="S951" s="566"/>
      <c r="T951" s="566"/>
      <c r="U951" s="566"/>
      <c r="V951" s="566"/>
      <c r="W951" s="566"/>
      <c r="X951" s="566"/>
      <c r="Y951" s="566"/>
      <c r="Z951" s="566"/>
      <c r="AA951" s="566"/>
      <c r="AB951" s="566"/>
      <c r="AC951" s="566"/>
      <c r="AD951" s="566"/>
      <c r="AE951" s="566"/>
      <c r="AF951" s="566"/>
      <c r="AG951" s="566"/>
      <c r="AH951" s="566"/>
      <c r="AI951" s="566"/>
      <c r="AJ951" s="566"/>
      <c r="AK951" s="566"/>
      <c r="AL951" s="566"/>
      <c r="AM951" s="566"/>
      <c r="AN951" s="566"/>
      <c r="AO951" s="566"/>
    </row>
    <row r="952" spans="2:41" x14ac:dyDescent="0.15">
      <c r="B952" s="567">
        <v>8</v>
      </c>
      <c r="C952" s="566"/>
      <c r="D952" s="566"/>
      <c r="E952" s="566"/>
      <c r="F952" s="566"/>
      <c r="G952" s="566"/>
      <c r="H952" s="566"/>
      <c r="I952" s="566"/>
      <c r="J952" s="566"/>
      <c r="K952" s="566"/>
      <c r="L952" s="566"/>
      <c r="M952" s="566"/>
      <c r="N952" s="566"/>
      <c r="O952" s="566"/>
      <c r="P952" s="566"/>
      <c r="Q952" s="566"/>
      <c r="R952" s="566"/>
      <c r="S952" s="566"/>
      <c r="T952" s="566"/>
      <c r="U952" s="566"/>
      <c r="V952" s="566"/>
      <c r="W952" s="566"/>
      <c r="X952" s="566"/>
      <c r="Y952" s="566"/>
      <c r="Z952" s="566"/>
      <c r="AA952" s="566"/>
      <c r="AB952" s="566"/>
      <c r="AC952" s="566"/>
      <c r="AD952" s="566"/>
      <c r="AE952" s="566"/>
      <c r="AF952" s="566"/>
      <c r="AG952" s="566"/>
      <c r="AH952" s="566"/>
      <c r="AI952" s="566"/>
      <c r="AJ952" s="566"/>
      <c r="AK952" s="566"/>
      <c r="AL952" s="566"/>
      <c r="AM952" s="566"/>
      <c r="AN952" s="566"/>
      <c r="AO952" s="566"/>
    </row>
    <row r="953" spans="2:41" x14ac:dyDescent="0.15">
      <c r="B953" s="567">
        <v>9</v>
      </c>
      <c r="C953" s="566"/>
      <c r="D953" s="566"/>
      <c r="E953" s="566"/>
      <c r="F953" s="566"/>
      <c r="G953" s="566"/>
      <c r="H953" s="566"/>
      <c r="I953" s="566"/>
      <c r="J953" s="566"/>
      <c r="K953" s="566"/>
      <c r="L953" s="566"/>
      <c r="M953" s="566"/>
      <c r="N953" s="566"/>
      <c r="O953" s="566"/>
      <c r="P953" s="566"/>
      <c r="Q953" s="566"/>
      <c r="R953" s="566"/>
      <c r="S953" s="566"/>
      <c r="T953" s="566"/>
      <c r="U953" s="566"/>
      <c r="V953" s="566"/>
      <c r="W953" s="566"/>
      <c r="X953" s="566"/>
      <c r="Y953" s="566"/>
      <c r="Z953" s="566"/>
      <c r="AA953" s="566"/>
      <c r="AB953" s="566"/>
      <c r="AC953" s="566"/>
      <c r="AD953" s="566"/>
      <c r="AE953" s="566"/>
      <c r="AF953" s="566"/>
      <c r="AG953" s="566"/>
      <c r="AH953" s="566"/>
      <c r="AI953" s="566"/>
      <c r="AJ953" s="566"/>
      <c r="AK953" s="566"/>
      <c r="AL953" s="566"/>
      <c r="AM953" s="566"/>
      <c r="AN953" s="566"/>
      <c r="AO953" s="566"/>
    </row>
    <row r="954" spans="2:41" x14ac:dyDescent="0.15">
      <c r="B954" s="567">
        <v>10</v>
      </c>
      <c r="C954" s="566"/>
      <c r="D954" s="566"/>
      <c r="E954" s="566"/>
      <c r="F954" s="566"/>
      <c r="G954" s="566"/>
      <c r="H954" s="566"/>
      <c r="I954" s="566"/>
      <c r="J954" s="566"/>
      <c r="K954" s="566"/>
      <c r="L954" s="566"/>
      <c r="M954" s="566"/>
      <c r="N954" s="566"/>
      <c r="O954" s="566"/>
      <c r="P954" s="566"/>
      <c r="Q954" s="566"/>
      <c r="R954" s="566"/>
      <c r="S954" s="566"/>
      <c r="T954" s="566"/>
      <c r="U954" s="566"/>
      <c r="V954" s="566"/>
      <c r="W954" s="566"/>
      <c r="X954" s="566"/>
      <c r="Y954" s="566"/>
      <c r="Z954" s="566"/>
      <c r="AA954" s="566"/>
      <c r="AB954" s="566"/>
      <c r="AC954" s="566"/>
      <c r="AD954" s="566"/>
      <c r="AE954" s="566"/>
      <c r="AF954" s="566"/>
      <c r="AG954" s="566"/>
      <c r="AH954" s="566"/>
      <c r="AI954" s="566"/>
      <c r="AJ954" s="566"/>
      <c r="AK954" s="566"/>
      <c r="AL954" s="566"/>
      <c r="AM954" s="566"/>
      <c r="AN954" s="566"/>
      <c r="AO954" s="566"/>
    </row>
    <row r="955" spans="2:41" x14ac:dyDescent="0.15">
      <c r="B955" s="567">
        <v>11</v>
      </c>
      <c r="C955" s="566"/>
      <c r="D955" s="566"/>
      <c r="E955" s="566"/>
      <c r="F955" s="566"/>
      <c r="G955" s="566"/>
      <c r="H955" s="566"/>
      <c r="I955" s="566"/>
      <c r="J955" s="566"/>
      <c r="K955" s="566"/>
      <c r="L955" s="566"/>
      <c r="M955" s="566"/>
      <c r="N955" s="566"/>
      <c r="O955" s="566"/>
      <c r="P955" s="566"/>
      <c r="Q955" s="566"/>
      <c r="R955" s="566"/>
      <c r="S955" s="566"/>
      <c r="T955" s="566"/>
      <c r="U955" s="566"/>
      <c r="V955" s="566"/>
      <c r="W955" s="566"/>
      <c r="X955" s="566"/>
      <c r="Y955" s="566"/>
      <c r="Z955" s="566"/>
      <c r="AA955" s="566"/>
      <c r="AB955" s="566"/>
      <c r="AC955" s="566"/>
      <c r="AD955" s="566"/>
      <c r="AE955" s="566"/>
      <c r="AF955" s="566"/>
      <c r="AG955" s="566"/>
      <c r="AH955" s="566"/>
      <c r="AI955" s="566"/>
      <c r="AJ955" s="566"/>
      <c r="AK955" s="566"/>
      <c r="AL955" s="566"/>
      <c r="AM955" s="566"/>
      <c r="AN955" s="566"/>
      <c r="AO955" s="566"/>
    </row>
    <row r="956" spans="2:41" x14ac:dyDescent="0.15">
      <c r="B956" s="567">
        <v>12</v>
      </c>
      <c r="C956" s="566"/>
      <c r="D956" s="566"/>
      <c r="E956" s="566"/>
      <c r="F956" s="566"/>
      <c r="G956" s="566"/>
      <c r="H956" s="566"/>
      <c r="I956" s="566"/>
      <c r="J956" s="566"/>
      <c r="K956" s="566"/>
      <c r="L956" s="566"/>
      <c r="M956" s="566"/>
      <c r="N956" s="566"/>
      <c r="O956" s="566"/>
      <c r="P956" s="566"/>
      <c r="Q956" s="566"/>
      <c r="R956" s="566"/>
      <c r="S956" s="566"/>
      <c r="T956" s="566"/>
      <c r="U956" s="566"/>
      <c r="V956" s="566"/>
      <c r="W956" s="566"/>
      <c r="X956" s="566"/>
      <c r="Y956" s="566"/>
      <c r="Z956" s="566"/>
      <c r="AA956" s="566"/>
      <c r="AB956" s="566"/>
      <c r="AC956" s="566"/>
      <c r="AD956" s="566"/>
      <c r="AE956" s="566"/>
      <c r="AF956" s="566"/>
      <c r="AG956" s="566"/>
      <c r="AH956" s="566"/>
      <c r="AI956" s="566"/>
      <c r="AJ956" s="566"/>
      <c r="AK956" s="566"/>
      <c r="AL956" s="566"/>
      <c r="AM956" s="566"/>
      <c r="AN956" s="566"/>
      <c r="AO956" s="566"/>
    </row>
    <row r="957" spans="2:41" x14ac:dyDescent="0.15">
      <c r="B957" s="567">
        <v>13</v>
      </c>
      <c r="C957" s="566"/>
      <c r="D957" s="566"/>
      <c r="E957" s="566"/>
      <c r="F957" s="566"/>
      <c r="G957" s="566"/>
      <c r="H957" s="566"/>
      <c r="I957" s="566"/>
      <c r="J957" s="566"/>
      <c r="K957" s="566"/>
      <c r="L957" s="566"/>
      <c r="M957" s="566"/>
      <c r="N957" s="566"/>
      <c r="O957" s="566"/>
      <c r="P957" s="566"/>
      <c r="Q957" s="566"/>
      <c r="R957" s="566"/>
      <c r="S957" s="566"/>
      <c r="T957" s="566"/>
      <c r="U957" s="566"/>
      <c r="V957" s="566"/>
      <c r="W957" s="566"/>
      <c r="X957" s="566"/>
      <c r="Y957" s="566"/>
      <c r="Z957" s="566"/>
      <c r="AA957" s="566"/>
      <c r="AB957" s="566"/>
      <c r="AC957" s="566"/>
      <c r="AD957" s="566"/>
      <c r="AE957" s="566"/>
      <c r="AF957" s="566"/>
      <c r="AG957" s="566"/>
      <c r="AH957" s="566"/>
      <c r="AI957" s="566"/>
      <c r="AJ957" s="566"/>
      <c r="AK957" s="566"/>
      <c r="AL957" s="566"/>
      <c r="AM957" s="566"/>
      <c r="AN957" s="566"/>
      <c r="AO957" s="566"/>
    </row>
    <row r="958" spans="2:41" x14ac:dyDescent="0.15">
      <c r="B958" s="567">
        <v>14</v>
      </c>
      <c r="C958" s="566"/>
      <c r="D958" s="566"/>
      <c r="E958" s="566"/>
      <c r="F958" s="566"/>
      <c r="G958" s="566"/>
      <c r="H958" s="566"/>
      <c r="I958" s="566"/>
      <c r="J958" s="566"/>
      <c r="K958" s="566"/>
      <c r="L958" s="566"/>
      <c r="M958" s="566"/>
      <c r="N958" s="566"/>
      <c r="O958" s="566"/>
      <c r="P958" s="566"/>
      <c r="Q958" s="566"/>
      <c r="R958" s="566"/>
      <c r="S958" s="566"/>
      <c r="T958" s="566"/>
      <c r="U958" s="566"/>
      <c r="V958" s="566"/>
      <c r="W958" s="566"/>
      <c r="X958" s="566"/>
      <c r="Y958" s="566"/>
      <c r="Z958" s="566"/>
      <c r="AA958" s="566"/>
      <c r="AB958" s="566"/>
      <c r="AC958" s="566"/>
      <c r="AD958" s="566"/>
      <c r="AE958" s="566"/>
      <c r="AF958" s="566"/>
      <c r="AG958" s="566"/>
      <c r="AH958" s="566"/>
      <c r="AI958" s="566"/>
      <c r="AJ958" s="566"/>
      <c r="AK958" s="566"/>
      <c r="AL958" s="566"/>
      <c r="AM958" s="566"/>
      <c r="AN958" s="566"/>
      <c r="AO958" s="566"/>
    </row>
    <row r="959" spans="2:41" x14ac:dyDescent="0.15">
      <c r="B959" s="567">
        <v>15</v>
      </c>
      <c r="C959" s="566"/>
      <c r="D959" s="566"/>
      <c r="E959" s="566"/>
      <c r="F959" s="566"/>
      <c r="G959" s="566"/>
      <c r="H959" s="566"/>
      <c r="I959" s="566"/>
      <c r="J959" s="566"/>
      <c r="K959" s="566"/>
      <c r="L959" s="566"/>
      <c r="M959" s="566"/>
      <c r="N959" s="566"/>
      <c r="O959" s="566"/>
      <c r="P959" s="566"/>
      <c r="Q959" s="566"/>
      <c r="R959" s="566"/>
      <c r="S959" s="566"/>
      <c r="T959" s="566"/>
      <c r="U959" s="566"/>
      <c r="V959" s="566"/>
      <c r="W959" s="566"/>
      <c r="X959" s="566"/>
      <c r="Y959" s="566"/>
      <c r="Z959" s="566"/>
      <c r="AA959" s="566"/>
      <c r="AB959" s="566"/>
      <c r="AC959" s="566"/>
      <c r="AD959" s="566"/>
      <c r="AE959" s="566"/>
      <c r="AF959" s="566"/>
      <c r="AG959" s="566"/>
      <c r="AH959" s="566"/>
      <c r="AI959" s="566"/>
      <c r="AJ959" s="566"/>
      <c r="AK959" s="566"/>
      <c r="AL959" s="566"/>
      <c r="AM959" s="566"/>
      <c r="AN959" s="566"/>
      <c r="AO959" s="566"/>
    </row>
    <row r="960" spans="2:41" x14ac:dyDescent="0.15">
      <c r="B960" s="567">
        <v>16</v>
      </c>
      <c r="C960" s="566"/>
      <c r="D960" s="566"/>
      <c r="E960" s="566"/>
      <c r="F960" s="566"/>
      <c r="G960" s="566"/>
      <c r="H960" s="566"/>
      <c r="I960" s="566"/>
      <c r="J960" s="566"/>
      <c r="K960" s="566"/>
      <c r="L960" s="566"/>
      <c r="M960" s="566"/>
      <c r="N960" s="566"/>
      <c r="O960" s="566"/>
      <c r="P960" s="566"/>
      <c r="Q960" s="566"/>
      <c r="R960" s="566"/>
      <c r="S960" s="566"/>
      <c r="T960" s="566"/>
      <c r="U960" s="566"/>
      <c r="V960" s="566"/>
      <c r="W960" s="566"/>
      <c r="X960" s="566"/>
      <c r="Y960" s="566"/>
      <c r="Z960" s="566"/>
      <c r="AA960" s="566"/>
      <c r="AB960" s="566"/>
      <c r="AC960" s="566"/>
      <c r="AD960" s="566"/>
      <c r="AE960" s="566"/>
      <c r="AF960" s="566"/>
      <c r="AG960" s="566"/>
      <c r="AH960" s="566"/>
      <c r="AI960" s="566"/>
      <c r="AJ960" s="566"/>
      <c r="AK960" s="566"/>
      <c r="AL960" s="566"/>
      <c r="AM960" s="566"/>
      <c r="AN960" s="566"/>
      <c r="AO960" s="566"/>
    </row>
    <row r="961" spans="2:41" x14ac:dyDescent="0.15">
      <c r="B961" s="567">
        <v>17</v>
      </c>
      <c r="C961" s="566"/>
      <c r="D961" s="566"/>
      <c r="E961" s="566"/>
      <c r="F961" s="566"/>
      <c r="G961" s="566"/>
      <c r="H961" s="566"/>
      <c r="I961" s="566"/>
      <c r="J961" s="566"/>
      <c r="K961" s="566"/>
      <c r="L961" s="566"/>
      <c r="M961" s="566"/>
      <c r="N961" s="566"/>
      <c r="O961" s="566"/>
      <c r="P961" s="566"/>
      <c r="Q961" s="566"/>
      <c r="R961" s="566"/>
      <c r="S961" s="566"/>
      <c r="T961" s="566"/>
      <c r="U961" s="566"/>
      <c r="V961" s="566"/>
      <c r="W961" s="566"/>
      <c r="X961" s="566"/>
      <c r="Y961" s="566"/>
      <c r="Z961" s="566"/>
      <c r="AA961" s="566"/>
      <c r="AB961" s="566"/>
      <c r="AC961" s="566"/>
      <c r="AD961" s="566"/>
      <c r="AE961" s="566"/>
      <c r="AF961" s="566"/>
      <c r="AG961" s="566"/>
      <c r="AH961" s="566"/>
      <c r="AI961" s="566"/>
      <c r="AJ961" s="566"/>
      <c r="AK961" s="566"/>
      <c r="AL961" s="566"/>
      <c r="AM961" s="566"/>
      <c r="AN961" s="566"/>
      <c r="AO961" s="566"/>
    </row>
    <row r="962" spans="2:41" x14ac:dyDescent="0.15">
      <c r="B962" s="567">
        <v>18</v>
      </c>
      <c r="C962" s="566"/>
      <c r="D962" s="566"/>
      <c r="E962" s="566"/>
      <c r="F962" s="566"/>
      <c r="G962" s="566"/>
      <c r="H962" s="566"/>
      <c r="I962" s="566"/>
      <c r="J962" s="566"/>
      <c r="K962" s="566"/>
      <c r="L962" s="566"/>
      <c r="M962" s="566"/>
      <c r="N962" s="566"/>
      <c r="O962" s="566"/>
      <c r="P962" s="566"/>
      <c r="Q962" s="566"/>
      <c r="R962" s="566"/>
      <c r="S962" s="566"/>
      <c r="T962" s="566"/>
      <c r="U962" s="566"/>
      <c r="V962" s="566"/>
      <c r="W962" s="566"/>
      <c r="X962" s="566"/>
      <c r="Y962" s="566"/>
      <c r="Z962" s="566"/>
      <c r="AA962" s="566"/>
      <c r="AB962" s="566"/>
      <c r="AC962" s="566"/>
      <c r="AD962" s="566"/>
      <c r="AE962" s="566"/>
      <c r="AF962" s="566"/>
      <c r="AG962" s="566"/>
      <c r="AH962" s="566"/>
      <c r="AI962" s="566"/>
      <c r="AJ962" s="566"/>
      <c r="AK962" s="566"/>
      <c r="AL962" s="566"/>
      <c r="AM962" s="566"/>
      <c r="AN962" s="566"/>
      <c r="AO962" s="566"/>
    </row>
    <row r="963" spans="2:41" x14ac:dyDescent="0.15">
      <c r="B963" s="567">
        <v>19</v>
      </c>
      <c r="C963" s="566"/>
      <c r="D963" s="566"/>
      <c r="E963" s="566"/>
      <c r="F963" s="566"/>
      <c r="G963" s="566"/>
      <c r="H963" s="566"/>
      <c r="I963" s="566"/>
      <c r="J963" s="566"/>
      <c r="K963" s="566"/>
      <c r="L963" s="566"/>
      <c r="M963" s="566"/>
      <c r="N963" s="566"/>
      <c r="O963" s="566"/>
      <c r="P963" s="566"/>
      <c r="Q963" s="566"/>
      <c r="R963" s="566"/>
      <c r="S963" s="566"/>
      <c r="T963" s="566"/>
      <c r="U963" s="566"/>
      <c r="V963" s="566"/>
      <c r="W963" s="566"/>
      <c r="X963" s="566"/>
      <c r="Y963" s="566"/>
      <c r="Z963" s="566"/>
      <c r="AA963" s="566"/>
      <c r="AB963" s="566"/>
      <c r="AC963" s="566"/>
      <c r="AD963" s="566"/>
      <c r="AE963" s="566"/>
      <c r="AF963" s="566"/>
      <c r="AG963" s="566"/>
      <c r="AH963" s="566"/>
      <c r="AI963" s="566"/>
      <c r="AJ963" s="566"/>
      <c r="AK963" s="566"/>
      <c r="AL963" s="566"/>
      <c r="AM963" s="566"/>
      <c r="AN963" s="566"/>
      <c r="AO963" s="566"/>
    </row>
    <row r="964" spans="2:41" x14ac:dyDescent="0.15">
      <c r="B964" s="567">
        <v>20</v>
      </c>
      <c r="C964" s="566"/>
      <c r="D964" s="566"/>
      <c r="E964" s="566"/>
      <c r="F964" s="566"/>
      <c r="G964" s="566"/>
      <c r="H964" s="566"/>
      <c r="I964" s="566"/>
      <c r="J964" s="566"/>
      <c r="K964" s="566"/>
      <c r="L964" s="566"/>
      <c r="M964" s="566"/>
      <c r="N964" s="566"/>
      <c r="O964" s="566"/>
      <c r="P964" s="566"/>
      <c r="Q964" s="566"/>
      <c r="R964" s="566"/>
      <c r="S964" s="566"/>
      <c r="T964" s="566"/>
      <c r="U964" s="566"/>
      <c r="V964" s="566"/>
      <c r="W964" s="566"/>
      <c r="X964" s="566"/>
      <c r="Y964" s="566"/>
      <c r="Z964" s="566"/>
      <c r="AA964" s="566"/>
      <c r="AB964" s="566"/>
      <c r="AC964" s="566"/>
      <c r="AD964" s="566"/>
      <c r="AE964" s="566"/>
      <c r="AF964" s="566"/>
      <c r="AG964" s="566"/>
      <c r="AH964" s="566"/>
      <c r="AI964" s="566"/>
      <c r="AJ964" s="566"/>
      <c r="AK964" s="566"/>
      <c r="AL964" s="566"/>
      <c r="AM964" s="566"/>
      <c r="AN964" s="566"/>
      <c r="AO964" s="566"/>
    </row>
    <row r="965" spans="2:41" x14ac:dyDescent="0.15">
      <c r="B965" s="567">
        <v>21</v>
      </c>
      <c r="C965" s="566"/>
      <c r="D965" s="566"/>
      <c r="E965" s="566"/>
      <c r="F965" s="566"/>
      <c r="G965" s="566"/>
      <c r="H965" s="566"/>
      <c r="I965" s="566"/>
      <c r="J965" s="566"/>
      <c r="K965" s="566"/>
      <c r="L965" s="566"/>
      <c r="M965" s="566"/>
      <c r="N965" s="566"/>
      <c r="O965" s="566"/>
      <c r="P965" s="566"/>
      <c r="Q965" s="566"/>
      <c r="R965" s="566"/>
      <c r="S965" s="566"/>
      <c r="T965" s="566"/>
      <c r="U965" s="566"/>
      <c r="V965" s="566"/>
      <c r="W965" s="566"/>
      <c r="X965" s="566"/>
      <c r="Y965" s="566"/>
      <c r="Z965" s="566"/>
      <c r="AA965" s="566"/>
      <c r="AB965" s="566"/>
      <c r="AC965" s="566"/>
      <c r="AD965" s="566"/>
      <c r="AE965" s="566"/>
      <c r="AF965" s="566"/>
      <c r="AG965" s="566"/>
      <c r="AH965" s="566"/>
      <c r="AI965" s="566"/>
      <c r="AJ965" s="566"/>
      <c r="AK965" s="566"/>
      <c r="AL965" s="566"/>
      <c r="AM965" s="566"/>
      <c r="AN965" s="566"/>
      <c r="AO965" s="566"/>
    </row>
    <row r="966" spans="2:41" x14ac:dyDescent="0.15">
      <c r="B966" s="567">
        <v>22</v>
      </c>
      <c r="C966" s="566"/>
      <c r="D966" s="566"/>
      <c r="E966" s="566"/>
      <c r="F966" s="566"/>
      <c r="G966" s="566"/>
      <c r="H966" s="566"/>
      <c r="I966" s="566"/>
      <c r="J966" s="566"/>
      <c r="K966" s="566"/>
      <c r="L966" s="566"/>
      <c r="M966" s="566"/>
      <c r="N966" s="566"/>
      <c r="O966" s="566"/>
      <c r="P966" s="566"/>
      <c r="Q966" s="566"/>
      <c r="R966" s="566"/>
      <c r="S966" s="566"/>
      <c r="T966" s="566"/>
      <c r="U966" s="566"/>
      <c r="V966" s="566"/>
      <c r="W966" s="566"/>
      <c r="X966" s="566"/>
      <c r="Y966" s="566"/>
      <c r="Z966" s="566"/>
      <c r="AA966" s="566"/>
      <c r="AB966" s="566"/>
      <c r="AC966" s="566"/>
      <c r="AD966" s="566"/>
      <c r="AE966" s="566"/>
      <c r="AF966" s="566"/>
      <c r="AG966" s="566"/>
      <c r="AH966" s="566"/>
      <c r="AI966" s="566"/>
      <c r="AJ966" s="566"/>
      <c r="AK966" s="566"/>
      <c r="AL966" s="566"/>
      <c r="AM966" s="566"/>
      <c r="AN966" s="566"/>
      <c r="AO966" s="566"/>
    </row>
    <row r="967" spans="2:41" x14ac:dyDescent="0.15">
      <c r="B967" s="567">
        <v>23</v>
      </c>
      <c r="C967" s="566"/>
      <c r="D967" s="566"/>
      <c r="E967" s="566"/>
      <c r="F967" s="566"/>
      <c r="G967" s="566"/>
      <c r="H967" s="566"/>
      <c r="I967" s="566"/>
      <c r="J967" s="566"/>
      <c r="K967" s="566"/>
      <c r="L967" s="566"/>
      <c r="M967" s="566"/>
      <c r="N967" s="566"/>
      <c r="O967" s="566"/>
      <c r="P967" s="566"/>
      <c r="Q967" s="566"/>
      <c r="R967" s="566"/>
      <c r="S967" s="566"/>
      <c r="T967" s="566"/>
      <c r="U967" s="566"/>
      <c r="V967" s="566"/>
      <c r="W967" s="566"/>
      <c r="X967" s="566"/>
      <c r="Y967" s="566"/>
      <c r="Z967" s="566"/>
      <c r="AA967" s="566"/>
      <c r="AB967" s="566"/>
      <c r="AC967" s="566"/>
      <c r="AD967" s="566"/>
      <c r="AE967" s="566"/>
      <c r="AF967" s="566"/>
      <c r="AG967" s="566"/>
      <c r="AH967" s="566"/>
      <c r="AI967" s="566"/>
      <c r="AJ967" s="566"/>
      <c r="AK967" s="566"/>
      <c r="AL967" s="566"/>
      <c r="AM967" s="566"/>
      <c r="AN967" s="566"/>
      <c r="AO967" s="566"/>
    </row>
    <row r="968" spans="2:41" x14ac:dyDescent="0.15">
      <c r="B968" s="567">
        <v>24</v>
      </c>
      <c r="C968" s="566"/>
      <c r="D968" s="566"/>
      <c r="E968" s="566"/>
      <c r="F968" s="566"/>
      <c r="G968" s="566"/>
      <c r="H968" s="566"/>
      <c r="I968" s="566"/>
      <c r="J968" s="566"/>
      <c r="K968" s="566"/>
      <c r="L968" s="566"/>
      <c r="M968" s="566"/>
      <c r="N968" s="566"/>
      <c r="O968" s="566"/>
      <c r="P968" s="566"/>
      <c r="Q968" s="566"/>
      <c r="R968" s="566"/>
      <c r="S968" s="566"/>
      <c r="T968" s="566"/>
      <c r="U968" s="566"/>
      <c r="V968" s="566"/>
      <c r="W968" s="566"/>
      <c r="X968" s="566"/>
      <c r="Y968" s="566"/>
      <c r="Z968" s="566"/>
      <c r="AA968" s="566"/>
      <c r="AB968" s="566"/>
      <c r="AC968" s="566"/>
      <c r="AD968" s="566"/>
      <c r="AE968" s="566"/>
      <c r="AF968" s="566"/>
      <c r="AG968" s="566"/>
      <c r="AH968" s="566"/>
      <c r="AI968" s="566"/>
      <c r="AJ968" s="566"/>
      <c r="AK968" s="566"/>
      <c r="AL968" s="566"/>
      <c r="AM968" s="566"/>
      <c r="AN968" s="566"/>
      <c r="AO968" s="566"/>
    </row>
    <row r="969" spans="2:41" x14ac:dyDescent="0.15">
      <c r="B969" s="567">
        <v>25</v>
      </c>
      <c r="C969" s="566"/>
      <c r="D969" s="566"/>
      <c r="E969" s="566"/>
      <c r="F969" s="566"/>
      <c r="G969" s="566"/>
      <c r="H969" s="566"/>
      <c r="I969" s="566"/>
      <c r="J969" s="566"/>
      <c r="K969" s="566"/>
      <c r="L969" s="566"/>
      <c r="M969" s="566"/>
      <c r="N969" s="566"/>
      <c r="O969" s="566"/>
      <c r="P969" s="566"/>
      <c r="Q969" s="566"/>
      <c r="R969" s="566"/>
      <c r="S969" s="566"/>
      <c r="T969" s="566"/>
      <c r="U969" s="566"/>
      <c r="V969" s="566"/>
      <c r="W969" s="566"/>
      <c r="X969" s="566"/>
      <c r="Y969" s="566"/>
      <c r="Z969" s="566"/>
      <c r="AA969" s="566"/>
      <c r="AB969" s="566"/>
      <c r="AC969" s="566"/>
      <c r="AD969" s="566"/>
      <c r="AE969" s="566"/>
      <c r="AF969" s="566"/>
      <c r="AG969" s="566"/>
      <c r="AH969" s="566"/>
      <c r="AI969" s="566"/>
      <c r="AJ969" s="566"/>
      <c r="AK969" s="566"/>
      <c r="AL969" s="566"/>
      <c r="AM969" s="566"/>
      <c r="AN969" s="566"/>
      <c r="AO969" s="566"/>
    </row>
    <row r="970" spans="2:41" x14ac:dyDescent="0.15">
      <c r="B970" s="567">
        <v>26</v>
      </c>
      <c r="C970" s="566"/>
      <c r="D970" s="566"/>
      <c r="E970" s="566"/>
      <c r="F970" s="566"/>
      <c r="G970" s="566"/>
      <c r="H970" s="566"/>
      <c r="I970" s="566"/>
      <c r="J970" s="566"/>
      <c r="K970" s="566"/>
      <c r="L970" s="566"/>
      <c r="M970" s="566"/>
      <c r="N970" s="566"/>
      <c r="O970" s="566"/>
      <c r="P970" s="566"/>
      <c r="Q970" s="566"/>
      <c r="R970" s="566"/>
      <c r="S970" s="566"/>
      <c r="T970" s="566"/>
      <c r="U970" s="566"/>
      <c r="V970" s="566"/>
      <c r="W970" s="566"/>
      <c r="X970" s="566"/>
      <c r="Y970" s="566"/>
      <c r="Z970" s="566"/>
      <c r="AA970" s="566"/>
      <c r="AB970" s="566"/>
      <c r="AC970" s="566"/>
      <c r="AD970" s="566"/>
      <c r="AE970" s="566"/>
      <c r="AF970" s="566"/>
      <c r="AG970" s="566"/>
      <c r="AH970" s="566"/>
      <c r="AI970" s="566"/>
      <c r="AJ970" s="566"/>
      <c r="AK970" s="566"/>
      <c r="AL970" s="566"/>
      <c r="AM970" s="566"/>
      <c r="AN970" s="566"/>
      <c r="AO970" s="566"/>
    </row>
    <row r="971" spans="2:41" x14ac:dyDescent="0.15">
      <c r="B971" s="567">
        <v>27</v>
      </c>
      <c r="C971" s="566"/>
      <c r="D971" s="566"/>
      <c r="E971" s="566"/>
      <c r="F971" s="566"/>
      <c r="G971" s="566"/>
      <c r="H971" s="566"/>
      <c r="I971" s="566"/>
      <c r="J971" s="566"/>
      <c r="K971" s="566"/>
      <c r="L971" s="566"/>
      <c r="M971" s="566"/>
      <c r="N971" s="566"/>
      <c r="O971" s="566"/>
      <c r="P971" s="566"/>
      <c r="Q971" s="566"/>
      <c r="R971" s="566"/>
      <c r="S971" s="566"/>
      <c r="T971" s="566"/>
      <c r="U971" s="566"/>
      <c r="V971" s="566"/>
      <c r="W971" s="566"/>
      <c r="X971" s="566"/>
      <c r="Y971" s="566"/>
      <c r="Z971" s="566"/>
      <c r="AA971" s="566"/>
      <c r="AB971" s="566"/>
      <c r="AC971" s="566"/>
      <c r="AD971" s="566"/>
      <c r="AE971" s="566"/>
      <c r="AF971" s="566"/>
      <c r="AG971" s="566"/>
      <c r="AH971" s="566"/>
      <c r="AI971" s="566"/>
      <c r="AJ971" s="566"/>
      <c r="AK971" s="566"/>
      <c r="AL971" s="566"/>
      <c r="AM971" s="566"/>
      <c r="AN971" s="566"/>
      <c r="AO971" s="566"/>
    </row>
    <row r="972" spans="2:41" x14ac:dyDescent="0.15">
      <c r="B972" s="567">
        <v>28</v>
      </c>
      <c r="C972" s="566"/>
      <c r="D972" s="566"/>
      <c r="E972" s="566"/>
      <c r="F972" s="566"/>
      <c r="G972" s="566"/>
      <c r="H972" s="566"/>
      <c r="I972" s="566"/>
      <c r="J972" s="566"/>
      <c r="K972" s="566"/>
      <c r="L972" s="566"/>
      <c r="M972" s="566"/>
      <c r="N972" s="566"/>
      <c r="O972" s="566"/>
      <c r="P972" s="566"/>
      <c r="Q972" s="566"/>
      <c r="R972" s="566"/>
      <c r="S972" s="566"/>
      <c r="T972" s="566"/>
      <c r="U972" s="566"/>
      <c r="V972" s="566"/>
      <c r="W972" s="566"/>
      <c r="X972" s="566"/>
      <c r="Y972" s="566"/>
      <c r="Z972" s="566"/>
      <c r="AA972" s="566"/>
      <c r="AB972" s="566"/>
      <c r="AC972" s="566"/>
      <c r="AD972" s="566"/>
      <c r="AE972" s="566"/>
      <c r="AF972" s="566"/>
      <c r="AG972" s="566"/>
      <c r="AH972" s="566"/>
      <c r="AI972" s="566"/>
      <c r="AJ972" s="566"/>
      <c r="AK972" s="566"/>
      <c r="AL972" s="566"/>
      <c r="AM972" s="566"/>
      <c r="AN972" s="566"/>
      <c r="AO972" s="566"/>
    </row>
    <row r="973" spans="2:41" x14ac:dyDescent="0.15">
      <c r="B973" s="567">
        <v>29</v>
      </c>
      <c r="C973" s="566"/>
      <c r="D973" s="566"/>
      <c r="E973" s="566"/>
      <c r="F973" s="566"/>
      <c r="G973" s="566"/>
      <c r="H973" s="566"/>
      <c r="I973" s="566"/>
      <c r="J973" s="566"/>
      <c r="K973" s="566"/>
      <c r="L973" s="566"/>
      <c r="M973" s="566"/>
      <c r="N973" s="566"/>
      <c r="O973" s="566"/>
      <c r="P973" s="566"/>
      <c r="Q973" s="566"/>
      <c r="R973" s="566"/>
      <c r="S973" s="566"/>
      <c r="T973" s="566"/>
      <c r="U973" s="566"/>
      <c r="V973" s="566"/>
      <c r="W973" s="566"/>
      <c r="X973" s="566"/>
      <c r="Y973" s="566"/>
      <c r="Z973" s="566"/>
      <c r="AA973" s="566"/>
      <c r="AB973" s="566"/>
      <c r="AC973" s="566"/>
      <c r="AD973" s="566"/>
      <c r="AE973" s="566"/>
      <c r="AF973" s="566"/>
      <c r="AG973" s="566"/>
      <c r="AH973" s="566"/>
      <c r="AI973" s="566"/>
      <c r="AJ973" s="566"/>
      <c r="AK973" s="566"/>
      <c r="AL973" s="566"/>
      <c r="AM973" s="566"/>
      <c r="AN973" s="566"/>
      <c r="AO973" s="566"/>
    </row>
    <row r="974" spans="2:41" x14ac:dyDescent="0.15">
      <c r="B974" s="567">
        <v>30</v>
      </c>
      <c r="C974" s="566"/>
      <c r="D974" s="566"/>
      <c r="E974" s="566"/>
      <c r="F974" s="566"/>
      <c r="G974" s="566"/>
      <c r="H974" s="566"/>
      <c r="I974" s="566"/>
      <c r="J974" s="566"/>
      <c r="K974" s="566"/>
      <c r="L974" s="566"/>
      <c r="M974" s="566"/>
      <c r="N974" s="566"/>
      <c r="O974" s="566"/>
      <c r="P974" s="566"/>
      <c r="Q974" s="566"/>
      <c r="R974" s="566"/>
      <c r="S974" s="566"/>
      <c r="T974" s="566"/>
      <c r="U974" s="566"/>
      <c r="V974" s="566"/>
      <c r="W974" s="566"/>
      <c r="X974" s="566"/>
      <c r="Y974" s="566"/>
      <c r="Z974" s="566"/>
      <c r="AA974" s="566"/>
      <c r="AB974" s="566"/>
      <c r="AC974" s="566"/>
      <c r="AD974" s="566"/>
      <c r="AE974" s="566"/>
      <c r="AF974" s="566"/>
      <c r="AG974" s="566"/>
      <c r="AH974" s="566"/>
      <c r="AI974" s="566"/>
      <c r="AJ974" s="566"/>
      <c r="AK974" s="566"/>
      <c r="AL974" s="566"/>
      <c r="AM974" s="566"/>
      <c r="AN974" s="566"/>
      <c r="AO974" s="566"/>
    </row>
    <row r="975" spans="2:41" x14ac:dyDescent="0.15">
      <c r="B975" s="567">
        <v>31</v>
      </c>
      <c r="C975" s="566"/>
      <c r="D975" s="566"/>
      <c r="E975" s="566"/>
      <c r="F975" s="566"/>
      <c r="G975" s="566"/>
      <c r="H975" s="566"/>
      <c r="I975" s="566"/>
      <c r="J975" s="566"/>
      <c r="K975" s="566"/>
      <c r="L975" s="566"/>
      <c r="M975" s="566"/>
      <c r="N975" s="566"/>
      <c r="O975" s="566"/>
      <c r="P975" s="566"/>
      <c r="Q975" s="566"/>
      <c r="R975" s="566"/>
      <c r="S975" s="566"/>
      <c r="T975" s="566"/>
      <c r="U975" s="566"/>
      <c r="V975" s="566"/>
      <c r="W975" s="566"/>
      <c r="X975" s="566"/>
      <c r="Y975" s="566"/>
      <c r="Z975" s="566"/>
      <c r="AA975" s="566"/>
      <c r="AB975" s="566"/>
      <c r="AC975" s="566"/>
      <c r="AD975" s="566"/>
      <c r="AE975" s="566"/>
      <c r="AF975" s="566"/>
      <c r="AG975" s="566"/>
      <c r="AH975" s="566"/>
      <c r="AI975" s="566"/>
      <c r="AJ975" s="566"/>
      <c r="AK975" s="566"/>
      <c r="AL975" s="566"/>
      <c r="AM975" s="566"/>
      <c r="AN975" s="566"/>
      <c r="AO975" s="566"/>
    </row>
    <row r="976" spans="2:41" x14ac:dyDescent="0.15">
      <c r="B976" s="567">
        <v>32</v>
      </c>
      <c r="C976" s="566"/>
      <c r="D976" s="566"/>
      <c r="E976" s="566"/>
      <c r="F976" s="566"/>
      <c r="G976" s="566"/>
      <c r="H976" s="566"/>
      <c r="I976" s="566"/>
      <c r="J976" s="566"/>
      <c r="K976" s="566"/>
      <c r="L976" s="566"/>
      <c r="M976" s="566"/>
      <c r="N976" s="566"/>
      <c r="O976" s="566"/>
      <c r="P976" s="566"/>
      <c r="Q976" s="566"/>
      <c r="R976" s="566"/>
      <c r="S976" s="566"/>
      <c r="T976" s="566"/>
      <c r="U976" s="566"/>
      <c r="V976" s="566"/>
      <c r="W976" s="566"/>
      <c r="X976" s="566"/>
      <c r="Y976" s="566"/>
      <c r="Z976" s="566"/>
      <c r="AA976" s="566"/>
      <c r="AB976" s="566"/>
      <c r="AC976" s="566"/>
      <c r="AD976" s="566"/>
      <c r="AE976" s="566"/>
      <c r="AF976" s="566"/>
      <c r="AG976" s="566"/>
      <c r="AH976" s="566"/>
      <c r="AI976" s="566"/>
      <c r="AJ976" s="566"/>
      <c r="AK976" s="566"/>
      <c r="AL976" s="566"/>
      <c r="AM976" s="566"/>
      <c r="AN976" s="566"/>
      <c r="AO976" s="566"/>
    </row>
    <row r="977" spans="2:41" x14ac:dyDescent="0.15">
      <c r="B977" s="567">
        <v>33</v>
      </c>
      <c r="C977" s="566"/>
      <c r="D977" s="566"/>
      <c r="E977" s="566"/>
      <c r="F977" s="566"/>
      <c r="G977" s="566"/>
      <c r="H977" s="566"/>
      <c r="I977" s="566"/>
      <c r="J977" s="566"/>
      <c r="K977" s="566"/>
      <c r="L977" s="566"/>
      <c r="M977" s="566"/>
      <c r="N977" s="566"/>
      <c r="O977" s="566"/>
      <c r="P977" s="566"/>
      <c r="Q977" s="566"/>
      <c r="R977" s="566"/>
      <c r="S977" s="566"/>
      <c r="T977" s="566"/>
      <c r="U977" s="566"/>
      <c r="V977" s="566"/>
      <c r="W977" s="566"/>
      <c r="X977" s="566"/>
      <c r="Y977" s="566"/>
      <c r="Z977" s="566"/>
      <c r="AA977" s="566"/>
      <c r="AB977" s="566"/>
      <c r="AC977" s="566"/>
      <c r="AD977" s="566"/>
      <c r="AE977" s="566"/>
      <c r="AF977" s="566"/>
      <c r="AG977" s="566"/>
      <c r="AH977" s="566"/>
      <c r="AI977" s="566"/>
      <c r="AJ977" s="566"/>
      <c r="AK977" s="566"/>
      <c r="AL977" s="566"/>
      <c r="AM977" s="566"/>
      <c r="AN977" s="566"/>
      <c r="AO977" s="566"/>
    </row>
    <row r="978" spans="2:41" x14ac:dyDescent="0.15">
      <c r="B978" s="567">
        <v>34</v>
      </c>
      <c r="C978" s="566"/>
      <c r="D978" s="566"/>
      <c r="E978" s="566"/>
      <c r="F978" s="566"/>
      <c r="G978" s="566"/>
      <c r="H978" s="566"/>
      <c r="I978" s="566"/>
      <c r="J978" s="566"/>
      <c r="K978" s="566"/>
      <c r="L978" s="566"/>
      <c r="M978" s="566"/>
      <c r="N978" s="566"/>
      <c r="O978" s="566"/>
      <c r="P978" s="566"/>
      <c r="Q978" s="566"/>
      <c r="R978" s="566"/>
      <c r="S978" s="566"/>
      <c r="T978" s="566"/>
      <c r="U978" s="566"/>
      <c r="V978" s="566"/>
      <c r="W978" s="566"/>
      <c r="X978" s="566"/>
      <c r="Y978" s="566"/>
      <c r="Z978" s="566"/>
      <c r="AA978" s="566"/>
      <c r="AB978" s="566"/>
      <c r="AC978" s="566"/>
      <c r="AD978" s="566"/>
      <c r="AE978" s="566"/>
      <c r="AF978" s="566"/>
      <c r="AG978" s="566"/>
      <c r="AH978" s="566"/>
      <c r="AI978" s="566"/>
      <c r="AJ978" s="566"/>
      <c r="AK978" s="566"/>
      <c r="AL978" s="566"/>
      <c r="AM978" s="566"/>
      <c r="AN978" s="566"/>
      <c r="AO978" s="566"/>
    </row>
    <row r="979" spans="2:41" x14ac:dyDescent="0.15">
      <c r="B979" s="567">
        <v>35</v>
      </c>
      <c r="C979" s="566"/>
      <c r="D979" s="566"/>
      <c r="E979" s="566"/>
      <c r="F979" s="566"/>
      <c r="G979" s="566"/>
      <c r="H979" s="566"/>
      <c r="I979" s="566"/>
      <c r="J979" s="566"/>
      <c r="K979" s="566"/>
      <c r="L979" s="566"/>
      <c r="M979" s="566"/>
      <c r="N979" s="566"/>
      <c r="O979" s="566"/>
      <c r="P979" s="566"/>
      <c r="Q979" s="566"/>
      <c r="R979" s="566"/>
      <c r="S979" s="566"/>
      <c r="T979" s="566"/>
      <c r="U979" s="566"/>
      <c r="V979" s="566"/>
      <c r="W979" s="566"/>
      <c r="X979" s="566"/>
      <c r="Y979" s="566"/>
      <c r="Z979" s="566"/>
      <c r="AA979" s="566"/>
      <c r="AB979" s="566"/>
      <c r="AC979" s="566"/>
      <c r="AD979" s="566"/>
      <c r="AE979" s="566"/>
      <c r="AF979" s="566"/>
      <c r="AG979" s="566"/>
      <c r="AH979" s="566"/>
      <c r="AI979" s="566"/>
      <c r="AJ979" s="566"/>
      <c r="AK979" s="566"/>
      <c r="AL979" s="566"/>
      <c r="AM979" s="566"/>
      <c r="AN979" s="566"/>
      <c r="AO979" s="566"/>
    </row>
    <row r="980" spans="2:41" x14ac:dyDescent="0.15">
      <c r="B980" s="567">
        <v>36</v>
      </c>
      <c r="C980" s="566"/>
      <c r="D980" s="566"/>
      <c r="E980" s="566"/>
      <c r="F980" s="566"/>
      <c r="G980" s="566"/>
      <c r="H980" s="566"/>
      <c r="I980" s="566"/>
      <c r="J980" s="566"/>
      <c r="K980" s="566"/>
      <c r="L980" s="566"/>
      <c r="M980" s="566"/>
      <c r="N980" s="566"/>
      <c r="O980" s="566"/>
      <c r="P980" s="566"/>
      <c r="Q980" s="566"/>
      <c r="R980" s="566"/>
      <c r="S980" s="566"/>
      <c r="T980" s="566"/>
      <c r="U980" s="566"/>
      <c r="V980" s="566"/>
      <c r="W980" s="566"/>
      <c r="X980" s="566"/>
      <c r="Y980" s="566"/>
      <c r="Z980" s="566"/>
      <c r="AA980" s="566"/>
      <c r="AB980" s="566"/>
      <c r="AC980" s="566"/>
      <c r="AD980" s="566"/>
      <c r="AE980" s="566"/>
      <c r="AF980" s="566"/>
      <c r="AG980" s="566"/>
      <c r="AH980" s="566"/>
      <c r="AI980" s="566"/>
      <c r="AJ980" s="566"/>
      <c r="AK980" s="566"/>
      <c r="AL980" s="566"/>
      <c r="AM980" s="566"/>
      <c r="AN980" s="566"/>
      <c r="AO980" s="566"/>
    </row>
    <row r="981" spans="2:41" x14ac:dyDescent="0.15">
      <c r="B981" s="567">
        <v>37</v>
      </c>
      <c r="C981" s="566"/>
      <c r="D981" s="566"/>
      <c r="E981" s="566"/>
      <c r="F981" s="566"/>
      <c r="G981" s="566"/>
      <c r="H981" s="566"/>
      <c r="I981" s="566"/>
      <c r="J981" s="566"/>
      <c r="K981" s="566"/>
      <c r="L981" s="566"/>
      <c r="M981" s="566"/>
      <c r="N981" s="566"/>
      <c r="O981" s="566"/>
      <c r="P981" s="566"/>
      <c r="Q981" s="566"/>
      <c r="R981" s="566"/>
      <c r="S981" s="566"/>
      <c r="T981" s="566"/>
      <c r="U981" s="566"/>
      <c r="V981" s="566"/>
      <c r="W981" s="566"/>
      <c r="X981" s="566"/>
      <c r="Y981" s="566"/>
      <c r="Z981" s="566"/>
      <c r="AA981" s="566"/>
      <c r="AB981" s="566"/>
      <c r="AC981" s="566"/>
      <c r="AD981" s="566"/>
      <c r="AE981" s="566"/>
      <c r="AF981" s="566"/>
      <c r="AG981" s="566"/>
      <c r="AH981" s="566"/>
      <c r="AI981" s="566"/>
      <c r="AJ981" s="566"/>
      <c r="AK981" s="566"/>
      <c r="AL981" s="566"/>
      <c r="AM981" s="566"/>
      <c r="AN981" s="566"/>
      <c r="AO981" s="566"/>
    </row>
    <row r="982" spans="2:41" x14ac:dyDescent="0.15">
      <c r="B982" s="567">
        <v>38</v>
      </c>
      <c r="C982" s="566"/>
      <c r="D982" s="566"/>
      <c r="E982" s="566"/>
      <c r="F982" s="566"/>
      <c r="G982" s="566"/>
      <c r="H982" s="566"/>
      <c r="I982" s="566"/>
      <c r="J982" s="566"/>
      <c r="K982" s="566"/>
      <c r="L982" s="566"/>
      <c r="M982" s="566"/>
      <c r="N982" s="566"/>
      <c r="O982" s="566"/>
      <c r="P982" s="566"/>
      <c r="Q982" s="566"/>
      <c r="R982" s="566"/>
      <c r="S982" s="566"/>
      <c r="T982" s="566"/>
      <c r="U982" s="566"/>
      <c r="V982" s="566"/>
      <c r="W982" s="566"/>
      <c r="X982" s="566"/>
      <c r="Y982" s="566"/>
      <c r="Z982" s="566"/>
      <c r="AA982" s="566"/>
      <c r="AB982" s="566"/>
      <c r="AC982" s="566"/>
      <c r="AD982" s="566"/>
      <c r="AE982" s="566"/>
      <c r="AF982" s="566"/>
      <c r="AG982" s="566"/>
      <c r="AH982" s="566"/>
      <c r="AI982" s="566"/>
      <c r="AJ982" s="566"/>
      <c r="AK982" s="566"/>
      <c r="AL982" s="566"/>
      <c r="AM982" s="566"/>
      <c r="AN982" s="566"/>
      <c r="AO982" s="566"/>
    </row>
    <row r="983" spans="2:41" x14ac:dyDescent="0.15">
      <c r="B983" s="567">
        <v>39</v>
      </c>
      <c r="C983" s="566"/>
      <c r="D983" s="566"/>
      <c r="E983" s="566"/>
      <c r="F983" s="566"/>
      <c r="G983" s="566"/>
      <c r="H983" s="566"/>
      <c r="I983" s="566"/>
      <c r="J983" s="566"/>
      <c r="K983" s="566"/>
      <c r="L983" s="566"/>
      <c r="M983" s="566"/>
      <c r="N983" s="566"/>
      <c r="O983" s="566"/>
      <c r="P983" s="566"/>
      <c r="Q983" s="566"/>
      <c r="R983" s="566"/>
      <c r="S983" s="566"/>
      <c r="T983" s="566"/>
      <c r="U983" s="566"/>
      <c r="V983" s="566"/>
      <c r="W983" s="566"/>
      <c r="X983" s="566"/>
      <c r="Y983" s="566"/>
      <c r="Z983" s="566"/>
      <c r="AA983" s="566"/>
      <c r="AB983" s="566"/>
      <c r="AC983" s="566"/>
      <c r="AD983" s="566"/>
      <c r="AE983" s="566"/>
      <c r="AF983" s="566"/>
      <c r="AG983" s="566"/>
      <c r="AH983" s="566"/>
      <c r="AI983" s="566"/>
      <c r="AJ983" s="566"/>
      <c r="AK983" s="566"/>
      <c r="AL983" s="566"/>
      <c r="AM983" s="566"/>
      <c r="AN983" s="566"/>
      <c r="AO983" s="566"/>
    </row>
    <row r="984" spans="2:41" x14ac:dyDescent="0.15">
      <c r="B984" s="568">
        <v>40</v>
      </c>
      <c r="C984" s="566"/>
      <c r="D984" s="566"/>
      <c r="E984" s="566"/>
      <c r="F984" s="566"/>
      <c r="G984" s="566"/>
      <c r="H984" s="566"/>
      <c r="I984" s="566"/>
      <c r="J984" s="566"/>
      <c r="K984" s="566"/>
      <c r="L984" s="566"/>
      <c r="M984" s="566"/>
      <c r="N984" s="566"/>
      <c r="O984" s="566"/>
      <c r="P984" s="566"/>
      <c r="Q984" s="566"/>
      <c r="R984" s="566"/>
      <c r="S984" s="566"/>
      <c r="T984" s="566"/>
      <c r="U984" s="566"/>
      <c r="V984" s="566"/>
      <c r="W984" s="566"/>
      <c r="X984" s="566"/>
      <c r="Y984" s="566"/>
      <c r="Z984" s="566"/>
      <c r="AA984" s="566"/>
      <c r="AB984" s="566"/>
      <c r="AC984" s="566"/>
      <c r="AD984" s="566"/>
      <c r="AE984" s="566"/>
      <c r="AF984" s="566"/>
      <c r="AG984" s="566"/>
      <c r="AH984" s="566"/>
      <c r="AI984" s="566"/>
      <c r="AJ984" s="566"/>
      <c r="AK984" s="566"/>
      <c r="AL984" s="566"/>
      <c r="AM984" s="566"/>
      <c r="AN984" s="566"/>
      <c r="AO984" s="566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1BDD6-4FD7-4788-AB2D-43E00E8A15BB}">
  <sheetPr codeName="Taul28"/>
  <dimension ref="B5:G33"/>
  <sheetViews>
    <sheetView zoomScale="97" zoomScaleNormal="97" workbookViewId="0">
      <selection activeCell="D4" sqref="D4:I4"/>
    </sheetView>
  </sheetViews>
  <sheetFormatPr baseColWidth="10" defaultColWidth="8.83203125" defaultRowHeight="13" x14ac:dyDescent="0.15"/>
  <cols>
    <col min="2" max="2" width="12.5" customWidth="1"/>
    <col min="4" max="4" width="194.1640625" customWidth="1"/>
    <col min="5" max="5" width="10.33203125" customWidth="1"/>
    <col min="6" max="6" width="12.33203125" customWidth="1"/>
    <col min="7" max="7" width="42.1640625" customWidth="1"/>
  </cols>
  <sheetData>
    <row r="5" spans="2:7" x14ac:dyDescent="0.15">
      <c r="B5" s="74" t="s">
        <v>105</v>
      </c>
      <c r="C5" s="74" t="s">
        <v>106</v>
      </c>
      <c r="D5" s="74" t="s">
        <v>107</v>
      </c>
      <c r="E5" s="74" t="s">
        <v>108</v>
      </c>
      <c r="F5" s="95" t="s">
        <v>109</v>
      </c>
      <c r="G5" s="95" t="s">
        <v>125</v>
      </c>
    </row>
    <row r="6" spans="2:7" x14ac:dyDescent="0.15">
      <c r="B6" s="97">
        <v>43454</v>
      </c>
      <c r="C6" s="12" t="s">
        <v>111</v>
      </c>
      <c r="D6" s="12" t="s">
        <v>112</v>
      </c>
      <c r="E6" s="12" t="s">
        <v>110</v>
      </c>
      <c r="F6" s="109">
        <v>43454</v>
      </c>
      <c r="G6" s="34" t="s">
        <v>126</v>
      </c>
    </row>
    <row r="7" spans="2:7" x14ac:dyDescent="0.15">
      <c r="B7" s="97">
        <v>43476</v>
      </c>
      <c r="C7" s="105" t="s">
        <v>128</v>
      </c>
      <c r="D7" s="12" t="s">
        <v>122</v>
      </c>
      <c r="E7" s="12" t="s">
        <v>110</v>
      </c>
      <c r="F7" s="106">
        <v>43476</v>
      </c>
      <c r="G7" s="96" t="s">
        <v>127</v>
      </c>
    </row>
    <row r="8" spans="2:7" x14ac:dyDescent="0.15">
      <c r="B8" s="97">
        <v>43497</v>
      </c>
      <c r="C8" s="12" t="s">
        <v>137</v>
      </c>
      <c r="D8" s="12" t="s">
        <v>138</v>
      </c>
      <c r="E8" s="12" t="s">
        <v>110</v>
      </c>
      <c r="F8" s="106">
        <v>43497</v>
      </c>
      <c r="G8" s="96" t="s">
        <v>201</v>
      </c>
    </row>
    <row r="9" spans="2:7" x14ac:dyDescent="0.15">
      <c r="B9" s="97">
        <v>43514</v>
      </c>
      <c r="C9" s="105" t="s">
        <v>198</v>
      </c>
      <c r="D9" s="12" t="s">
        <v>200</v>
      </c>
      <c r="E9" s="12" t="s">
        <v>110</v>
      </c>
      <c r="F9" s="106">
        <v>43514</v>
      </c>
      <c r="G9" s="96" t="s">
        <v>204</v>
      </c>
    </row>
    <row r="10" spans="2:7" x14ac:dyDescent="0.15">
      <c r="B10" s="97">
        <v>43521</v>
      </c>
      <c r="C10" s="12" t="s">
        <v>295</v>
      </c>
      <c r="D10" s="12" t="s">
        <v>296</v>
      </c>
      <c r="E10" s="12" t="s">
        <v>110</v>
      </c>
      <c r="F10" s="106">
        <v>43521</v>
      </c>
      <c r="G10" s="96" t="s">
        <v>340</v>
      </c>
    </row>
    <row r="11" spans="2:7" x14ac:dyDescent="0.15">
      <c r="B11" s="97">
        <v>43542</v>
      </c>
      <c r="C11" s="105" t="s">
        <v>343</v>
      </c>
      <c r="D11" s="12" t="s">
        <v>345</v>
      </c>
      <c r="E11" s="12" t="s">
        <v>110</v>
      </c>
      <c r="F11" s="106">
        <v>43542</v>
      </c>
      <c r="G11" s="96" t="s">
        <v>344</v>
      </c>
    </row>
    <row r="12" spans="2:7" x14ac:dyDescent="0.15">
      <c r="B12" s="97">
        <v>43630</v>
      </c>
      <c r="C12" s="105" t="s">
        <v>349</v>
      </c>
      <c r="D12" s="12" t="s">
        <v>350</v>
      </c>
      <c r="E12" s="12" t="s">
        <v>110</v>
      </c>
      <c r="F12" s="106">
        <v>43630</v>
      </c>
      <c r="G12" s="96" t="s">
        <v>351</v>
      </c>
    </row>
    <row r="13" spans="2:7" x14ac:dyDescent="0.15">
      <c r="B13" s="97">
        <v>43634</v>
      </c>
      <c r="C13" s="105" t="s">
        <v>353</v>
      </c>
      <c r="D13" s="12" t="s">
        <v>352</v>
      </c>
      <c r="E13" s="12" t="s">
        <v>110</v>
      </c>
      <c r="F13" s="106">
        <v>43634</v>
      </c>
      <c r="G13" s="96" t="s">
        <v>354</v>
      </c>
    </row>
    <row r="14" spans="2:7" x14ac:dyDescent="0.15">
      <c r="B14" s="97">
        <v>43787</v>
      </c>
      <c r="C14" s="105" t="s">
        <v>356</v>
      </c>
      <c r="D14" s="12" t="s">
        <v>357</v>
      </c>
      <c r="E14" s="12" t="s">
        <v>110</v>
      </c>
      <c r="F14" s="106">
        <v>43788</v>
      </c>
      <c r="G14" s="96" t="s">
        <v>361</v>
      </c>
    </row>
    <row r="15" spans="2:7" x14ac:dyDescent="0.15">
      <c r="B15" s="97">
        <v>43802</v>
      </c>
      <c r="C15" s="105" t="s">
        <v>396</v>
      </c>
      <c r="D15" s="12" t="s">
        <v>397</v>
      </c>
      <c r="E15" s="12" t="s">
        <v>110</v>
      </c>
      <c r="F15" s="106">
        <v>43803</v>
      </c>
      <c r="G15" s="96" t="s">
        <v>398</v>
      </c>
    </row>
    <row r="16" spans="2:7" x14ac:dyDescent="0.15">
      <c r="B16" s="97">
        <v>44223</v>
      </c>
      <c r="C16" s="105" t="s">
        <v>399</v>
      </c>
      <c r="D16" s="12" t="s">
        <v>400</v>
      </c>
      <c r="E16" s="12" t="s">
        <v>110</v>
      </c>
      <c r="F16" s="106">
        <v>44245</v>
      </c>
      <c r="G16" s="96" t="s">
        <v>401</v>
      </c>
    </row>
    <row r="17" spans="2:7" x14ac:dyDescent="0.15">
      <c r="B17" s="97">
        <v>44330</v>
      </c>
      <c r="C17" s="12" t="s">
        <v>403</v>
      </c>
      <c r="D17" s="12" t="s">
        <v>551</v>
      </c>
      <c r="E17" s="12" t="s">
        <v>110</v>
      </c>
      <c r="F17" s="106">
        <v>44330</v>
      </c>
      <c r="G17" s="96" t="s">
        <v>552</v>
      </c>
    </row>
    <row r="18" spans="2:7" x14ac:dyDescent="0.15">
      <c r="B18" s="97">
        <v>44344</v>
      </c>
      <c r="C18" s="105" t="s">
        <v>558</v>
      </c>
      <c r="D18" s="12" t="s">
        <v>559</v>
      </c>
      <c r="E18" s="12" t="s">
        <v>573</v>
      </c>
      <c r="F18" s="106">
        <v>44344</v>
      </c>
      <c r="G18" s="96" t="s">
        <v>574</v>
      </c>
    </row>
    <row r="19" spans="2:7" x14ac:dyDescent="0.15">
      <c r="B19" s="97">
        <v>44358</v>
      </c>
      <c r="C19" s="105" t="s">
        <v>579</v>
      </c>
      <c r="D19" s="12" t="s">
        <v>580</v>
      </c>
      <c r="E19" s="12" t="s">
        <v>110</v>
      </c>
      <c r="F19" s="106">
        <v>44358</v>
      </c>
      <c r="G19" s="96" t="s">
        <v>581</v>
      </c>
    </row>
    <row r="20" spans="2:7" x14ac:dyDescent="0.15">
      <c r="B20" s="97">
        <v>44396</v>
      </c>
      <c r="C20" s="105" t="s">
        <v>582</v>
      </c>
      <c r="D20" s="12" t="s">
        <v>583</v>
      </c>
      <c r="E20" s="12" t="s">
        <v>110</v>
      </c>
      <c r="F20" s="106" t="s">
        <v>608</v>
      </c>
      <c r="G20" s="96" t="s">
        <v>584</v>
      </c>
    </row>
    <row r="21" spans="2:7" x14ac:dyDescent="0.15">
      <c r="B21" s="97">
        <v>44402</v>
      </c>
      <c r="C21" s="105" t="s">
        <v>617</v>
      </c>
      <c r="D21" s="12" t="s">
        <v>618</v>
      </c>
      <c r="E21" s="12" t="s">
        <v>110</v>
      </c>
      <c r="F21" s="106">
        <v>44402</v>
      </c>
      <c r="G21" s="96" t="s">
        <v>619</v>
      </c>
    </row>
    <row r="22" spans="2:7" x14ac:dyDescent="0.15">
      <c r="B22" s="97">
        <v>44991</v>
      </c>
      <c r="C22" s="105" t="s">
        <v>969</v>
      </c>
      <c r="D22" s="12" t="s">
        <v>970</v>
      </c>
      <c r="E22" s="12" t="s">
        <v>971</v>
      </c>
      <c r="F22" s="106">
        <v>44991</v>
      </c>
      <c r="G22" s="96" t="s">
        <v>985</v>
      </c>
    </row>
    <row r="23" spans="2:7" x14ac:dyDescent="0.15">
      <c r="B23" s="97">
        <v>44994</v>
      </c>
      <c r="C23" s="588" t="s">
        <v>1097</v>
      </c>
      <c r="D23" s="12" t="s">
        <v>1098</v>
      </c>
      <c r="E23" s="12" t="s">
        <v>1096</v>
      </c>
      <c r="F23" s="106">
        <v>44998</v>
      </c>
      <c r="G23" s="96" t="s">
        <v>1099</v>
      </c>
    </row>
    <row r="24" spans="2:7" x14ac:dyDescent="0.15">
      <c r="B24" s="97">
        <v>45232</v>
      </c>
      <c r="C24" s="105" t="s">
        <v>1154</v>
      </c>
      <c r="D24" s="12" t="s">
        <v>1196</v>
      </c>
      <c r="E24" s="12" t="s">
        <v>110</v>
      </c>
      <c r="F24" s="106">
        <v>45233</v>
      </c>
      <c r="G24" s="96" t="s">
        <v>1158</v>
      </c>
    </row>
    <row r="25" spans="2:7" x14ac:dyDescent="0.15">
      <c r="B25" s="97">
        <v>45240</v>
      </c>
      <c r="C25" s="105" t="s">
        <v>1197</v>
      </c>
      <c r="D25" s="12" t="s">
        <v>1199</v>
      </c>
      <c r="E25" s="12" t="s">
        <v>110</v>
      </c>
      <c r="F25" s="106">
        <v>45240</v>
      </c>
      <c r="G25" s="96" t="s">
        <v>1198</v>
      </c>
    </row>
    <row r="26" spans="2:7" x14ac:dyDescent="0.15">
      <c r="B26" s="97">
        <v>45335</v>
      </c>
      <c r="C26" s="105" t="s">
        <v>1204</v>
      </c>
      <c r="D26" s="12" t="s">
        <v>1203</v>
      </c>
      <c r="E26" s="12" t="s">
        <v>110</v>
      </c>
      <c r="F26" s="106">
        <v>45335</v>
      </c>
      <c r="G26" s="96" t="s">
        <v>1208</v>
      </c>
    </row>
    <row r="27" spans="2:7" x14ac:dyDescent="0.15">
      <c r="B27" s="97">
        <v>45365</v>
      </c>
      <c r="C27" s="105" t="s">
        <v>1281</v>
      </c>
      <c r="D27" s="12" t="s">
        <v>1333</v>
      </c>
      <c r="E27" s="12" t="s">
        <v>110</v>
      </c>
      <c r="F27" s="106">
        <v>45365</v>
      </c>
      <c r="G27" s="96" t="s">
        <v>1996</v>
      </c>
    </row>
    <row r="28" spans="2:7" x14ac:dyDescent="0.15">
      <c r="B28" s="97">
        <v>45545</v>
      </c>
      <c r="C28" s="390">
        <v>6.1</v>
      </c>
      <c r="D28" s="12" t="s">
        <v>2000</v>
      </c>
      <c r="E28" s="12" t="s">
        <v>110</v>
      </c>
      <c r="F28" s="106">
        <v>45545</v>
      </c>
      <c r="G28" s="96" t="s">
        <v>1997</v>
      </c>
    </row>
    <row r="29" spans="2:7" x14ac:dyDescent="0.15">
      <c r="B29" s="12"/>
      <c r="C29" s="12"/>
      <c r="D29" s="12"/>
      <c r="E29" s="12"/>
      <c r="F29" s="96"/>
      <c r="G29" s="96"/>
    </row>
    <row r="30" spans="2:7" x14ac:dyDescent="0.15">
      <c r="B30" s="12"/>
      <c r="C30" s="12"/>
      <c r="D30" s="12"/>
      <c r="E30" s="12"/>
      <c r="F30" s="96"/>
      <c r="G30" s="96"/>
    </row>
    <row r="31" spans="2:7" x14ac:dyDescent="0.15">
      <c r="B31" s="12"/>
      <c r="C31" s="12"/>
      <c r="D31" s="12"/>
      <c r="E31" s="12"/>
      <c r="F31" s="96"/>
      <c r="G31" s="96"/>
    </row>
    <row r="32" spans="2:7" x14ac:dyDescent="0.15">
      <c r="B32" s="12"/>
      <c r="C32" s="12"/>
      <c r="D32" s="12"/>
      <c r="E32" s="12"/>
      <c r="F32" s="96"/>
      <c r="G32" s="96"/>
    </row>
    <row r="33" spans="2:7" x14ac:dyDescent="0.15">
      <c r="B33" s="14"/>
      <c r="C33" s="14"/>
      <c r="D33" s="14"/>
      <c r="E33" s="14"/>
      <c r="F33" s="46"/>
      <c r="G33" s="4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98080-C569-44B6-89D4-C5D21809B169}">
  <sheetPr codeName="Taul3"/>
  <dimension ref="C4:T37"/>
  <sheetViews>
    <sheetView workbookViewId="0">
      <selection activeCell="K13" sqref="K13"/>
    </sheetView>
  </sheetViews>
  <sheetFormatPr baseColWidth="10" defaultColWidth="8.83203125" defaultRowHeight="13" x14ac:dyDescent="0.15"/>
  <cols>
    <col min="3" max="3" width="29.5" customWidth="1"/>
    <col min="6" max="6" width="10.5" bestFit="1" customWidth="1"/>
  </cols>
  <sheetData>
    <row r="4" spans="3:20" ht="14" x14ac:dyDescent="0.15">
      <c r="C4" s="83" t="s">
        <v>149</v>
      </c>
    </row>
    <row r="5" spans="3:20" x14ac:dyDescent="0.15">
      <c r="L5" s="74" t="s">
        <v>166</v>
      </c>
      <c r="M5" s="75">
        <f>(F31*F32*F29*I7*I11^(I17)*F37)-(M23*N23*F33^(-1)*F28*(F30-(F29*I11*I7*(1-F34))))+Q23</f>
        <v>-39.949203661680336</v>
      </c>
      <c r="Q5" t="s">
        <v>176</v>
      </c>
      <c r="S5" s="3">
        <f>M5</f>
        <v>-39.949203661680336</v>
      </c>
      <c r="T5" s="104" t="str">
        <f>INDEX(Q7:Q14,IF($S$5&lt;S7,1,MATCH(S5,S7:S14)+1))</f>
        <v>A</v>
      </c>
    </row>
    <row r="6" spans="3:20" x14ac:dyDescent="0.15">
      <c r="C6" s="2" t="s">
        <v>145</v>
      </c>
      <c r="D6" s="2"/>
      <c r="E6" s="2"/>
      <c r="F6" s="2" t="s">
        <v>150</v>
      </c>
      <c r="H6" t="s">
        <v>21</v>
      </c>
      <c r="I6" t="s">
        <v>150</v>
      </c>
    </row>
    <row r="7" spans="3:20" x14ac:dyDescent="0.15">
      <c r="C7" t="str" cm="1">
        <f t="array" ref="C7">INDEX(Kirjasto!D4:K125,59,Kirjasto!B4)</f>
        <v>Ducted units</v>
      </c>
      <c r="F7">
        <v>1.1000000000000001</v>
      </c>
      <c r="H7">
        <v>1</v>
      </c>
      <c r="I7">
        <f>INDEX(F7:F8,H7)</f>
        <v>1.1000000000000001</v>
      </c>
      <c r="Q7" s="10" t="s">
        <v>177</v>
      </c>
      <c r="R7" s="22"/>
      <c r="S7" s="22">
        <v>-42</v>
      </c>
      <c r="T7" s="21">
        <f>IF($AC$89&lt;S7,1,0)</f>
        <v>0</v>
      </c>
    </row>
    <row r="8" spans="3:20" x14ac:dyDescent="0.15">
      <c r="C8" t="str" cm="1">
        <f t="array" ref="C8">INDEX(Kirjasto!D4:K125,60,Kirjasto!B4)</f>
        <v>Non-ducted units</v>
      </c>
      <c r="F8">
        <v>1.21</v>
      </c>
      <c r="Q8" s="74" t="s">
        <v>4</v>
      </c>
      <c r="R8" s="128">
        <v>-42</v>
      </c>
      <c r="S8" s="128">
        <v>-34</v>
      </c>
      <c r="T8" s="75">
        <f>IF(AND($AC$89&gt;=R8,$AC$89&lt;S8),1,0)</f>
        <v>0</v>
      </c>
    </row>
    <row r="9" spans="3:20" x14ac:dyDescent="0.15">
      <c r="Q9" s="12" t="s">
        <v>5</v>
      </c>
      <c r="R9">
        <v>-34</v>
      </c>
      <c r="S9">
        <v>-26</v>
      </c>
      <c r="T9" s="24">
        <f t="shared" ref="T9:T13" si="0">IF(AND($AC$89&gt;=R9,$AC$89&lt;S9),1,0)</f>
        <v>0</v>
      </c>
    </row>
    <row r="10" spans="3:20" x14ac:dyDescent="0.15">
      <c r="C10" s="2" t="s">
        <v>146</v>
      </c>
      <c r="D10" s="2"/>
      <c r="E10" s="2"/>
      <c r="F10" s="2" t="s">
        <v>151</v>
      </c>
      <c r="H10" t="s">
        <v>21</v>
      </c>
      <c r="I10" t="s">
        <v>151</v>
      </c>
      <c r="Q10" s="74" t="s">
        <v>6</v>
      </c>
      <c r="R10" s="128">
        <v>-26</v>
      </c>
      <c r="S10" s="128">
        <v>-23</v>
      </c>
      <c r="T10" s="75">
        <f t="shared" si="0"/>
        <v>0</v>
      </c>
    </row>
    <row r="11" spans="3:20" x14ac:dyDescent="0.15">
      <c r="C11" t="str" cm="1">
        <f t="array" ref="C11">INDEX(Kirjasto!D4:K125,61,Kirjasto!B4)</f>
        <v>Manual control (no DCV)</v>
      </c>
      <c r="F11">
        <v>1</v>
      </c>
      <c r="H11">
        <v>4</v>
      </c>
      <c r="I11">
        <f>INDEX(F11:F14,H11)</f>
        <v>0.65</v>
      </c>
      <c r="Q11" s="12" t="s">
        <v>178</v>
      </c>
      <c r="R11">
        <v>-23</v>
      </c>
      <c r="S11">
        <v>-20</v>
      </c>
      <c r="T11" s="24">
        <f t="shared" si="0"/>
        <v>0</v>
      </c>
    </row>
    <row r="12" spans="3:20" x14ac:dyDescent="0.15">
      <c r="C12" t="str" cm="1">
        <f t="array" ref="C12">INDEX(Kirjasto!D4:K125,62,Kirjasto!B4)</f>
        <v>Clock control (no DCV)</v>
      </c>
      <c r="F12">
        <v>0.95</v>
      </c>
      <c r="Q12" s="74" t="s">
        <v>179</v>
      </c>
      <c r="R12" s="128">
        <v>-20</v>
      </c>
      <c r="S12" s="128">
        <v>-10</v>
      </c>
      <c r="T12" s="75">
        <f t="shared" si="0"/>
        <v>0</v>
      </c>
    </row>
    <row r="13" spans="3:20" x14ac:dyDescent="0.15">
      <c r="C13" t="str" cm="1">
        <f t="array" ref="C13">INDEX(Kirjasto!D4:K125,63,Kirjasto!B4)</f>
        <v>Central demand control</v>
      </c>
      <c r="F13">
        <v>0.85</v>
      </c>
      <c r="Q13" s="74" t="s">
        <v>180</v>
      </c>
      <c r="R13" s="128">
        <v>-10</v>
      </c>
      <c r="S13" s="128">
        <v>0</v>
      </c>
      <c r="T13" s="75">
        <f t="shared" si="0"/>
        <v>0</v>
      </c>
    </row>
    <row r="14" spans="3:20" x14ac:dyDescent="0.15">
      <c r="C14" t="str" cm="1">
        <f t="array" ref="C14">INDEX(Kirjasto!D4:K125,64,Kirjasto!B4)</f>
        <v>Local demand control</v>
      </c>
      <c r="F14">
        <v>0.65</v>
      </c>
      <c r="Q14" s="14" t="s">
        <v>181</v>
      </c>
      <c r="R14" s="25">
        <v>0</v>
      </c>
      <c r="S14" s="25"/>
      <c r="T14" s="26">
        <f>IF($AC$89&gt;R14,1,0)</f>
        <v>0</v>
      </c>
    </row>
    <row r="16" spans="3:20" x14ac:dyDescent="0.15">
      <c r="C16" s="2" t="s">
        <v>147</v>
      </c>
      <c r="F16" s="2" t="s">
        <v>152</v>
      </c>
      <c r="H16" t="s">
        <v>21</v>
      </c>
      <c r="I16" t="s">
        <v>152</v>
      </c>
    </row>
    <row r="17" spans="3:17" x14ac:dyDescent="0.15">
      <c r="C17" s="39" t="str" cm="1">
        <f t="array" ref="C17">INDEX(Kirjasto!D4:K125,65,Kirjasto!B4)</f>
        <v>On/off &amp; single speed</v>
      </c>
      <c r="F17">
        <v>1</v>
      </c>
      <c r="H17">
        <v>4</v>
      </c>
      <c r="I17">
        <f>INDEX(F17:F20,H17)</f>
        <v>2</v>
      </c>
    </row>
    <row r="18" spans="3:17" x14ac:dyDescent="0.15">
      <c r="C18" t="str" cm="1">
        <f t="array" ref="C18">INDEX(Kirjasto!D4:K125,66,Kirjasto!B4)</f>
        <v>2-speed</v>
      </c>
      <c r="F18">
        <v>1.2</v>
      </c>
    </row>
    <row r="19" spans="3:17" x14ac:dyDescent="0.15">
      <c r="C19" t="str" cm="1">
        <f t="array" ref="C19">INDEX(Kirjasto!D4:K125,67,Kirjasto!B4)</f>
        <v>Multi-speed</v>
      </c>
      <c r="F19">
        <v>1.5</v>
      </c>
    </row>
    <row r="20" spans="3:17" x14ac:dyDescent="0.15">
      <c r="C20" t="str" cm="1">
        <f t="array" ref="C20">INDEX(Kirjasto!D4:K125,68,Kirjasto!B4)</f>
        <v>Variable-speed</v>
      </c>
      <c r="F20">
        <v>2</v>
      </c>
    </row>
    <row r="22" spans="3:17" ht="17" x14ac:dyDescent="0.25">
      <c r="C22" s="2" t="s">
        <v>148</v>
      </c>
      <c r="F22" s="104" t="s">
        <v>167</v>
      </c>
      <c r="G22" s="104" t="s">
        <v>168</v>
      </c>
      <c r="H22" s="104" t="s">
        <v>169</v>
      </c>
      <c r="I22" s="104" t="s">
        <v>170</v>
      </c>
      <c r="J22" s="104" t="s">
        <v>171</v>
      </c>
      <c r="L22" s="4" t="s">
        <v>21</v>
      </c>
      <c r="M22" s="4" t="s">
        <v>156</v>
      </c>
      <c r="N22" s="4" t="s">
        <v>164</v>
      </c>
      <c r="O22" s="4" t="s">
        <v>157</v>
      </c>
      <c r="P22" s="4" t="s">
        <v>165</v>
      </c>
      <c r="Q22" s="4" t="s">
        <v>158</v>
      </c>
    </row>
    <row r="23" spans="3:17" x14ac:dyDescent="0.15">
      <c r="C23" t="str" cm="1">
        <f t="array" ref="C23">INDEX(Kirjasto!D4:K125,69,Kirjasto!B4)</f>
        <v>Cold</v>
      </c>
      <c r="F23" s="4">
        <v>6552</v>
      </c>
      <c r="G23" s="4">
        <v>14.5</v>
      </c>
      <c r="H23" s="4">
        <v>1003</v>
      </c>
      <c r="I23" s="4">
        <v>5.2</v>
      </c>
      <c r="J23" s="4">
        <v>5.82</v>
      </c>
      <c r="L23">
        <v>2</v>
      </c>
      <c r="M23">
        <f>INDEX(F23:F25,$L$23)</f>
        <v>5112</v>
      </c>
      <c r="N23">
        <f t="shared" ref="N23:Q23" si="1">INDEX(G23:G25,$L$23)</f>
        <v>9.5</v>
      </c>
      <c r="O23">
        <f t="shared" si="1"/>
        <v>168</v>
      </c>
      <c r="P23">
        <f t="shared" si="1"/>
        <v>2.4</v>
      </c>
      <c r="Q23">
        <f t="shared" si="1"/>
        <v>0.45</v>
      </c>
    </row>
    <row r="24" spans="3:17" x14ac:dyDescent="0.15">
      <c r="C24" t="str" cm="1">
        <f t="array" ref="C24">INDEX(Kirjasto!D4:K125,70,Kirjasto!B4)</f>
        <v>Average</v>
      </c>
      <c r="F24" s="4">
        <v>5112</v>
      </c>
      <c r="G24" s="4">
        <v>9.5</v>
      </c>
      <c r="H24" s="4">
        <v>168</v>
      </c>
      <c r="I24" s="4">
        <v>2.4</v>
      </c>
      <c r="J24" s="4">
        <v>0.45</v>
      </c>
    </row>
    <row r="25" spans="3:17" x14ac:dyDescent="0.15">
      <c r="C25" t="str" cm="1">
        <f t="array" ref="C25">INDEX(Kirjasto!D4:K125,71,Kirjasto!B4)</f>
        <v>Warm</v>
      </c>
      <c r="F25" s="4">
        <v>4392</v>
      </c>
      <c r="G25" s="4">
        <v>5</v>
      </c>
      <c r="H25" s="4"/>
      <c r="I25" s="4"/>
      <c r="J25" s="4"/>
    </row>
    <row r="27" spans="3:17" x14ac:dyDescent="0.15">
      <c r="C27" s="2" t="s">
        <v>153</v>
      </c>
      <c r="F27" s="2" t="s">
        <v>155</v>
      </c>
    </row>
    <row r="28" spans="3:17" ht="17" x14ac:dyDescent="0.25">
      <c r="C28" t="s">
        <v>159</v>
      </c>
      <c r="F28">
        <v>3.4400000000000001E-4</v>
      </c>
    </row>
    <row r="29" spans="3:17" ht="17" x14ac:dyDescent="0.25">
      <c r="C29" t="s">
        <v>160</v>
      </c>
      <c r="F29">
        <v>1.3</v>
      </c>
    </row>
    <row r="30" spans="3:17" ht="17" x14ac:dyDescent="0.25">
      <c r="C30" t="s">
        <v>161</v>
      </c>
      <c r="F30">
        <v>2.2000000000000002</v>
      </c>
    </row>
    <row r="31" spans="3:17" ht="17" x14ac:dyDescent="0.25">
      <c r="C31" t="s">
        <v>162</v>
      </c>
      <c r="F31">
        <v>8760</v>
      </c>
    </row>
    <row r="32" spans="3:17" x14ac:dyDescent="0.15">
      <c r="C32" t="s">
        <v>154</v>
      </c>
      <c r="F32">
        <v>2.5</v>
      </c>
    </row>
    <row r="33" spans="3:7" ht="17" x14ac:dyDescent="0.25">
      <c r="C33" t="s">
        <v>163</v>
      </c>
      <c r="F33">
        <v>0.75</v>
      </c>
    </row>
    <row r="34" spans="3:7" x14ac:dyDescent="0.15">
      <c r="C34" t="s">
        <v>172</v>
      </c>
      <c r="F34" s="259">
        <f>Tulokset!O35</f>
        <v>0.79500000000000004</v>
      </c>
    </row>
    <row r="36" spans="3:7" x14ac:dyDescent="0.15">
      <c r="C36" t="s">
        <v>75</v>
      </c>
      <c r="F36" s="125">
        <f>Tulokset!N37</f>
        <v>1.1864630512155652</v>
      </c>
      <c r="G36" t="s">
        <v>175</v>
      </c>
    </row>
    <row r="37" spans="3:7" x14ac:dyDescent="0.15">
      <c r="C37" s="2" t="s">
        <v>173</v>
      </c>
      <c r="F37" s="124">
        <f>F36/(60*60)</f>
        <v>3.2957306978210143E-4</v>
      </c>
      <c r="G37" t="s">
        <v>174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AC0DC-381D-4228-A261-77E1560C760A}">
  <sheetPr codeName="Taul27"/>
  <dimension ref="E1:AQ170"/>
  <sheetViews>
    <sheetView zoomScale="85" zoomScaleNormal="85" workbookViewId="0">
      <selection activeCell="D4" sqref="D4:I4"/>
    </sheetView>
  </sheetViews>
  <sheetFormatPr baseColWidth="10" defaultColWidth="8.83203125" defaultRowHeight="13" x14ac:dyDescent="0.15"/>
  <cols>
    <col min="5" max="5" width="18.1640625" customWidth="1"/>
    <col min="6" max="6" width="11.83203125" bestFit="1" customWidth="1"/>
    <col min="7" max="7" width="14.33203125" customWidth="1"/>
    <col min="8" max="8" width="13.83203125" customWidth="1"/>
    <col min="9" max="9" width="14.5" bestFit="1" customWidth="1"/>
    <col min="12" max="12" width="13.6640625" bestFit="1" customWidth="1"/>
    <col min="14" max="14" width="11.6640625" customWidth="1"/>
    <col min="24" max="25" width="15.5" customWidth="1"/>
    <col min="26" max="26" width="27.83203125" customWidth="1"/>
    <col min="27" max="27" width="15.5" customWidth="1"/>
    <col min="29" max="32" width="16.83203125" customWidth="1"/>
    <col min="34" max="34" width="12.1640625" bestFit="1" customWidth="1"/>
    <col min="35" max="36" width="9.33203125" bestFit="1" customWidth="1"/>
  </cols>
  <sheetData>
    <row r="1" spans="5:43" ht="14" thickBot="1" x14ac:dyDescent="0.2"/>
    <row r="2" spans="5:43" ht="15" thickBot="1" x14ac:dyDescent="0.2">
      <c r="M2" t="s">
        <v>1266</v>
      </c>
      <c r="Q2" s="696" t="s">
        <v>1256</v>
      </c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  <c r="AO2" s="230"/>
      <c r="AP2" s="230"/>
      <c r="AQ2" s="231"/>
    </row>
    <row r="3" spans="5:43" ht="15" x14ac:dyDescent="0.2">
      <c r="E3" s="228" t="s">
        <v>273</v>
      </c>
      <c r="F3" s="229">
        <f>Tulokset!C6</f>
        <v>1</v>
      </c>
      <c r="G3" s="230"/>
      <c r="H3" s="228" t="s">
        <v>274</v>
      </c>
      <c r="I3" s="230" t="s">
        <v>275</v>
      </c>
      <c r="J3" s="230" t="s">
        <v>276</v>
      </c>
      <c r="K3" s="230" t="s">
        <v>277</v>
      </c>
      <c r="L3" s="230" t="s">
        <v>278</v>
      </c>
      <c r="M3" s="230" t="s">
        <v>279</v>
      </c>
      <c r="N3" s="95" t="s">
        <v>1257</v>
      </c>
      <c r="O3" s="95" t="s">
        <v>1260</v>
      </c>
      <c r="Q3" s="697" t="s">
        <v>1210</v>
      </c>
      <c r="R3" s="674"/>
      <c r="S3" s="674"/>
      <c r="T3" s="674"/>
      <c r="U3" s="675"/>
      <c r="V3" s="12"/>
      <c r="X3" s="698"/>
      <c r="Y3" s="699" t="s">
        <v>1211</v>
      </c>
      <c r="Z3" s="698"/>
      <c r="AA3" s="698"/>
      <c r="AC3" s="699" t="s">
        <v>1212</v>
      </c>
      <c r="AD3" s="698"/>
      <c r="AE3" s="698"/>
      <c r="AF3" s="698"/>
      <c r="AG3" s="698"/>
      <c r="AH3" s="698"/>
      <c r="AI3" s="698"/>
      <c r="AJ3" s="698"/>
      <c r="AK3" s="698"/>
      <c r="AL3" s="698"/>
      <c r="AM3" s="698"/>
      <c r="AN3" s="698"/>
      <c r="AO3" s="698"/>
      <c r="AP3" s="698"/>
      <c r="AQ3" s="700"/>
    </row>
    <row r="4" spans="5:43" ht="21" x14ac:dyDescent="0.25">
      <c r="E4" s="232" t="s">
        <v>280</v>
      </c>
      <c r="F4" s="233">
        <f>INDEX(L4:L9,$F$3)</f>
        <v>-6.5</v>
      </c>
      <c r="H4" s="234">
        <v>1</v>
      </c>
      <c r="I4" t="s">
        <v>281</v>
      </c>
      <c r="J4" s="4">
        <v>18</v>
      </c>
      <c r="K4" s="4">
        <v>100</v>
      </c>
      <c r="L4" s="235">
        <v>-6.5</v>
      </c>
      <c r="M4" s="243">
        <v>0.79500000000000004</v>
      </c>
      <c r="N4" s="734">
        <f>IF($F$3=H4,$G$38,"-")</f>
        <v>0.79584313725490186</v>
      </c>
      <c r="O4" s="734">
        <f>IF($F$3=H4,$G$39,"-")</f>
        <v>0.80890196078431376</v>
      </c>
      <c r="Q4" s="701"/>
      <c r="R4" s="286"/>
      <c r="S4" s="286"/>
      <c r="T4" s="286"/>
      <c r="U4" s="662"/>
      <c r="V4" s="12"/>
      <c r="X4" s="698"/>
      <c r="Y4" s="702"/>
      <c r="Z4" s="698"/>
      <c r="AA4" s="698"/>
      <c r="AC4" s="702" t="s">
        <v>1213</v>
      </c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700"/>
    </row>
    <row r="5" spans="5:43" x14ac:dyDescent="0.15">
      <c r="E5" s="232" t="s">
        <v>276</v>
      </c>
      <c r="F5" s="233">
        <f>INDEX(J4:J9,$F$3)</f>
        <v>18</v>
      </c>
      <c r="H5" s="234">
        <v>2</v>
      </c>
      <c r="I5" t="s">
        <v>282</v>
      </c>
      <c r="J5" s="4">
        <v>18</v>
      </c>
      <c r="K5" s="4">
        <v>100</v>
      </c>
      <c r="L5" s="235">
        <v>-6.5</v>
      </c>
      <c r="M5" s="243">
        <v>0.82499999999999996</v>
      </c>
      <c r="N5" s="735" t="str">
        <f t="shared" ref="N5:N9" si="0">IF($F$3=H5,$G$38,"-")</f>
        <v>-</v>
      </c>
      <c r="O5" s="735" t="str">
        <f t="shared" ref="O5:O9" si="1">IF($F$3=H5,$G$39,"-")</f>
        <v>-</v>
      </c>
      <c r="Q5" s="701"/>
      <c r="R5" s="286"/>
      <c r="S5" s="286"/>
      <c r="T5" s="286"/>
      <c r="U5" s="662"/>
      <c r="V5" s="12"/>
      <c r="X5" s="703"/>
      <c r="Y5" s="703"/>
      <c r="Z5" s="703"/>
      <c r="AA5" s="703"/>
      <c r="AC5" s="703"/>
      <c r="AD5" s="703"/>
      <c r="AE5" s="703"/>
      <c r="AF5" s="703"/>
      <c r="AG5" s="703"/>
      <c r="AH5" s="703"/>
      <c r="AI5" s="703"/>
      <c r="AJ5" s="703"/>
      <c r="AK5" s="703"/>
      <c r="AL5" s="703"/>
      <c r="AM5" s="703"/>
      <c r="AN5" s="703"/>
      <c r="AO5" s="703"/>
      <c r="AP5" s="703"/>
      <c r="AQ5" s="704"/>
    </row>
    <row r="6" spans="5:43" ht="15" x14ac:dyDescent="0.2">
      <c r="E6" s="232" t="s">
        <v>277</v>
      </c>
      <c r="F6" s="233">
        <f>INDEX(K4:K9,$F$3)</f>
        <v>100</v>
      </c>
      <c r="H6" s="234">
        <v>3</v>
      </c>
      <c r="I6" t="s">
        <v>283</v>
      </c>
      <c r="J6" s="4">
        <v>30</v>
      </c>
      <c r="K6" s="4">
        <v>170</v>
      </c>
      <c r="L6" s="235">
        <v>-6.5</v>
      </c>
      <c r="M6" s="243">
        <v>0.79500000000000004</v>
      </c>
      <c r="N6" s="734" t="str">
        <f t="shared" si="0"/>
        <v>-</v>
      </c>
      <c r="O6" s="734" t="str">
        <f t="shared" si="1"/>
        <v>-</v>
      </c>
      <c r="Q6" s="701"/>
      <c r="R6" s="705" t="s">
        <v>1214</v>
      </c>
      <c r="S6" s="286"/>
      <c r="T6" s="286"/>
      <c r="U6" s="662"/>
      <c r="V6" s="12"/>
      <c r="X6" s="703"/>
      <c r="Y6" s="706"/>
      <c r="Z6" s="703"/>
      <c r="AA6" s="703"/>
      <c r="AC6" s="703"/>
      <c r="AD6" s="703"/>
      <c r="AE6" s="703"/>
      <c r="AF6" s="703"/>
      <c r="AG6" s="703"/>
      <c r="AH6" s="703"/>
      <c r="AI6" s="703"/>
      <c r="AJ6" s="703"/>
      <c r="AK6" s="703"/>
      <c r="AL6" s="703"/>
      <c r="AM6" s="703"/>
      <c r="AN6" s="703"/>
      <c r="AO6" s="703"/>
      <c r="AP6" s="703"/>
      <c r="AQ6" s="704"/>
    </row>
    <row r="7" spans="5:43" ht="14" thickBot="1" x14ac:dyDescent="0.2">
      <c r="E7" s="236" t="s">
        <v>284</v>
      </c>
      <c r="F7" s="237">
        <f>INDEX(M4:M9,$F$3)</f>
        <v>0.79500000000000004</v>
      </c>
      <c r="G7" s="238"/>
      <c r="H7" s="369">
        <v>4</v>
      </c>
      <c r="I7" s="238" t="s">
        <v>562</v>
      </c>
      <c r="J7" s="395">
        <v>30</v>
      </c>
      <c r="K7" s="395">
        <v>260</v>
      </c>
      <c r="L7" s="427">
        <v>-6.5</v>
      </c>
      <c r="M7" s="237">
        <f>AH122</f>
        <v>0.79500000000000004</v>
      </c>
      <c r="N7" s="734" t="str">
        <f t="shared" si="0"/>
        <v>-</v>
      </c>
      <c r="O7" s="734" t="str">
        <f t="shared" si="1"/>
        <v>-</v>
      </c>
      <c r="Q7" s="701"/>
      <c r="R7" s="286"/>
      <c r="S7" s="286"/>
      <c r="T7" s="286"/>
      <c r="U7" s="662"/>
      <c r="V7" s="12"/>
      <c r="X7" s="703"/>
      <c r="Y7" s="703"/>
      <c r="Z7" s="703"/>
      <c r="AA7" s="703"/>
      <c r="AC7" s="703"/>
      <c r="AD7" s="703"/>
      <c r="AE7" s="703"/>
      <c r="AF7" s="703"/>
      <c r="AG7" s="703"/>
      <c r="AH7" s="703"/>
      <c r="AI7" s="703"/>
      <c r="AJ7" s="703"/>
      <c r="AK7" s="703"/>
      <c r="AL7" s="703"/>
      <c r="AM7" s="703"/>
      <c r="AN7" s="703"/>
      <c r="AO7" s="703"/>
      <c r="AP7" s="703"/>
      <c r="AQ7" s="704"/>
    </row>
    <row r="8" spans="5:43" ht="16" thickBot="1" x14ac:dyDescent="0.25">
      <c r="H8" s="369">
        <v>5</v>
      </c>
      <c r="I8" s="238" t="s">
        <v>563</v>
      </c>
      <c r="J8" s="428">
        <v>30</v>
      </c>
      <c r="K8" s="428">
        <v>360</v>
      </c>
      <c r="L8" s="429">
        <f>L7</f>
        <v>-6.5</v>
      </c>
      <c r="M8" s="673">
        <f>M7</f>
        <v>0.79500000000000004</v>
      </c>
      <c r="N8" s="734" t="str">
        <f t="shared" si="0"/>
        <v>-</v>
      </c>
      <c r="O8" s="734" t="str">
        <f t="shared" si="1"/>
        <v>-</v>
      </c>
      <c r="Q8" s="701"/>
      <c r="R8" s="286"/>
      <c r="S8" s="286"/>
      <c r="T8" s="286"/>
      <c r="U8" s="662"/>
      <c r="V8" s="12"/>
      <c r="X8" s="703"/>
      <c r="Y8" s="703"/>
      <c r="Z8" s="703"/>
      <c r="AA8" s="703"/>
      <c r="AC8" s="703"/>
      <c r="AD8" s="703"/>
      <c r="AE8" s="707"/>
      <c r="AF8" s="708"/>
      <c r="AG8" s="703"/>
      <c r="AH8" s="703"/>
      <c r="AI8" s="703"/>
      <c r="AJ8" s="703"/>
      <c r="AK8" s="703"/>
      <c r="AL8" s="703"/>
      <c r="AM8" s="703"/>
      <c r="AN8" s="703"/>
      <c r="AO8" s="703"/>
      <c r="AP8" s="703"/>
      <c r="AQ8" s="704"/>
    </row>
    <row r="9" spans="5:43" ht="16" thickBot="1" x14ac:dyDescent="0.25">
      <c r="F9" s="233"/>
      <c r="G9" s="233"/>
      <c r="H9" s="369">
        <v>6</v>
      </c>
      <c r="I9" s="429" t="s">
        <v>588</v>
      </c>
      <c r="J9" s="428">
        <v>20</v>
      </c>
      <c r="K9" s="428">
        <v>130</v>
      </c>
      <c r="L9" s="370">
        <v>-6.5</v>
      </c>
      <c r="M9" s="673">
        <v>0.77500000000000002</v>
      </c>
      <c r="N9" s="734" t="str">
        <f t="shared" si="0"/>
        <v>-</v>
      </c>
      <c r="O9" s="734" t="str">
        <f t="shared" si="1"/>
        <v>-</v>
      </c>
      <c r="Q9" s="701"/>
      <c r="R9" s="286" t="s">
        <v>1215</v>
      </c>
      <c r="S9" s="286"/>
      <c r="T9" s="286"/>
      <c r="U9" s="662"/>
      <c r="V9" s="12"/>
      <c r="X9" s="922" t="s">
        <v>115</v>
      </c>
      <c r="Y9" s="922"/>
      <c r="Z9" s="922"/>
      <c r="AA9" s="923"/>
      <c r="AB9" s="709"/>
      <c r="AC9" s="710"/>
      <c r="AD9" s="710"/>
      <c r="AE9" s="707"/>
      <c r="AF9" s="711"/>
      <c r="AG9" s="710"/>
      <c r="AH9" s="703"/>
      <c r="AI9" s="703"/>
      <c r="AJ9" s="703"/>
      <c r="AK9" s="703"/>
      <c r="AL9" s="703"/>
      <c r="AM9" s="703"/>
      <c r="AN9" s="703"/>
      <c r="AO9" s="703"/>
      <c r="AP9" s="703"/>
      <c r="AQ9" s="704"/>
    </row>
    <row r="10" spans="5:43" ht="48" x14ac:dyDescent="0.2">
      <c r="F10" s="233"/>
      <c r="G10" s="233"/>
      <c r="H10" s="233"/>
      <c r="I10" s="233"/>
      <c r="J10" s="4"/>
      <c r="K10" s="4"/>
      <c r="L10" s="235"/>
      <c r="M10" s="243"/>
      <c r="Q10" s="701"/>
      <c r="R10" s="286" t="s">
        <v>1216</v>
      </c>
      <c r="S10" s="286"/>
      <c r="T10" s="286"/>
      <c r="U10" s="662"/>
      <c r="V10" s="12"/>
      <c r="X10" s="676" t="s">
        <v>1217</v>
      </c>
      <c r="Y10" s="677" t="s">
        <v>1218</v>
      </c>
      <c r="Z10" s="678" t="s">
        <v>1219</v>
      </c>
      <c r="AA10" s="679"/>
      <c r="AB10" s="712"/>
      <c r="AC10" s="679" t="s">
        <v>1220</v>
      </c>
      <c r="AD10" s="679" t="s">
        <v>1221</v>
      </c>
      <c r="AE10" s="679" t="s">
        <v>1222</v>
      </c>
      <c r="AF10" s="679" t="s">
        <v>1223</v>
      </c>
      <c r="AG10" s="713"/>
      <c r="AH10" s="703"/>
      <c r="AI10" s="703"/>
      <c r="AJ10" s="703"/>
      <c r="AK10" s="703"/>
      <c r="AL10" s="703"/>
      <c r="AM10" s="703"/>
      <c r="AN10" s="703"/>
      <c r="AO10" s="703"/>
      <c r="AP10" s="703"/>
      <c r="AQ10" s="704"/>
    </row>
    <row r="11" spans="5:43" ht="15" x14ac:dyDescent="0.2">
      <c r="F11" s="233"/>
      <c r="G11" s="233"/>
      <c r="H11" s="233"/>
      <c r="I11" s="233"/>
      <c r="J11" s="4"/>
      <c r="K11" s="4"/>
      <c r="L11" s="235"/>
      <c r="M11" s="243"/>
      <c r="Q11" s="701"/>
      <c r="R11" s="286" t="s">
        <v>1224</v>
      </c>
      <c r="S11" s="286"/>
      <c r="T11" s="286"/>
      <c r="U11" s="662"/>
      <c r="V11" s="12"/>
      <c r="X11" s="680"/>
      <c r="Y11" s="681">
        <v>25</v>
      </c>
      <c r="Z11" s="681"/>
      <c r="AA11" s="682"/>
      <c r="AB11" s="714"/>
      <c r="AC11" s="683">
        <v>18</v>
      </c>
      <c r="AD11" s="684">
        <v>79.5</v>
      </c>
      <c r="AE11" s="682">
        <v>79.8</v>
      </c>
      <c r="AF11" s="682">
        <v>81.75</v>
      </c>
      <c r="AG11" s="715"/>
      <c r="AH11" s="703"/>
      <c r="AI11" s="703"/>
      <c r="AJ11" s="703"/>
      <c r="AK11" s="703"/>
      <c r="AL11" s="703"/>
      <c r="AM11" s="703"/>
      <c r="AN11" s="703"/>
      <c r="AO11" s="703"/>
      <c r="AP11" s="703"/>
      <c r="AQ11" s="704"/>
    </row>
    <row r="12" spans="5:43" ht="15" x14ac:dyDescent="0.2">
      <c r="E12" s="2" t="s">
        <v>1251</v>
      </c>
      <c r="F12" s="233"/>
      <c r="G12" s="233"/>
      <c r="H12" s="233"/>
      <c r="I12" s="233"/>
      <c r="J12" s="4"/>
      <c r="K12" s="4"/>
      <c r="L12" s="235"/>
      <c r="M12" s="243"/>
      <c r="Q12" s="701"/>
      <c r="R12" s="286" t="s">
        <v>1225</v>
      </c>
      <c r="S12" s="286"/>
      <c r="T12" s="286"/>
      <c r="U12" s="662"/>
      <c r="V12" s="12"/>
      <c r="X12" s="680">
        <v>3.4</v>
      </c>
      <c r="Y12" s="681">
        <v>34</v>
      </c>
      <c r="Z12" s="681">
        <v>80.099999999999994</v>
      </c>
      <c r="AA12" s="682"/>
      <c r="AB12" s="714"/>
      <c r="AC12" s="683">
        <v>28</v>
      </c>
      <c r="AD12" s="684">
        <v>79.5</v>
      </c>
      <c r="AE12" s="682">
        <v>79.7</v>
      </c>
      <c r="AF12" s="682">
        <v>81.5</v>
      </c>
      <c r="AG12" s="715"/>
      <c r="AH12" s="703"/>
      <c r="AI12" s="703"/>
      <c r="AJ12" s="703"/>
      <c r="AK12" s="703"/>
      <c r="AL12" s="703"/>
      <c r="AM12" s="703"/>
      <c r="AN12" s="703"/>
      <c r="AO12" s="703"/>
      <c r="AP12" s="703"/>
      <c r="AQ12" s="704"/>
    </row>
    <row r="13" spans="5:43" ht="15" x14ac:dyDescent="0.2">
      <c r="E13" t="s">
        <v>1252</v>
      </c>
      <c r="F13" s="233"/>
      <c r="G13" s="233"/>
      <c r="H13" s="233"/>
      <c r="I13" s="233"/>
      <c r="J13" s="4"/>
      <c r="K13" s="4"/>
      <c r="L13" s="235"/>
      <c r="M13" s="243"/>
      <c r="Q13" s="701"/>
      <c r="R13" s="286"/>
      <c r="S13" s="286"/>
      <c r="T13" s="286"/>
      <c r="U13" s="662"/>
      <c r="V13" s="12"/>
      <c r="X13" s="680">
        <v>3.8</v>
      </c>
      <c r="Y13" s="681">
        <v>43</v>
      </c>
      <c r="Z13" s="681">
        <v>80.7</v>
      </c>
      <c r="AA13" s="682"/>
      <c r="AB13" s="714"/>
      <c r="AC13" s="683">
        <v>36</v>
      </c>
      <c r="AD13" s="684">
        <v>79.5</v>
      </c>
      <c r="AE13" s="682">
        <v>79.599999999999994</v>
      </c>
      <c r="AF13" s="682">
        <v>81</v>
      </c>
      <c r="AG13" s="715"/>
      <c r="AH13" s="703"/>
      <c r="AI13" s="703"/>
      <c r="AJ13" s="703"/>
      <c r="AK13" s="703"/>
      <c r="AL13" s="703"/>
      <c r="AM13" s="703"/>
      <c r="AN13" s="703"/>
      <c r="AO13" s="703"/>
      <c r="AP13" s="703"/>
      <c r="AQ13" s="704"/>
    </row>
    <row r="14" spans="5:43" ht="15" x14ac:dyDescent="0.2">
      <c r="E14" t="s">
        <v>1253</v>
      </c>
      <c r="F14" s="233"/>
      <c r="G14" s="233"/>
      <c r="H14" s="233"/>
      <c r="I14" s="233"/>
      <c r="J14" s="4"/>
      <c r="K14" s="4"/>
      <c r="L14" s="235"/>
      <c r="M14" s="243"/>
      <c r="Q14" s="701"/>
      <c r="R14" s="286" t="s">
        <v>1226</v>
      </c>
      <c r="S14" s="286"/>
      <c r="T14" s="286"/>
      <c r="U14" s="662"/>
      <c r="V14" s="12"/>
      <c r="X14" s="680">
        <v>5.9</v>
      </c>
      <c r="Y14" s="681">
        <v>74</v>
      </c>
      <c r="Z14" s="681">
        <v>81.5</v>
      </c>
      <c r="AA14" s="682"/>
      <c r="AB14" s="714"/>
      <c r="AC14" s="683">
        <v>61.5</v>
      </c>
      <c r="AD14" s="684">
        <v>79.5</v>
      </c>
      <c r="AE14" s="682">
        <v>79.5</v>
      </c>
      <c r="AF14" s="682">
        <v>80.3</v>
      </c>
      <c r="AG14" s="715"/>
      <c r="AH14" s="703"/>
      <c r="AI14" s="703"/>
      <c r="AJ14" s="703"/>
      <c r="AK14" s="703"/>
      <c r="AL14" s="703"/>
      <c r="AM14" s="703"/>
      <c r="AN14" s="703"/>
      <c r="AO14" s="703"/>
      <c r="AP14" s="703"/>
      <c r="AQ14" s="704"/>
    </row>
    <row r="15" spans="5:43" ht="15" x14ac:dyDescent="0.2">
      <c r="E15" t="s">
        <v>1255</v>
      </c>
      <c r="F15" s="233"/>
      <c r="G15" s="233"/>
      <c r="H15" s="233"/>
      <c r="I15" s="233"/>
      <c r="J15" s="4"/>
      <c r="K15" s="4"/>
      <c r="L15" s="235"/>
      <c r="M15" s="243"/>
      <c r="Q15" s="701"/>
      <c r="R15" s="286"/>
      <c r="S15" s="286" t="s">
        <v>1227</v>
      </c>
      <c r="T15" s="286" t="s">
        <v>1228</v>
      </c>
      <c r="U15" s="662"/>
      <c r="V15" s="12"/>
      <c r="X15" s="680">
        <v>9.1999999999999993</v>
      </c>
      <c r="Y15" s="681">
        <v>108</v>
      </c>
      <c r="Z15" s="681">
        <v>83.1</v>
      </c>
      <c r="AA15" s="682"/>
      <c r="AB15" s="714"/>
      <c r="AC15" s="683">
        <v>90</v>
      </c>
      <c r="AD15" s="684">
        <v>79.5</v>
      </c>
      <c r="AE15" s="682">
        <v>78.5</v>
      </c>
      <c r="AF15" s="682">
        <v>79.5</v>
      </c>
      <c r="AG15" s="715"/>
      <c r="AH15" s="703"/>
      <c r="AI15" s="703"/>
      <c r="AJ15" s="703"/>
      <c r="AK15" s="703"/>
      <c r="AL15" s="703"/>
      <c r="AM15" s="703"/>
      <c r="AN15" s="703"/>
      <c r="AO15" s="703"/>
      <c r="AP15" s="703"/>
      <c r="AQ15" s="704"/>
    </row>
    <row r="16" spans="5:43" ht="15" x14ac:dyDescent="0.2">
      <c r="F16" s="233"/>
      <c r="G16" s="233"/>
      <c r="H16" s="233"/>
      <c r="I16" s="233"/>
      <c r="J16" s="4"/>
      <c r="K16" s="4"/>
      <c r="L16" s="235"/>
      <c r="M16" s="243"/>
      <c r="Q16" s="701"/>
      <c r="R16" s="286"/>
      <c r="S16" s="286">
        <v>50</v>
      </c>
      <c r="T16" s="286">
        <v>79.5</v>
      </c>
      <c r="U16" s="662"/>
      <c r="V16" s="12"/>
      <c r="X16" s="680"/>
      <c r="Y16" s="681">
        <v>130</v>
      </c>
      <c r="Z16" s="681"/>
      <c r="AA16" s="682"/>
      <c r="AB16" s="714"/>
      <c r="AC16" s="683">
        <v>130</v>
      </c>
      <c r="AD16" s="684">
        <v>79.5</v>
      </c>
      <c r="AE16" s="682">
        <v>78</v>
      </c>
      <c r="AF16" s="682">
        <v>78.2</v>
      </c>
      <c r="AG16" s="715"/>
      <c r="AH16" s="703"/>
      <c r="AI16" s="703"/>
      <c r="AJ16" s="703"/>
      <c r="AK16" s="703"/>
      <c r="AL16" s="703"/>
      <c r="AM16" s="703"/>
      <c r="AN16" s="703"/>
      <c r="AO16" s="703"/>
      <c r="AP16" s="703"/>
      <c r="AQ16" s="704"/>
    </row>
    <row r="17" spans="5:43" x14ac:dyDescent="0.15">
      <c r="F17" s="233"/>
      <c r="G17" s="233"/>
      <c r="H17" s="233"/>
      <c r="I17" s="233"/>
      <c r="J17" s="4"/>
      <c r="K17" s="4"/>
      <c r="L17" s="235"/>
      <c r="M17" s="243"/>
      <c r="Q17" s="701"/>
      <c r="R17" s="286"/>
      <c r="S17" s="286">
        <v>100</v>
      </c>
      <c r="T17" s="286">
        <v>79.5</v>
      </c>
      <c r="U17" s="662"/>
      <c r="V17" s="12"/>
      <c r="X17" s="703"/>
      <c r="Y17" s="703"/>
      <c r="Z17" s="703"/>
      <c r="AA17" s="703"/>
      <c r="AC17" s="731">
        <f>AC16</f>
        <v>130</v>
      </c>
      <c r="AD17" s="731">
        <f t="shared" ref="AD17:AF17" si="2">AD16</f>
        <v>79.5</v>
      </c>
      <c r="AE17" s="731">
        <f t="shared" si="2"/>
        <v>78</v>
      </c>
      <c r="AF17" s="731">
        <f t="shared" si="2"/>
        <v>78.2</v>
      </c>
      <c r="AG17" s="703"/>
      <c r="AH17" s="703"/>
      <c r="AI17" s="703"/>
      <c r="AJ17" s="703"/>
      <c r="AK17" s="703"/>
      <c r="AL17" s="703"/>
      <c r="AM17" s="703"/>
      <c r="AN17" s="703"/>
      <c r="AO17" s="703"/>
      <c r="AP17" s="703"/>
      <c r="AQ17" s="704"/>
    </row>
    <row r="18" spans="5:43" x14ac:dyDescent="0.15">
      <c r="F18" s="233"/>
      <c r="G18" s="233"/>
      <c r="H18" s="233"/>
      <c r="I18" s="233"/>
      <c r="J18" s="4"/>
      <c r="K18" s="4"/>
      <c r="L18" s="235"/>
      <c r="M18" s="243"/>
      <c r="Q18" s="701"/>
      <c r="R18" s="286"/>
      <c r="S18" s="286">
        <v>150</v>
      </c>
      <c r="T18" s="286">
        <v>79.5</v>
      </c>
      <c r="U18" s="662"/>
      <c r="V18" s="12"/>
      <c r="AQ18" s="364"/>
    </row>
    <row r="19" spans="5:43" x14ac:dyDescent="0.15">
      <c r="F19" s="233"/>
      <c r="G19" s="233"/>
      <c r="H19" s="233"/>
      <c r="I19" s="233"/>
      <c r="J19" s="4"/>
      <c r="K19" s="4"/>
      <c r="L19" s="235"/>
      <c r="M19" s="243"/>
      <c r="Q19" s="701"/>
      <c r="R19" s="286"/>
      <c r="S19" s="286">
        <v>200</v>
      </c>
      <c r="T19" s="286">
        <v>79.3</v>
      </c>
      <c r="U19" s="662"/>
      <c r="V19" s="12"/>
      <c r="X19" s="703"/>
      <c r="Y19" s="703"/>
      <c r="Z19" s="703"/>
      <c r="AA19" s="703"/>
      <c r="AC19" s="703"/>
      <c r="AD19" s="703"/>
      <c r="AE19" s="703"/>
      <c r="AF19" s="703"/>
      <c r="AG19" s="703"/>
      <c r="AH19" s="703"/>
      <c r="AI19" s="703"/>
      <c r="AJ19" s="703"/>
      <c r="AK19" s="703"/>
      <c r="AL19" s="703"/>
      <c r="AM19" s="703"/>
      <c r="AN19" s="703"/>
      <c r="AO19" s="703"/>
      <c r="AP19" s="703"/>
      <c r="AQ19" s="704"/>
    </row>
    <row r="20" spans="5:43" x14ac:dyDescent="0.15">
      <c r="E20" s="2" t="s">
        <v>1261</v>
      </c>
      <c r="F20" s="233">
        <f>F3</f>
        <v>1</v>
      </c>
      <c r="G20" s="241" t="str" cm="1">
        <f t="array" ref="G20">INDEX(I4:I9,F20)</f>
        <v>Airfi model 60</v>
      </c>
      <c r="H20" s="233"/>
      <c r="I20" s="233"/>
      <c r="J20" s="4"/>
      <c r="K20" s="4"/>
      <c r="L20" s="235"/>
      <c r="M20" s="243"/>
      <c r="Q20" s="701"/>
      <c r="R20" s="286"/>
      <c r="S20" s="286">
        <v>250</v>
      </c>
      <c r="T20" s="286">
        <v>78.2</v>
      </c>
      <c r="U20" s="662"/>
      <c r="V20" s="12"/>
      <c r="X20" s="703"/>
      <c r="Y20" s="703"/>
      <c r="Z20" s="703"/>
      <c r="AA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703"/>
      <c r="AP20" s="703"/>
      <c r="AQ20" s="704"/>
    </row>
    <row r="21" spans="5:43" x14ac:dyDescent="0.15">
      <c r="G21" s="233"/>
      <c r="H21" s="233"/>
      <c r="I21" s="233"/>
      <c r="J21" s="4"/>
      <c r="K21" s="4"/>
      <c r="L21" s="235"/>
      <c r="M21" s="243"/>
      <c r="Q21" s="701"/>
      <c r="R21" s="286"/>
      <c r="S21" s="286">
        <v>300</v>
      </c>
      <c r="T21" s="286">
        <v>77.5</v>
      </c>
      <c r="U21" s="662"/>
      <c r="V21" s="12"/>
      <c r="X21" s="703"/>
      <c r="Y21" s="703"/>
      <c r="Z21" s="703"/>
      <c r="AA21" s="703"/>
      <c r="AC21" s="703"/>
      <c r="AD21" s="703"/>
      <c r="AE21" s="703"/>
      <c r="AF21" s="703"/>
      <c r="AG21" s="703"/>
      <c r="AH21" s="703"/>
      <c r="AI21" s="703"/>
      <c r="AJ21" s="703"/>
      <c r="AK21" s="703"/>
      <c r="AL21" s="703"/>
      <c r="AM21" s="703"/>
      <c r="AN21" s="703"/>
      <c r="AO21" s="703"/>
      <c r="AP21" s="703"/>
      <c r="AQ21" s="704"/>
    </row>
    <row r="22" spans="5:43" ht="15" x14ac:dyDescent="0.2">
      <c r="F22" s="233"/>
      <c r="G22" s="233"/>
      <c r="H22" s="233"/>
      <c r="I22" s="233"/>
      <c r="J22" s="4"/>
      <c r="K22" s="4"/>
      <c r="L22" s="235"/>
      <c r="M22" s="243"/>
      <c r="Q22" s="701"/>
      <c r="R22" s="286"/>
      <c r="S22" s="286">
        <v>350</v>
      </c>
      <c r="T22" s="286">
        <v>77.3</v>
      </c>
      <c r="U22" s="662"/>
      <c r="V22" s="12"/>
      <c r="X22" s="922" t="s">
        <v>116</v>
      </c>
      <c r="Y22" s="922"/>
      <c r="Z22" s="922"/>
      <c r="AA22" s="923"/>
      <c r="AB22" s="709"/>
      <c r="AC22" s="703"/>
      <c r="AD22" s="703"/>
      <c r="AE22" s="703"/>
      <c r="AF22" s="703"/>
      <c r="AG22" s="710"/>
      <c r="AH22" s="703"/>
      <c r="AI22" s="703"/>
      <c r="AJ22" s="703"/>
      <c r="AK22" s="703"/>
      <c r="AL22" s="703"/>
      <c r="AM22" s="703"/>
      <c r="AN22" s="703"/>
      <c r="AO22" s="703"/>
      <c r="AP22" s="703"/>
      <c r="AQ22" s="704"/>
    </row>
    <row r="23" spans="5:43" ht="48" x14ac:dyDescent="0.2">
      <c r="E23" s="560" t="s">
        <v>1259</v>
      </c>
      <c r="F23" s="560" t="s">
        <v>1262</v>
      </c>
      <c r="G23" s="560" t="s">
        <v>1258</v>
      </c>
      <c r="H23" s="630" t="s">
        <v>1260</v>
      </c>
      <c r="I23" s="233"/>
      <c r="J23" s="4"/>
      <c r="K23" s="4"/>
      <c r="L23" s="235"/>
      <c r="M23" s="243"/>
      <c r="Q23" s="701"/>
      <c r="R23" s="286"/>
      <c r="S23" s="286"/>
      <c r="T23" s="286"/>
      <c r="U23" s="662"/>
      <c r="V23" s="12"/>
      <c r="X23" s="676" t="s">
        <v>1217</v>
      </c>
      <c r="Y23" s="677" t="s">
        <v>1218</v>
      </c>
      <c r="Z23" s="678" t="s">
        <v>1229</v>
      </c>
      <c r="AA23" s="679"/>
      <c r="AB23" s="712"/>
      <c r="AC23" s="679" t="s">
        <v>1220</v>
      </c>
      <c r="AD23" s="679" t="s">
        <v>1230</v>
      </c>
      <c r="AE23" s="679" t="s">
        <v>1231</v>
      </c>
      <c r="AF23" s="679" t="s">
        <v>1232</v>
      </c>
      <c r="AG23" s="713"/>
      <c r="AH23" s="703"/>
      <c r="AI23" s="703"/>
      <c r="AJ23" s="703"/>
      <c r="AK23" s="703"/>
      <c r="AL23" s="703"/>
      <c r="AM23" s="703"/>
      <c r="AN23" s="703"/>
      <c r="AO23" s="703"/>
      <c r="AP23" s="703"/>
      <c r="AQ23" s="704"/>
    </row>
    <row r="24" spans="5:43" ht="15" x14ac:dyDescent="0.2">
      <c r="E24" s="344">
        <f>IF($F$20=1,AC11,IF($F$20=2,AC24,IF($F$20=3,AC48,IF(OR($F$20=4,$F$20=5),AC60,AC36))))</f>
        <v>18</v>
      </c>
      <c r="F24" s="344">
        <f t="shared" ref="F24:H30" si="3">IF($F$20=1,AD11,IF($F$20=2,AD24,IF($F$20=3,AD48,IF(OR($F$20=4,$F$20=5),AD60,AD36))))</f>
        <v>79.5</v>
      </c>
      <c r="G24" s="344">
        <f t="shared" si="3"/>
        <v>79.8</v>
      </c>
      <c r="H24" s="344">
        <f>IF($F$20=1,AF11,IF($F$20=2,AF24,IF($F$20=3,AF48,IF(OR($F$20=4,$F$20=5),AF60,AF36))))</f>
        <v>81.75</v>
      </c>
      <c r="I24" s="233"/>
      <c r="J24" s="4"/>
      <c r="K24" s="4"/>
      <c r="L24" s="235"/>
      <c r="M24" s="243"/>
      <c r="Q24" s="701"/>
      <c r="R24" s="286"/>
      <c r="S24" s="286"/>
      <c r="T24" s="286"/>
      <c r="U24" s="662"/>
      <c r="V24" s="12"/>
      <c r="X24" s="680"/>
      <c r="Y24" s="681">
        <v>25</v>
      </c>
      <c r="Z24" s="681"/>
      <c r="AA24" s="682"/>
      <c r="AB24" s="714"/>
      <c r="AC24" s="683">
        <v>18</v>
      </c>
      <c r="AD24" s="684">
        <v>82.5</v>
      </c>
      <c r="AE24" s="682">
        <v>82.5</v>
      </c>
      <c r="AF24" s="682">
        <v>84</v>
      </c>
      <c r="AG24" s="715"/>
      <c r="AH24" s="703"/>
      <c r="AI24" s="703"/>
      <c r="AJ24" s="703"/>
      <c r="AK24" s="703"/>
      <c r="AL24" s="703"/>
      <c r="AM24" s="703"/>
      <c r="AN24" s="703"/>
      <c r="AO24" s="703"/>
      <c r="AP24" s="703"/>
      <c r="AQ24" s="704"/>
    </row>
    <row r="25" spans="5:43" ht="15" x14ac:dyDescent="0.2">
      <c r="E25" s="344">
        <f t="shared" ref="E25:E30" si="4">IF($F$20=1,AC12,IF($F$20=2,AC25,IF($F$20=3,AC49,IF(OR($F$20=4,$F$20=5),AC61,AC37))))</f>
        <v>28</v>
      </c>
      <c r="F25" s="344">
        <f t="shared" si="3"/>
        <v>79.5</v>
      </c>
      <c r="G25" s="344">
        <f t="shared" si="3"/>
        <v>79.7</v>
      </c>
      <c r="H25" s="344">
        <f t="shared" si="3"/>
        <v>81.5</v>
      </c>
      <c r="I25" s="233"/>
      <c r="J25" s="4"/>
      <c r="K25" s="4"/>
      <c r="L25" s="235"/>
      <c r="M25" s="243"/>
      <c r="Q25" s="701"/>
      <c r="R25" s="286"/>
      <c r="S25" s="286"/>
      <c r="T25" s="286"/>
      <c r="U25" s="662"/>
      <c r="V25" s="12"/>
      <c r="X25" s="680">
        <v>3.6</v>
      </c>
      <c r="Y25" s="681">
        <v>34</v>
      </c>
      <c r="Z25" s="681">
        <v>82.7</v>
      </c>
      <c r="AA25" s="682"/>
      <c r="AB25" s="714"/>
      <c r="AC25" s="683">
        <v>29</v>
      </c>
      <c r="AD25" s="684">
        <v>82.5</v>
      </c>
      <c r="AE25" s="682">
        <v>82.5</v>
      </c>
      <c r="AF25" s="682">
        <v>83.7</v>
      </c>
      <c r="AG25" s="715"/>
      <c r="AH25" s="703"/>
      <c r="AI25" s="703"/>
      <c r="AJ25" s="703"/>
      <c r="AK25" s="703"/>
      <c r="AL25" s="703"/>
      <c r="AM25" s="703"/>
      <c r="AN25" s="703"/>
      <c r="AO25" s="703"/>
      <c r="AP25" s="703"/>
      <c r="AQ25" s="704"/>
    </row>
    <row r="26" spans="5:43" ht="15" x14ac:dyDescent="0.2">
      <c r="E26" s="344">
        <f t="shared" si="4"/>
        <v>36</v>
      </c>
      <c r="F26" s="344">
        <f t="shared" si="3"/>
        <v>79.5</v>
      </c>
      <c r="G26" s="344">
        <f t="shared" si="3"/>
        <v>79.599999999999994</v>
      </c>
      <c r="H26" s="344">
        <f t="shared" si="3"/>
        <v>81</v>
      </c>
      <c r="I26" s="233"/>
      <c r="J26" s="4"/>
      <c r="K26" s="4"/>
      <c r="L26" s="235"/>
      <c r="M26" s="243"/>
      <c r="Q26" s="701"/>
      <c r="R26" s="286"/>
      <c r="S26" s="286"/>
      <c r="T26" s="286"/>
      <c r="U26" s="662"/>
      <c r="V26" s="12"/>
      <c r="X26" s="680">
        <v>4.2</v>
      </c>
      <c r="Y26" s="681">
        <v>43</v>
      </c>
      <c r="Z26" s="681">
        <v>82.3</v>
      </c>
      <c r="AA26" s="682"/>
      <c r="AB26" s="714"/>
      <c r="AC26" s="683">
        <v>36</v>
      </c>
      <c r="AD26" s="684">
        <v>82.5</v>
      </c>
      <c r="AE26" s="682">
        <v>82.5</v>
      </c>
      <c r="AF26" s="682">
        <v>83.5</v>
      </c>
      <c r="AG26" s="715"/>
      <c r="AH26" s="703"/>
      <c r="AI26" s="703"/>
      <c r="AJ26" s="703"/>
      <c r="AK26" s="703"/>
      <c r="AL26" s="703"/>
      <c r="AM26" s="703"/>
      <c r="AN26" s="703"/>
      <c r="AO26" s="703"/>
      <c r="AP26" s="703"/>
      <c r="AQ26" s="704"/>
    </row>
    <row r="27" spans="5:43" ht="15" x14ac:dyDescent="0.2">
      <c r="E27" s="344">
        <f t="shared" si="4"/>
        <v>61.5</v>
      </c>
      <c r="F27" s="344">
        <f t="shared" si="3"/>
        <v>79.5</v>
      </c>
      <c r="G27" s="344">
        <f t="shared" si="3"/>
        <v>79.5</v>
      </c>
      <c r="H27" s="344">
        <f t="shared" si="3"/>
        <v>80.3</v>
      </c>
      <c r="I27" s="233"/>
      <c r="J27" s="4"/>
      <c r="K27" s="4"/>
      <c r="L27" s="235"/>
      <c r="M27" s="243"/>
      <c r="Q27" s="701"/>
      <c r="R27" s="286"/>
      <c r="S27" s="286"/>
      <c r="T27" s="286"/>
      <c r="U27" s="662"/>
      <c r="V27" s="12"/>
      <c r="X27" s="680">
        <v>6.1</v>
      </c>
      <c r="Y27" s="681">
        <v>71</v>
      </c>
      <c r="Z27" s="681">
        <v>83.2</v>
      </c>
      <c r="AA27" s="682"/>
      <c r="AB27" s="714"/>
      <c r="AC27" s="683">
        <v>60</v>
      </c>
      <c r="AD27" s="684">
        <v>82.5</v>
      </c>
      <c r="AE27" s="682">
        <v>82.4</v>
      </c>
      <c r="AF27" s="682">
        <v>83.2</v>
      </c>
      <c r="AG27" s="715"/>
      <c r="AH27" s="703"/>
      <c r="AI27" s="703"/>
      <c r="AJ27" s="703"/>
      <c r="AK27" s="703"/>
      <c r="AL27" s="703"/>
      <c r="AM27" s="703"/>
      <c r="AN27" s="703"/>
      <c r="AO27" s="703"/>
      <c r="AP27" s="703"/>
      <c r="AQ27" s="704"/>
    </row>
    <row r="28" spans="5:43" ht="15" x14ac:dyDescent="0.2">
      <c r="E28" s="344">
        <f t="shared" si="4"/>
        <v>90</v>
      </c>
      <c r="F28" s="344">
        <f t="shared" si="3"/>
        <v>79.5</v>
      </c>
      <c r="G28" s="344">
        <f t="shared" si="3"/>
        <v>78.5</v>
      </c>
      <c r="H28" s="344">
        <f t="shared" si="3"/>
        <v>79.5</v>
      </c>
      <c r="I28" s="233"/>
      <c r="J28" s="4"/>
      <c r="K28" s="4"/>
      <c r="L28" s="235"/>
      <c r="M28" s="243"/>
      <c r="Q28" s="716"/>
      <c r="R28" s="685"/>
      <c r="S28" s="685"/>
      <c r="T28" s="685"/>
      <c r="U28" s="686"/>
      <c r="V28" s="12"/>
      <c r="X28" s="680">
        <v>9.6999999999999993</v>
      </c>
      <c r="Y28" s="681">
        <v>107</v>
      </c>
      <c r="Z28" s="681">
        <v>84.8</v>
      </c>
      <c r="AA28" s="682"/>
      <c r="AB28" s="714"/>
      <c r="AC28" s="683">
        <v>90</v>
      </c>
      <c r="AD28" s="684">
        <v>82.5</v>
      </c>
      <c r="AE28" s="682">
        <v>81.5</v>
      </c>
      <c r="AF28" s="682">
        <v>82</v>
      </c>
      <c r="AG28" s="715"/>
      <c r="AH28" s="703"/>
      <c r="AI28" s="703"/>
      <c r="AJ28" s="703"/>
      <c r="AK28" s="703"/>
      <c r="AL28" s="703"/>
      <c r="AM28" s="703"/>
      <c r="AN28" s="703"/>
      <c r="AO28" s="703"/>
      <c r="AP28" s="703"/>
      <c r="AQ28" s="704"/>
    </row>
    <row r="29" spans="5:43" ht="15" x14ac:dyDescent="0.2">
      <c r="E29" s="344">
        <f t="shared" si="4"/>
        <v>130</v>
      </c>
      <c r="F29" s="344">
        <f t="shared" si="3"/>
        <v>79.5</v>
      </c>
      <c r="G29" s="344">
        <f t="shared" si="3"/>
        <v>78</v>
      </c>
      <c r="H29" s="344">
        <f t="shared" si="3"/>
        <v>78.2</v>
      </c>
      <c r="I29" s="233"/>
      <c r="J29" s="4"/>
      <c r="K29" s="4"/>
      <c r="L29" s="235"/>
      <c r="M29" s="243"/>
      <c r="Q29" s="232"/>
      <c r="X29" s="681"/>
      <c r="Y29" s="681">
        <v>130</v>
      </c>
      <c r="Z29" s="681"/>
      <c r="AA29" s="682"/>
      <c r="AB29" s="714"/>
      <c r="AC29" s="683">
        <v>130</v>
      </c>
      <c r="AD29" s="684">
        <v>82.5</v>
      </c>
      <c r="AE29" s="682">
        <v>80</v>
      </c>
      <c r="AF29" s="682">
        <v>80.2</v>
      </c>
      <c r="AG29" s="715"/>
      <c r="AH29" s="703"/>
      <c r="AI29" s="703"/>
      <c r="AJ29" s="703"/>
      <c r="AK29" s="703"/>
      <c r="AL29" s="703"/>
      <c r="AM29" s="703"/>
      <c r="AN29" s="703"/>
      <c r="AO29" s="703"/>
      <c r="AP29" s="703"/>
      <c r="AQ29" s="704"/>
    </row>
    <row r="30" spans="5:43" x14ac:dyDescent="0.15">
      <c r="E30" s="344">
        <f t="shared" si="4"/>
        <v>130</v>
      </c>
      <c r="F30" s="344">
        <f t="shared" si="3"/>
        <v>79.5</v>
      </c>
      <c r="G30" s="344">
        <f t="shared" si="3"/>
        <v>78</v>
      </c>
      <c r="H30" s="344">
        <f t="shared" si="3"/>
        <v>78.2</v>
      </c>
      <c r="I30" s="233"/>
      <c r="J30" s="4"/>
      <c r="K30" s="4"/>
      <c r="L30" s="235"/>
      <c r="M30" s="243"/>
      <c r="Q30" s="232"/>
      <c r="X30" s="703"/>
      <c r="Y30" s="703"/>
      <c r="Z30" s="703"/>
      <c r="AA30" s="703"/>
      <c r="AC30" s="731">
        <f>AC29</f>
        <v>130</v>
      </c>
      <c r="AD30" s="731">
        <f t="shared" ref="AD30:AF30" si="5">AD29</f>
        <v>82.5</v>
      </c>
      <c r="AE30" s="731">
        <f t="shared" si="5"/>
        <v>80</v>
      </c>
      <c r="AF30" s="731">
        <f t="shared" si="5"/>
        <v>80.2</v>
      </c>
      <c r="AG30" s="703"/>
      <c r="AH30" s="703"/>
      <c r="AI30" s="703"/>
      <c r="AJ30" s="703"/>
      <c r="AK30" s="703"/>
      <c r="AL30" s="703"/>
      <c r="AM30" s="703"/>
      <c r="AN30" s="703"/>
      <c r="AO30" s="703"/>
      <c r="AP30" s="703"/>
      <c r="AQ30" s="704"/>
    </row>
    <row r="31" spans="5:43" x14ac:dyDescent="0.15">
      <c r="F31" s="233"/>
      <c r="G31" s="233"/>
      <c r="H31" s="233"/>
      <c r="I31" s="233"/>
      <c r="J31" s="4"/>
      <c r="K31" s="4"/>
      <c r="L31" s="235"/>
      <c r="M31" s="243"/>
      <c r="Q31" s="232"/>
      <c r="AQ31" s="364"/>
    </row>
    <row r="32" spans="5:43" x14ac:dyDescent="0.15">
      <c r="F32" s="4" t="s">
        <v>289</v>
      </c>
      <c r="G32" s="630" t="s">
        <v>1257</v>
      </c>
      <c r="H32" s="630" t="s">
        <v>1260</v>
      </c>
      <c r="I32" s="233"/>
      <c r="J32" s="4"/>
      <c r="K32" s="4"/>
      <c r="L32" s="235"/>
      <c r="M32" s="243"/>
      <c r="Q32" s="232"/>
      <c r="X32" s="703"/>
      <c r="Y32" s="703"/>
      <c r="Z32" s="703"/>
      <c r="AA32" s="703"/>
      <c r="AC32" s="703"/>
      <c r="AD32" s="703"/>
      <c r="AE32" s="703"/>
      <c r="AF32" s="703"/>
      <c r="AG32" s="703"/>
      <c r="AH32" s="703"/>
      <c r="AI32" s="703"/>
      <c r="AJ32" s="703"/>
      <c r="AK32" s="703"/>
      <c r="AL32" s="703"/>
      <c r="AM32" s="703"/>
      <c r="AN32" s="703"/>
      <c r="AO32" s="703"/>
      <c r="AP32" s="703"/>
      <c r="AQ32" s="704"/>
    </row>
    <row r="33" spans="5:43" x14ac:dyDescent="0.15">
      <c r="E33" s="95" t="s">
        <v>450</v>
      </c>
      <c r="F33" s="344">
        <f>E24</f>
        <v>18</v>
      </c>
      <c r="G33" s="630">
        <f>G24</f>
        <v>79.8</v>
      </c>
      <c r="H33" s="630">
        <f>H24</f>
        <v>81.75</v>
      </c>
      <c r="I33" s="233"/>
      <c r="J33" s="4"/>
      <c r="K33" s="4"/>
      <c r="L33" s="235"/>
      <c r="M33" s="243"/>
      <c r="Q33" s="232"/>
      <c r="X33" s="703"/>
      <c r="Y33" s="703"/>
      <c r="Z33" s="703"/>
      <c r="AA33" s="703"/>
      <c r="AC33" s="703"/>
      <c r="AD33" s="703"/>
      <c r="AE33" s="703"/>
      <c r="AF33" s="703"/>
      <c r="AG33" s="703"/>
      <c r="AH33" s="703"/>
      <c r="AI33" s="703"/>
      <c r="AJ33" s="703"/>
      <c r="AK33" s="703"/>
      <c r="AL33" s="703"/>
      <c r="AM33" s="703"/>
      <c r="AN33" s="703"/>
      <c r="AO33" s="703"/>
      <c r="AP33" s="703"/>
      <c r="AQ33" s="704"/>
    </row>
    <row r="34" spans="5:43" ht="15" x14ac:dyDescent="0.2">
      <c r="E34" s="95" t="s">
        <v>22</v>
      </c>
      <c r="F34" s="344">
        <f>MAX(E24:E30)</f>
        <v>130</v>
      </c>
      <c r="G34" s="630">
        <f>G30</f>
        <v>78</v>
      </c>
      <c r="H34" s="630">
        <f>H30</f>
        <v>78.2</v>
      </c>
      <c r="I34" s="233"/>
      <c r="J34" s="4"/>
      <c r="K34" s="4"/>
      <c r="L34" s="235"/>
      <c r="M34" s="243"/>
      <c r="Q34" s="232"/>
      <c r="X34" s="922" t="s">
        <v>585</v>
      </c>
      <c r="Y34" s="922"/>
      <c r="Z34" s="922"/>
      <c r="AA34" s="923"/>
      <c r="AB34" s="709"/>
      <c r="AC34" s="710"/>
      <c r="AD34" s="710"/>
      <c r="AE34" s="710"/>
      <c r="AF34" s="710"/>
      <c r="AG34" s="710"/>
      <c r="AH34" s="703"/>
      <c r="AI34" s="703"/>
      <c r="AJ34" s="703"/>
      <c r="AK34" s="703"/>
      <c r="AL34" s="703"/>
      <c r="AM34" s="703"/>
      <c r="AN34" s="703"/>
      <c r="AO34" s="703"/>
      <c r="AP34" s="703"/>
      <c r="AQ34" s="704"/>
    </row>
    <row r="35" spans="5:43" ht="48" x14ac:dyDescent="0.2">
      <c r="F35" s="233"/>
      <c r="G35" s="233"/>
      <c r="H35" s="233"/>
      <c r="I35" s="233"/>
      <c r="J35" s="4"/>
      <c r="K35" s="4"/>
      <c r="L35" s="235"/>
      <c r="M35" s="243"/>
      <c r="Q35" s="232"/>
      <c r="X35" s="676" t="s">
        <v>1217</v>
      </c>
      <c r="Y35" s="677" t="s">
        <v>1218</v>
      </c>
      <c r="Z35" s="678" t="s">
        <v>1233</v>
      </c>
      <c r="AA35" s="679"/>
      <c r="AB35" s="712"/>
      <c r="AC35" s="679" t="s">
        <v>1220</v>
      </c>
      <c r="AD35" s="679" t="s">
        <v>1234</v>
      </c>
      <c r="AE35" s="679" t="s">
        <v>1235</v>
      </c>
      <c r="AF35" s="679" t="s">
        <v>1236</v>
      </c>
      <c r="AG35" s="713"/>
      <c r="AH35" s="703"/>
      <c r="AI35" s="703"/>
      <c r="AJ35" s="703"/>
      <c r="AK35" s="703"/>
      <c r="AL35" s="703"/>
      <c r="AM35" s="703"/>
      <c r="AN35" s="703"/>
      <c r="AO35" s="703"/>
      <c r="AP35" s="703"/>
      <c r="AQ35" s="704"/>
    </row>
    <row r="36" spans="5:43" ht="15" x14ac:dyDescent="0.2">
      <c r="E36" t="s">
        <v>1263</v>
      </c>
      <c r="F36" s="80">
        <f>F53</f>
        <v>40</v>
      </c>
      <c r="H36" s="233"/>
      <c r="I36" s="233"/>
      <c r="J36" s="4"/>
      <c r="K36" s="4"/>
      <c r="L36" s="235"/>
      <c r="M36" s="243"/>
      <c r="Q36" s="232"/>
      <c r="X36" s="680"/>
      <c r="Y36" s="681">
        <v>25</v>
      </c>
      <c r="Z36" s="681"/>
      <c r="AA36" s="682"/>
      <c r="AB36" s="714"/>
      <c r="AC36" s="683">
        <v>18</v>
      </c>
      <c r="AD36" s="684">
        <v>77.5</v>
      </c>
      <c r="AE36" s="682">
        <v>77.5</v>
      </c>
      <c r="AF36" s="682">
        <v>79.5</v>
      </c>
      <c r="AG36" s="715"/>
      <c r="AH36" s="703"/>
      <c r="AI36" s="703"/>
      <c r="AJ36" s="703"/>
      <c r="AK36" s="703"/>
      <c r="AL36" s="703"/>
      <c r="AM36" s="703"/>
      <c r="AN36" s="703"/>
      <c r="AO36" s="703"/>
      <c r="AP36" s="703"/>
      <c r="AQ36" s="704"/>
    </row>
    <row r="37" spans="5:43" ht="15" x14ac:dyDescent="0.2">
      <c r="E37" s="2" t="s">
        <v>1264</v>
      </c>
      <c r="F37" s="732">
        <f>IF(F36&lt;E24,E24,IF(F36&gt;F34,F34,F36))</f>
        <v>40</v>
      </c>
      <c r="I37" s="233"/>
      <c r="J37" s="4"/>
      <c r="K37" s="4"/>
      <c r="L37" s="235"/>
      <c r="M37" s="243"/>
      <c r="Q37" s="232"/>
      <c r="X37" s="687"/>
      <c r="Y37" s="681">
        <v>34</v>
      </c>
      <c r="Z37" s="681">
        <v>77.5</v>
      </c>
      <c r="AA37" s="682"/>
      <c r="AB37" s="714"/>
      <c r="AC37" s="683">
        <v>29</v>
      </c>
      <c r="AD37" s="684">
        <v>77.5</v>
      </c>
      <c r="AE37" s="682">
        <v>77.5</v>
      </c>
      <c r="AF37" s="682">
        <v>79</v>
      </c>
      <c r="AG37" s="715"/>
      <c r="AH37" s="703"/>
      <c r="AI37" s="703"/>
      <c r="AJ37" s="703"/>
      <c r="AK37" s="703"/>
      <c r="AL37" s="703"/>
      <c r="AM37" s="703"/>
      <c r="AN37" s="703"/>
      <c r="AO37" s="703"/>
      <c r="AP37" s="703"/>
      <c r="AQ37" s="704"/>
    </row>
    <row r="38" spans="5:43" ht="15" x14ac:dyDescent="0.2">
      <c r="E38" s="2" t="s">
        <v>1257</v>
      </c>
      <c r="F38" s="733">
        <f>IF(F36&lt;F33,G33,IF(F36&gt;F34,G34,_xlfn.FORECAST.LINEAR(F36,F43:F44,E43:E44)))</f>
        <v>79.58431372549019</v>
      </c>
      <c r="G38" s="734">
        <f>F38/100</f>
        <v>0.79584313725490186</v>
      </c>
      <c r="I38" s="233"/>
      <c r="J38" s="4"/>
      <c r="K38" s="4"/>
      <c r="L38" s="235"/>
      <c r="M38" s="243"/>
      <c r="Q38" s="232"/>
      <c r="X38" s="687"/>
      <c r="Y38" s="681">
        <v>43</v>
      </c>
      <c r="Z38" s="681">
        <v>77.5</v>
      </c>
      <c r="AA38" s="682"/>
      <c r="AB38" s="714"/>
      <c r="AC38" s="683">
        <v>36</v>
      </c>
      <c r="AD38" s="684">
        <v>77.5</v>
      </c>
      <c r="AE38" s="682">
        <v>77.5</v>
      </c>
      <c r="AF38" s="682">
        <v>78.5</v>
      </c>
      <c r="AG38" s="715"/>
      <c r="AH38" s="703"/>
      <c r="AI38" s="703"/>
      <c r="AJ38" s="703"/>
      <c r="AK38" s="703"/>
      <c r="AL38" s="703"/>
      <c r="AM38" s="703"/>
      <c r="AN38" s="703"/>
      <c r="AO38" s="703"/>
      <c r="AP38" s="703"/>
      <c r="AQ38" s="704"/>
    </row>
    <row r="39" spans="5:43" ht="15" x14ac:dyDescent="0.2">
      <c r="E39" s="2" t="s">
        <v>1260</v>
      </c>
      <c r="F39" s="733">
        <f>IF(F36&lt;F33,H33,IF(F36&gt;F34,H34,_xlfn.FORECAST.LINEAR(F36,G43:G44,E43:E44)))</f>
        <v>80.890196078431373</v>
      </c>
      <c r="G39" s="734">
        <f>F39/100</f>
        <v>0.80890196078431376</v>
      </c>
      <c r="H39" s="233"/>
      <c r="I39" s="233"/>
      <c r="J39" s="4"/>
      <c r="K39" s="4"/>
      <c r="L39" s="235"/>
      <c r="M39" s="243"/>
      <c r="Q39" s="232"/>
      <c r="X39" s="687"/>
      <c r="Y39" s="681">
        <v>71</v>
      </c>
      <c r="Z39" s="681">
        <v>77.5</v>
      </c>
      <c r="AA39" s="682"/>
      <c r="AB39" s="714"/>
      <c r="AC39" s="683">
        <v>60</v>
      </c>
      <c r="AD39" s="684">
        <v>77.5</v>
      </c>
      <c r="AE39" s="682">
        <v>77</v>
      </c>
      <c r="AF39" s="682">
        <v>77.5</v>
      </c>
      <c r="AG39" s="715"/>
      <c r="AH39" s="703"/>
      <c r="AI39" s="703"/>
      <c r="AJ39" s="703"/>
      <c r="AK39" s="703"/>
      <c r="AL39" s="703"/>
      <c r="AM39" s="703"/>
      <c r="AN39" s="703"/>
      <c r="AO39" s="703"/>
      <c r="AP39" s="703"/>
      <c r="AQ39" s="704"/>
    </row>
    <row r="40" spans="5:43" ht="15" x14ac:dyDescent="0.2">
      <c r="H40" s="233"/>
      <c r="I40" s="233"/>
      <c r="J40" s="4"/>
      <c r="K40" s="4"/>
      <c r="L40" s="235"/>
      <c r="M40" s="243"/>
      <c r="Q40" s="232"/>
      <c r="X40" s="688"/>
      <c r="Y40" s="681">
        <v>107</v>
      </c>
      <c r="Z40" s="681">
        <v>77.5</v>
      </c>
      <c r="AA40" s="682"/>
      <c r="AB40" s="714"/>
      <c r="AC40" s="683">
        <v>90</v>
      </c>
      <c r="AD40" s="684">
        <v>77.5</v>
      </c>
      <c r="AE40" s="682">
        <v>75.5</v>
      </c>
      <c r="AF40" s="682">
        <v>76</v>
      </c>
      <c r="AG40" s="715"/>
      <c r="AH40" s="703"/>
      <c r="AI40" s="703"/>
      <c r="AJ40" s="703"/>
      <c r="AK40" s="703"/>
      <c r="AL40" s="703"/>
      <c r="AM40" s="703"/>
      <c r="AN40" s="703"/>
      <c r="AO40" s="703"/>
      <c r="AP40" s="703"/>
      <c r="AQ40" s="704"/>
    </row>
    <row r="41" spans="5:43" ht="15" x14ac:dyDescent="0.2">
      <c r="H41" s="233"/>
      <c r="I41" s="233"/>
      <c r="J41" s="4"/>
      <c r="K41" s="4"/>
      <c r="L41" s="235"/>
      <c r="M41" s="243"/>
      <c r="Q41" s="232"/>
      <c r="X41" s="681"/>
      <c r="Y41" s="681">
        <v>140</v>
      </c>
      <c r="Z41" s="681"/>
      <c r="AA41" s="682"/>
      <c r="AB41" s="714"/>
      <c r="AC41" s="683">
        <v>140</v>
      </c>
      <c r="AD41" s="684">
        <v>77.5</v>
      </c>
      <c r="AE41" s="682">
        <v>73.5</v>
      </c>
      <c r="AF41" s="682">
        <v>74</v>
      </c>
      <c r="AG41" s="715"/>
      <c r="AH41" s="703"/>
      <c r="AI41" s="703"/>
      <c r="AJ41" s="703"/>
      <c r="AK41" s="703"/>
      <c r="AL41" s="703"/>
      <c r="AM41" s="703"/>
      <c r="AN41" s="703"/>
      <c r="AO41" s="703"/>
      <c r="AP41" s="703"/>
      <c r="AQ41" s="704"/>
    </row>
    <row r="42" spans="5:43" ht="15" x14ac:dyDescent="0.2">
      <c r="E42" s="2" t="s">
        <v>1265</v>
      </c>
      <c r="F42" s="344" t="s">
        <v>1257</v>
      </c>
      <c r="G42" s="344" t="s">
        <v>1260</v>
      </c>
      <c r="H42" s="233"/>
      <c r="I42" s="233"/>
      <c r="J42" s="4"/>
      <c r="K42" s="4"/>
      <c r="L42" s="235"/>
      <c r="M42" s="243"/>
      <c r="Q42" s="232"/>
      <c r="X42" s="703"/>
      <c r="Y42" s="703"/>
      <c r="Z42" s="717"/>
      <c r="AA42" s="703"/>
      <c r="AC42" s="731">
        <f>AC41</f>
        <v>140</v>
      </c>
      <c r="AD42" s="731">
        <f t="shared" ref="AD42" si="6">AD41</f>
        <v>77.5</v>
      </c>
      <c r="AE42" s="731">
        <f t="shared" ref="AE42" si="7">AE41</f>
        <v>73.5</v>
      </c>
      <c r="AF42" s="731">
        <f t="shared" ref="AF42" si="8">AF41</f>
        <v>74</v>
      </c>
      <c r="AG42" s="703"/>
      <c r="AH42" s="703"/>
      <c r="AI42" s="703"/>
      <c r="AJ42" s="703"/>
      <c r="AK42" s="703"/>
      <c r="AL42" s="703"/>
      <c r="AM42" s="703"/>
      <c r="AN42" s="703"/>
      <c r="AO42" s="703"/>
      <c r="AP42" s="703"/>
      <c r="AQ42" s="704"/>
    </row>
    <row r="43" spans="5:43" x14ac:dyDescent="0.15">
      <c r="E43" s="74">
        <f>INDEX(E24:E30,MATCH($F$37,$E$24:$E$30,1))</f>
        <v>36</v>
      </c>
      <c r="F43" s="344">
        <f>INDEX(G24:G30,MATCH($F$37,$E$24:$E$30))</f>
        <v>79.599999999999994</v>
      </c>
      <c r="G43" s="344">
        <f>INDEX(H24:H30,MATCH($F$37,$E$24:$E$30))</f>
        <v>81</v>
      </c>
      <c r="H43" s="233"/>
      <c r="I43" s="233"/>
      <c r="J43" s="4"/>
      <c r="K43" s="4"/>
      <c r="L43" s="235"/>
      <c r="M43" s="243"/>
      <c r="Q43" s="232"/>
      <c r="AQ43" s="364"/>
    </row>
    <row r="44" spans="5:43" x14ac:dyDescent="0.15">
      <c r="E44" s="74" cm="1">
        <f t="array" ref="E44">INDEX(E24:E30,MATCH($F$37,$E$24:$E$30,1)+1)</f>
        <v>61.5</v>
      </c>
      <c r="F44" s="344" cm="1">
        <f t="array" ref="F44">INDEX(G24:G30,MATCH($F$37,$E$24:$E$30)+1)</f>
        <v>79.5</v>
      </c>
      <c r="G44" s="344" cm="1">
        <f t="array" ref="G44">INDEX(H24:H30,MATCH($F$37,$E$24:$E$30)+1)</f>
        <v>80.3</v>
      </c>
      <c r="H44" s="233"/>
      <c r="I44" s="233"/>
      <c r="J44" s="4"/>
      <c r="K44" s="4"/>
      <c r="L44" s="235"/>
      <c r="M44" s="243"/>
      <c r="Q44" s="232"/>
      <c r="X44" s="703"/>
      <c r="Y44" s="703"/>
      <c r="Z44" s="703"/>
      <c r="AA44" s="703"/>
      <c r="AC44" s="703"/>
      <c r="AD44" s="703"/>
      <c r="AE44" s="703"/>
      <c r="AF44" s="703"/>
      <c r="AG44" s="703"/>
      <c r="AH44" s="703"/>
      <c r="AI44" s="703"/>
      <c r="AJ44" s="703"/>
      <c r="AK44" s="703"/>
      <c r="AL44" s="703"/>
      <c r="AM44" s="703"/>
      <c r="AN44" s="703"/>
      <c r="AO44" s="703"/>
      <c r="AP44" s="703"/>
      <c r="AQ44" s="704"/>
    </row>
    <row r="45" spans="5:43" x14ac:dyDescent="0.15">
      <c r="F45" s="233"/>
      <c r="G45" s="233"/>
      <c r="H45" s="233"/>
      <c r="I45" s="233"/>
      <c r="J45" s="4"/>
      <c r="K45" s="4"/>
      <c r="L45" s="235"/>
      <c r="M45" s="243"/>
      <c r="Q45" s="232"/>
      <c r="X45" s="703"/>
      <c r="Y45" s="703"/>
      <c r="Z45" s="703"/>
      <c r="AA45" s="703"/>
      <c r="AC45" s="703"/>
      <c r="AD45" s="703"/>
      <c r="AE45" s="703"/>
      <c r="AF45" s="703"/>
      <c r="AG45" s="703"/>
      <c r="AH45" s="703"/>
      <c r="AI45" s="703"/>
      <c r="AJ45" s="703"/>
      <c r="AK45" s="703"/>
      <c r="AL45" s="703"/>
      <c r="AM45" s="703"/>
      <c r="AN45" s="703"/>
      <c r="AO45" s="703"/>
      <c r="AP45" s="703"/>
      <c r="AQ45" s="704"/>
    </row>
    <row r="46" spans="5:43" ht="15" x14ac:dyDescent="0.2">
      <c r="F46" s="233"/>
      <c r="G46" s="233"/>
      <c r="H46" s="233"/>
      <c r="I46" s="233"/>
      <c r="J46" s="4"/>
      <c r="K46" s="4"/>
      <c r="L46" s="235"/>
      <c r="M46" s="243"/>
      <c r="Q46" s="232"/>
      <c r="X46" s="922" t="s">
        <v>129</v>
      </c>
      <c r="Y46" s="922"/>
      <c r="Z46" s="922"/>
      <c r="AA46" s="923"/>
      <c r="AB46" s="709"/>
      <c r="AC46" s="710"/>
      <c r="AD46" s="710"/>
      <c r="AE46" s="710"/>
      <c r="AF46" s="710"/>
      <c r="AG46" s="710"/>
      <c r="AH46" s="703"/>
      <c r="AI46" s="703"/>
      <c r="AJ46" s="703"/>
      <c r="AK46" s="703"/>
      <c r="AL46" s="703"/>
      <c r="AM46" s="703"/>
      <c r="AN46" s="703"/>
      <c r="AO46" s="703"/>
      <c r="AP46" s="703"/>
      <c r="AQ46" s="704"/>
    </row>
    <row r="47" spans="5:43" ht="48" x14ac:dyDescent="0.2">
      <c r="F47" s="233"/>
      <c r="G47" s="233"/>
      <c r="H47" s="233"/>
      <c r="I47" s="233"/>
      <c r="J47" s="4"/>
      <c r="K47" s="4"/>
      <c r="L47" s="235"/>
      <c r="M47" s="243"/>
      <c r="Q47" s="232"/>
      <c r="X47" s="676" t="s">
        <v>1217</v>
      </c>
      <c r="Y47" s="677" t="s">
        <v>1218</v>
      </c>
      <c r="Z47" s="678" t="s">
        <v>1237</v>
      </c>
      <c r="AA47" s="679"/>
      <c r="AB47" s="712"/>
      <c r="AC47" s="679" t="s">
        <v>1220</v>
      </c>
      <c r="AD47" s="679" t="s">
        <v>1238</v>
      </c>
      <c r="AE47" s="679" t="s">
        <v>1239</v>
      </c>
      <c r="AF47" s="679" t="s">
        <v>1240</v>
      </c>
      <c r="AG47" s="713"/>
      <c r="AH47" s="703"/>
      <c r="AI47" s="703"/>
      <c r="AJ47" s="703"/>
      <c r="AK47" s="703"/>
      <c r="AL47" s="703"/>
      <c r="AM47" s="703"/>
      <c r="AN47" s="703"/>
      <c r="AO47" s="703"/>
      <c r="AP47" s="703"/>
      <c r="AQ47" s="704"/>
    </row>
    <row r="48" spans="5:43" ht="15" x14ac:dyDescent="0.2">
      <c r="E48" t="s">
        <v>1175</v>
      </c>
      <c r="F48" s="233"/>
      <c r="G48" s="233"/>
      <c r="H48" s="233"/>
      <c r="I48" s="233"/>
      <c r="J48" s="4"/>
      <c r="K48" s="4"/>
      <c r="L48" s="235"/>
      <c r="M48" s="243"/>
      <c r="Q48" s="232"/>
      <c r="X48" s="680"/>
      <c r="Y48" s="681">
        <v>25</v>
      </c>
      <c r="Z48" s="681"/>
      <c r="AA48" s="682"/>
      <c r="AB48" s="714"/>
      <c r="AC48" s="683">
        <v>18</v>
      </c>
      <c r="AD48" s="684">
        <v>79.5</v>
      </c>
      <c r="AE48" s="682">
        <v>79.5</v>
      </c>
      <c r="AF48" s="682">
        <v>82</v>
      </c>
      <c r="AG48" s="715"/>
      <c r="AH48" s="703"/>
      <c r="AI48" s="703"/>
      <c r="AJ48" s="703"/>
      <c r="AK48" s="703"/>
      <c r="AL48" s="703"/>
      <c r="AM48" s="703"/>
      <c r="AN48" s="703"/>
      <c r="AO48" s="703"/>
      <c r="AP48" s="703"/>
      <c r="AQ48" s="704"/>
    </row>
    <row r="49" spans="5:43" ht="15" x14ac:dyDescent="0.2">
      <c r="E49" t="s">
        <v>988</v>
      </c>
      <c r="F49" s="233" t="b">
        <f>Kirjasto!V5</f>
        <v>0</v>
      </c>
      <c r="G49" s="233"/>
      <c r="H49" s="233"/>
      <c r="I49" s="233"/>
      <c r="J49" s="4"/>
      <c r="K49" s="4"/>
      <c r="L49" s="235"/>
      <c r="M49" s="243"/>
      <c r="Q49" s="232"/>
      <c r="X49" s="687" t="s">
        <v>1241</v>
      </c>
      <c r="Y49" s="681">
        <v>68</v>
      </c>
      <c r="Z49" s="681">
        <v>79.3</v>
      </c>
      <c r="AA49" s="682"/>
      <c r="AB49" s="714"/>
      <c r="AC49" s="683">
        <v>29</v>
      </c>
      <c r="AD49" s="684">
        <v>79.5</v>
      </c>
      <c r="AE49" s="682">
        <v>79.5</v>
      </c>
      <c r="AF49" s="682">
        <v>81.75</v>
      </c>
      <c r="AG49" s="715"/>
      <c r="AH49" s="703"/>
      <c r="AI49" s="703"/>
      <c r="AJ49" s="703"/>
      <c r="AK49" s="703"/>
      <c r="AL49" s="703"/>
      <c r="AM49" s="703"/>
      <c r="AN49" s="703"/>
      <c r="AO49" s="703"/>
      <c r="AP49" s="703"/>
      <c r="AQ49" s="704"/>
    </row>
    <row r="50" spans="5:43" ht="15" x14ac:dyDescent="0.2">
      <c r="E50" t="s">
        <v>1177</v>
      </c>
      <c r="F50" s="233" t="b">
        <f>Kirjasto!V6</f>
        <v>1</v>
      </c>
      <c r="G50" s="233"/>
      <c r="H50" s="233"/>
      <c r="I50" s="233"/>
      <c r="J50" s="4"/>
      <c r="K50" s="4"/>
      <c r="L50" s="235"/>
      <c r="M50" s="243"/>
      <c r="Q50" s="232"/>
      <c r="X50" s="687" t="s">
        <v>1242</v>
      </c>
      <c r="Y50" s="681">
        <v>91</v>
      </c>
      <c r="Z50" s="681">
        <v>79.5</v>
      </c>
      <c r="AA50" s="682"/>
      <c r="AB50" s="714"/>
      <c r="AC50" s="683">
        <v>36</v>
      </c>
      <c r="AD50" s="684">
        <v>79.5</v>
      </c>
      <c r="AE50" s="682">
        <v>79.5</v>
      </c>
      <c r="AF50" s="682">
        <v>81.5</v>
      </c>
      <c r="AG50" s="715"/>
      <c r="AH50" s="703"/>
      <c r="AI50" s="703"/>
      <c r="AJ50" s="703"/>
      <c r="AK50" s="703"/>
      <c r="AL50" s="703"/>
      <c r="AM50" s="703"/>
      <c r="AN50" s="703"/>
      <c r="AO50" s="703"/>
      <c r="AP50" s="703"/>
      <c r="AQ50" s="704"/>
    </row>
    <row r="51" spans="5:43" ht="15" x14ac:dyDescent="0.2">
      <c r="F51" s="233"/>
      <c r="G51" s="233"/>
      <c r="H51" s="233"/>
      <c r="I51" s="233"/>
      <c r="J51" s="4"/>
      <c r="K51" s="4"/>
      <c r="L51" s="235"/>
      <c r="M51" s="243"/>
      <c r="Q51" s="232"/>
      <c r="X51" s="687" t="s">
        <v>1243</v>
      </c>
      <c r="Y51" s="681">
        <v>127</v>
      </c>
      <c r="Z51" s="689">
        <v>76.599999999999994</v>
      </c>
      <c r="AA51" s="682"/>
      <c r="AB51" s="714"/>
      <c r="AC51" s="683">
        <v>80</v>
      </c>
      <c r="AD51" s="684">
        <v>79.5</v>
      </c>
      <c r="AE51" s="682">
        <v>79.5</v>
      </c>
      <c r="AF51" s="682">
        <v>80.5</v>
      </c>
      <c r="AG51" s="715"/>
      <c r="AH51" s="703"/>
      <c r="AI51" s="703"/>
      <c r="AJ51" s="703"/>
      <c r="AK51" s="703"/>
      <c r="AL51" s="703"/>
      <c r="AM51" s="703"/>
      <c r="AN51" s="703"/>
      <c r="AO51" s="703"/>
      <c r="AP51" s="703"/>
      <c r="AQ51" s="704"/>
    </row>
    <row r="52" spans="5:43" ht="15" x14ac:dyDescent="0.2">
      <c r="E52" t="s">
        <v>1998</v>
      </c>
      <c r="F52" s="80">
        <f>Tulostus!E37</f>
        <v>144</v>
      </c>
      <c r="G52" t="str">
        <f>Tulostus!F37</f>
        <v>m³/h</v>
      </c>
      <c r="H52" s="233"/>
      <c r="I52" s="233"/>
      <c r="J52" s="4"/>
      <c r="K52" s="4"/>
      <c r="L52" s="235"/>
      <c r="M52" s="243"/>
      <c r="Q52" s="232"/>
      <c r="X52" s="688" t="s">
        <v>1244</v>
      </c>
      <c r="Y52" s="681">
        <v>167</v>
      </c>
      <c r="Z52" s="681">
        <v>79.900000000000006</v>
      </c>
      <c r="AA52" s="682"/>
      <c r="AB52" s="714"/>
      <c r="AC52" s="683">
        <v>120</v>
      </c>
      <c r="AD52" s="684">
        <v>79.5</v>
      </c>
      <c r="AE52" s="682">
        <v>79.5</v>
      </c>
      <c r="AF52" s="682">
        <v>80</v>
      </c>
      <c r="AG52" s="715"/>
      <c r="AH52" s="703"/>
      <c r="AI52" s="703"/>
      <c r="AJ52" s="703"/>
      <c r="AK52" s="703"/>
      <c r="AL52" s="703"/>
      <c r="AM52" s="703"/>
      <c r="AN52" s="703"/>
      <c r="AO52" s="703"/>
      <c r="AP52" s="703"/>
      <c r="AQ52" s="704"/>
    </row>
    <row r="53" spans="5:43" ht="15" x14ac:dyDescent="0.2">
      <c r="E53" t="s">
        <v>1999</v>
      </c>
      <c r="F53" s="4">
        <f>IF(F49,Tulostus!E37,Tulostus!E38)</f>
        <v>40</v>
      </c>
      <c r="G53" s="233" t="s">
        <v>13</v>
      </c>
      <c r="H53" s="233"/>
      <c r="I53" s="233"/>
      <c r="J53" s="4"/>
      <c r="K53" s="4"/>
      <c r="L53" s="235"/>
      <c r="M53" s="243"/>
      <c r="Q53" s="232"/>
      <c r="X53" s="681"/>
      <c r="Y53" s="681">
        <v>200</v>
      </c>
      <c r="Z53" s="681"/>
      <c r="AA53" s="682"/>
      <c r="AB53" s="714"/>
      <c r="AC53" s="683">
        <v>180</v>
      </c>
      <c r="AD53" s="684">
        <v>79.5</v>
      </c>
      <c r="AE53" s="682">
        <v>79</v>
      </c>
      <c r="AF53" s="682">
        <v>79.5</v>
      </c>
      <c r="AG53" s="715"/>
      <c r="AH53" s="703"/>
      <c r="AI53" s="703"/>
      <c r="AJ53" s="703"/>
      <c r="AK53" s="703"/>
      <c r="AL53" s="703"/>
      <c r="AM53" s="703"/>
      <c r="AN53" s="703"/>
      <c r="AO53" s="703"/>
      <c r="AP53" s="703"/>
      <c r="AQ53" s="704"/>
    </row>
    <row r="54" spans="5:43" ht="15" x14ac:dyDescent="0.2">
      <c r="F54" s="233"/>
      <c r="G54" s="233"/>
      <c r="H54" s="233"/>
      <c r="I54" s="233"/>
      <c r="J54" s="4"/>
      <c r="K54" s="4"/>
      <c r="L54" s="235"/>
      <c r="M54" s="243"/>
      <c r="Q54" s="232"/>
      <c r="X54" s="703"/>
      <c r="Y54" s="703"/>
      <c r="Z54" s="717" t="s">
        <v>1245</v>
      </c>
      <c r="AA54" s="703"/>
      <c r="AC54" s="731">
        <f>AC53</f>
        <v>180</v>
      </c>
      <c r="AD54" s="731">
        <f t="shared" ref="AD54" si="9">AD53</f>
        <v>79.5</v>
      </c>
      <c r="AE54" s="731">
        <f t="shared" ref="AE54" si="10">AE53</f>
        <v>79</v>
      </c>
      <c r="AF54" s="731">
        <f t="shared" ref="AF54" si="11">AF53</f>
        <v>79.5</v>
      </c>
      <c r="AG54" s="703"/>
      <c r="AH54" s="703"/>
      <c r="AI54" s="703"/>
      <c r="AJ54" s="703"/>
      <c r="AK54" s="703"/>
      <c r="AL54" s="703"/>
      <c r="AM54" s="703"/>
      <c r="AN54" s="703"/>
      <c r="AO54" s="703"/>
      <c r="AP54" s="703"/>
      <c r="AQ54" s="704"/>
    </row>
    <row r="55" spans="5:43" x14ac:dyDescent="0.15">
      <c r="F55" s="233"/>
      <c r="G55" s="233"/>
      <c r="H55" s="233"/>
      <c r="I55" s="233"/>
      <c r="J55" s="4"/>
      <c r="K55" s="4"/>
      <c r="L55" s="235"/>
      <c r="M55" s="243"/>
      <c r="Q55" s="232"/>
      <c r="AQ55" s="364"/>
    </row>
    <row r="56" spans="5:43" x14ac:dyDescent="0.15">
      <c r="F56" s="233"/>
      <c r="G56" s="233"/>
      <c r="H56" s="233"/>
      <c r="I56" s="233"/>
      <c r="J56" s="4"/>
      <c r="K56" s="4"/>
      <c r="L56" s="235"/>
      <c r="M56" s="243"/>
      <c r="Q56" s="232"/>
      <c r="X56" s="703"/>
      <c r="Y56" s="703"/>
      <c r="Z56" s="703"/>
      <c r="AA56" s="703"/>
      <c r="AC56" s="703"/>
      <c r="AD56" s="703"/>
      <c r="AE56" s="703"/>
      <c r="AF56" s="703"/>
      <c r="AG56" s="703"/>
      <c r="AH56" s="703"/>
      <c r="AI56" s="703"/>
      <c r="AJ56" s="703"/>
      <c r="AK56" s="703"/>
      <c r="AL56" s="703"/>
      <c r="AM56" s="703"/>
      <c r="AN56" s="703"/>
      <c r="AO56" s="703"/>
      <c r="AP56" s="703"/>
      <c r="AQ56" s="704"/>
    </row>
    <row r="57" spans="5:43" ht="15" x14ac:dyDescent="0.2">
      <c r="F57" s="233"/>
      <c r="G57" s="233"/>
      <c r="H57" s="233"/>
      <c r="I57" s="233"/>
      <c r="J57" s="4"/>
      <c r="K57" s="4"/>
      <c r="L57" s="235"/>
      <c r="M57" s="243"/>
      <c r="Q57" s="232"/>
      <c r="X57" s="718"/>
      <c r="Y57" s="703"/>
      <c r="Z57" s="719"/>
      <c r="AA57" s="703"/>
      <c r="AC57" s="703"/>
      <c r="AD57" s="703"/>
      <c r="AE57" s="703"/>
      <c r="AF57" s="703"/>
      <c r="AG57" s="703"/>
      <c r="AH57" s="703"/>
      <c r="AI57" s="703"/>
      <c r="AJ57" s="703"/>
      <c r="AK57" s="703"/>
      <c r="AL57" s="703"/>
      <c r="AM57" s="703"/>
      <c r="AN57" s="703"/>
      <c r="AO57" s="703"/>
      <c r="AP57" s="703"/>
      <c r="AQ57" s="704"/>
    </row>
    <row r="58" spans="5:43" ht="15" x14ac:dyDescent="0.2">
      <c r="F58" s="233"/>
      <c r="G58" s="233"/>
      <c r="H58" s="233"/>
      <c r="I58" s="233"/>
      <c r="J58" s="4"/>
      <c r="K58" s="4"/>
      <c r="L58" s="235"/>
      <c r="M58" s="243"/>
      <c r="Q58" s="232"/>
      <c r="X58" s="922" t="s">
        <v>1246</v>
      </c>
      <c r="Y58" s="922"/>
      <c r="Z58" s="922"/>
      <c r="AA58" s="923"/>
      <c r="AB58" s="709"/>
      <c r="AC58" s="703"/>
      <c r="AD58" s="703"/>
      <c r="AE58" s="703"/>
      <c r="AF58" s="703"/>
      <c r="AG58" s="710"/>
      <c r="AH58" s="703"/>
      <c r="AI58" s="703"/>
      <c r="AJ58" s="703"/>
      <c r="AK58" s="703"/>
      <c r="AL58" s="703"/>
      <c r="AM58" s="703"/>
      <c r="AN58" s="703"/>
      <c r="AO58" s="703"/>
      <c r="AP58" s="703"/>
      <c r="AQ58" s="704"/>
    </row>
    <row r="59" spans="5:43" ht="48" x14ac:dyDescent="0.2">
      <c r="F59" s="233"/>
      <c r="G59" s="233"/>
      <c r="H59" s="233"/>
      <c r="I59" s="233"/>
      <c r="J59" s="4"/>
      <c r="K59" s="4"/>
      <c r="L59" s="235"/>
      <c r="M59" s="243"/>
      <c r="Q59" s="232"/>
      <c r="X59" s="678"/>
      <c r="Y59" s="677" t="s">
        <v>1220</v>
      </c>
      <c r="Z59" s="678"/>
      <c r="AA59" s="690"/>
      <c r="AB59" s="720"/>
      <c r="AC59" s="679" t="s">
        <v>1220</v>
      </c>
      <c r="AD59" s="679" t="s">
        <v>1247</v>
      </c>
      <c r="AE59" s="679" t="s">
        <v>1248</v>
      </c>
      <c r="AF59" s="679" t="s">
        <v>1249</v>
      </c>
      <c r="AG59" s="707"/>
      <c r="AH59" s="703"/>
      <c r="AI59" s="703"/>
      <c r="AJ59" s="703"/>
      <c r="AK59" s="703"/>
      <c r="AL59" s="703"/>
      <c r="AM59" s="703"/>
      <c r="AN59" s="703"/>
      <c r="AO59" s="703"/>
      <c r="AP59" s="703"/>
      <c r="AQ59" s="704"/>
    </row>
    <row r="60" spans="5:43" ht="15" x14ac:dyDescent="0.2">
      <c r="F60" s="233"/>
      <c r="G60" s="233"/>
      <c r="H60" s="233"/>
      <c r="I60" s="233"/>
      <c r="J60" s="4"/>
      <c r="K60" s="4"/>
      <c r="L60" s="235"/>
      <c r="M60" s="243"/>
      <c r="Q60" s="232"/>
      <c r="X60" s="681"/>
      <c r="Y60" s="691">
        <v>50</v>
      </c>
      <c r="Z60" s="692">
        <v>79.5</v>
      </c>
      <c r="AA60" s="692"/>
      <c r="AB60" s="32"/>
      <c r="AC60" s="693">
        <v>50</v>
      </c>
      <c r="AD60" s="684">
        <v>79.5</v>
      </c>
      <c r="AE60" s="682">
        <v>79.5</v>
      </c>
      <c r="AF60" s="682">
        <v>81</v>
      </c>
      <c r="AG60" s="721"/>
      <c r="AH60" s="703"/>
      <c r="AI60" s="703"/>
      <c r="AJ60" s="703"/>
      <c r="AK60" s="703"/>
      <c r="AL60" s="703"/>
      <c r="AM60" s="703"/>
      <c r="AN60" s="703"/>
      <c r="AO60" s="703"/>
      <c r="AP60" s="703"/>
      <c r="AQ60" s="704"/>
    </row>
    <row r="61" spans="5:43" ht="15" x14ac:dyDescent="0.2">
      <c r="F61" s="233"/>
      <c r="G61" s="233"/>
      <c r="H61" s="233"/>
      <c r="I61" s="233"/>
      <c r="J61" s="4"/>
      <c r="K61" s="4"/>
      <c r="L61" s="235"/>
      <c r="M61" s="243"/>
      <c r="Q61" s="232"/>
      <c r="X61" s="694"/>
      <c r="Y61" s="691">
        <v>100</v>
      </c>
      <c r="Z61" s="692">
        <v>79.5</v>
      </c>
      <c r="AA61" s="692"/>
      <c r="AB61" s="32"/>
      <c r="AC61" s="693">
        <v>100</v>
      </c>
      <c r="AD61" s="684">
        <v>79.5</v>
      </c>
      <c r="AE61" s="682">
        <v>79.5</v>
      </c>
      <c r="AF61" s="682">
        <v>80.5</v>
      </c>
      <c r="AG61" s="721"/>
      <c r="AH61" s="703"/>
      <c r="AI61" s="703"/>
      <c r="AJ61" s="703"/>
      <c r="AK61" s="703"/>
      <c r="AL61" s="703"/>
      <c r="AM61" s="703"/>
      <c r="AN61" s="703"/>
      <c r="AO61" s="703"/>
      <c r="AP61" s="703"/>
      <c r="AQ61" s="704"/>
    </row>
    <row r="62" spans="5:43" ht="15" x14ac:dyDescent="0.2">
      <c r="F62" s="233"/>
      <c r="G62" s="233"/>
      <c r="H62" s="233"/>
      <c r="I62" s="233"/>
      <c r="J62" s="4"/>
      <c r="K62" s="4"/>
      <c r="L62" s="235"/>
      <c r="M62" s="243"/>
      <c r="Q62" s="232"/>
      <c r="X62" s="694"/>
      <c r="Y62" s="691">
        <v>150</v>
      </c>
      <c r="Z62" s="692">
        <v>79.5</v>
      </c>
      <c r="AA62" s="692"/>
      <c r="AB62" s="32"/>
      <c r="AC62" s="693">
        <v>150</v>
      </c>
      <c r="AD62" s="684">
        <v>79.5</v>
      </c>
      <c r="AE62" s="682">
        <v>79.5</v>
      </c>
      <c r="AF62" s="682">
        <v>80</v>
      </c>
      <c r="AG62" s="721"/>
      <c r="AH62" s="703"/>
      <c r="AI62" s="703"/>
      <c r="AJ62" s="703"/>
      <c r="AK62" s="703"/>
      <c r="AL62" s="703"/>
      <c r="AM62" s="703"/>
      <c r="AN62" s="703"/>
      <c r="AO62" s="703"/>
      <c r="AP62" s="703"/>
      <c r="AQ62" s="704"/>
    </row>
    <row r="63" spans="5:43" ht="15" x14ac:dyDescent="0.2">
      <c r="F63" s="233"/>
      <c r="G63" s="233"/>
      <c r="H63" s="233"/>
      <c r="I63" s="233"/>
      <c r="J63" s="4"/>
      <c r="K63" s="4"/>
      <c r="L63" s="235"/>
      <c r="M63" s="243"/>
      <c r="Q63" s="232"/>
      <c r="X63" s="694"/>
      <c r="Y63" s="691">
        <v>200</v>
      </c>
      <c r="Z63" s="692">
        <v>79.3</v>
      </c>
      <c r="AA63" s="692"/>
      <c r="AB63" s="32"/>
      <c r="AC63" s="693">
        <v>200</v>
      </c>
      <c r="AD63" s="684">
        <v>79.3</v>
      </c>
      <c r="AE63" s="682">
        <v>79</v>
      </c>
      <c r="AF63" s="682">
        <v>79.5</v>
      </c>
      <c r="AG63" s="721"/>
      <c r="AH63" s="703"/>
      <c r="AI63" s="703"/>
      <c r="AJ63" s="703"/>
      <c r="AK63" s="703"/>
      <c r="AL63" s="703"/>
      <c r="AM63" s="703"/>
      <c r="AN63" s="703"/>
      <c r="AO63" s="703"/>
      <c r="AP63" s="703"/>
      <c r="AQ63" s="704"/>
    </row>
    <row r="64" spans="5:43" ht="15" x14ac:dyDescent="0.2">
      <c r="F64" s="233"/>
      <c r="G64" s="233"/>
      <c r="H64" s="233"/>
      <c r="I64" s="233"/>
      <c r="J64" s="4"/>
      <c r="K64" s="4"/>
      <c r="L64" s="235"/>
      <c r="M64" s="243"/>
      <c r="Q64" s="232"/>
      <c r="X64" s="695"/>
      <c r="Y64" s="691">
        <v>250</v>
      </c>
      <c r="Z64" s="692">
        <v>78.2</v>
      </c>
      <c r="AA64" s="692"/>
      <c r="AB64" s="32"/>
      <c r="AC64" s="693">
        <v>250</v>
      </c>
      <c r="AD64" s="684">
        <v>78.2</v>
      </c>
      <c r="AE64" s="682">
        <v>78.2</v>
      </c>
      <c r="AF64" s="682">
        <v>78.7</v>
      </c>
      <c r="AG64" s="721"/>
      <c r="AH64" s="703"/>
      <c r="AI64" s="703"/>
      <c r="AJ64" s="703"/>
      <c r="AK64" s="703"/>
      <c r="AL64" s="703"/>
      <c r="AM64" s="703"/>
      <c r="AN64" s="703"/>
      <c r="AO64" s="703"/>
      <c r="AP64" s="703"/>
      <c r="AQ64" s="704"/>
    </row>
    <row r="65" spans="6:43" ht="15" x14ac:dyDescent="0.2">
      <c r="F65" s="233"/>
      <c r="G65" s="233"/>
      <c r="H65" s="233"/>
      <c r="I65" s="233"/>
      <c r="J65" s="4"/>
      <c r="K65" s="4"/>
      <c r="L65" s="235"/>
      <c r="M65" s="243"/>
      <c r="Q65" s="232"/>
      <c r="X65" s="681"/>
      <c r="Y65" s="691">
        <v>300</v>
      </c>
      <c r="Z65" s="692">
        <v>77.5</v>
      </c>
      <c r="AA65" s="692"/>
      <c r="AB65" s="32"/>
      <c r="AC65" s="693">
        <v>300</v>
      </c>
      <c r="AD65" s="684">
        <v>77.5</v>
      </c>
      <c r="AE65" s="682">
        <v>77.5</v>
      </c>
      <c r="AF65" s="682">
        <v>78</v>
      </c>
      <c r="AG65" s="721"/>
      <c r="AH65" s="703"/>
      <c r="AI65" s="703"/>
      <c r="AJ65" s="703"/>
      <c r="AK65" s="703"/>
      <c r="AL65" s="703"/>
      <c r="AM65" s="703"/>
      <c r="AN65" s="703"/>
      <c r="AO65" s="703"/>
      <c r="AP65" s="703"/>
      <c r="AQ65" s="704"/>
    </row>
    <row r="66" spans="6:43" ht="16" thickBot="1" x14ac:dyDescent="0.25">
      <c r="F66" s="233"/>
      <c r="G66" s="233"/>
      <c r="H66" s="233"/>
      <c r="I66" s="233"/>
      <c r="J66" s="4"/>
      <c r="K66" s="4"/>
      <c r="L66" s="235"/>
      <c r="M66" s="243"/>
      <c r="Q66" s="236"/>
      <c r="R66" s="238"/>
      <c r="S66" s="238"/>
      <c r="T66" s="238"/>
      <c r="U66" s="238"/>
      <c r="V66" s="238"/>
      <c r="W66" s="238"/>
      <c r="X66" s="722"/>
      <c r="Y66" s="722">
        <v>350</v>
      </c>
      <c r="Z66" s="723">
        <v>77.3</v>
      </c>
      <c r="AA66" s="723"/>
      <c r="AB66" s="724"/>
      <c r="AC66" s="725">
        <v>350</v>
      </c>
      <c r="AD66" s="726">
        <v>77.3</v>
      </c>
      <c r="AE66" s="727">
        <v>76.8</v>
      </c>
      <c r="AF66" s="727">
        <v>77</v>
      </c>
      <c r="AG66" s="728"/>
      <c r="AH66" s="729"/>
      <c r="AI66" s="729"/>
      <c r="AJ66" s="729"/>
      <c r="AK66" s="729"/>
      <c r="AL66" s="729"/>
      <c r="AM66" s="729"/>
      <c r="AN66" s="729"/>
      <c r="AO66" s="729"/>
      <c r="AP66" s="729"/>
      <c r="AQ66" s="730"/>
    </row>
    <row r="67" spans="6:43" x14ac:dyDescent="0.15">
      <c r="F67" s="233"/>
      <c r="G67" s="233"/>
      <c r="H67" s="233"/>
      <c r="I67" s="233"/>
      <c r="J67" s="4"/>
      <c r="K67" s="4"/>
      <c r="L67" s="235"/>
      <c r="M67" s="243"/>
    </row>
    <row r="68" spans="6:43" x14ac:dyDescent="0.15">
      <c r="F68" s="233"/>
      <c r="G68" s="233"/>
      <c r="H68" s="233"/>
      <c r="I68" s="233"/>
      <c r="J68" s="4"/>
      <c r="K68" s="4"/>
      <c r="L68" s="235"/>
      <c r="M68" s="243"/>
    </row>
    <row r="69" spans="6:43" x14ac:dyDescent="0.15">
      <c r="F69" s="233"/>
      <c r="G69" s="233"/>
      <c r="H69" s="233"/>
      <c r="I69" s="233"/>
      <c r="J69" s="4"/>
      <c r="K69" s="4"/>
      <c r="L69" s="235"/>
      <c r="M69" s="243"/>
    </row>
    <row r="70" spans="6:43" x14ac:dyDescent="0.15">
      <c r="F70" s="233"/>
      <c r="G70" s="233"/>
      <c r="H70" s="233"/>
      <c r="I70" s="233"/>
      <c r="J70" s="4"/>
      <c r="K70" s="4"/>
      <c r="L70" s="235"/>
      <c r="M70" s="243"/>
    </row>
    <row r="71" spans="6:43" x14ac:dyDescent="0.15">
      <c r="F71" s="233"/>
      <c r="G71" s="233"/>
      <c r="H71" s="233"/>
      <c r="I71" s="233"/>
      <c r="J71" s="4"/>
      <c r="K71" s="4"/>
      <c r="L71" s="235"/>
      <c r="M71" s="243"/>
    </row>
    <row r="72" spans="6:43" x14ac:dyDescent="0.15">
      <c r="F72" s="233"/>
      <c r="G72" s="233"/>
      <c r="H72" s="233"/>
      <c r="I72" s="233"/>
      <c r="J72" s="4"/>
      <c r="K72" s="4"/>
      <c r="L72" s="235"/>
      <c r="M72" s="243"/>
    </row>
    <row r="73" spans="6:43" x14ac:dyDescent="0.15">
      <c r="F73" s="233"/>
      <c r="G73" s="233"/>
      <c r="H73" s="233"/>
      <c r="I73" s="233"/>
      <c r="J73" s="4"/>
      <c r="K73" s="4"/>
      <c r="L73" s="235"/>
      <c r="M73" s="243"/>
    </row>
    <row r="74" spans="6:43" x14ac:dyDescent="0.15">
      <c r="F74" s="233"/>
      <c r="G74" s="233"/>
      <c r="H74" s="233"/>
      <c r="I74" s="233"/>
      <c r="J74" s="4"/>
      <c r="K74" s="4"/>
      <c r="L74" s="235"/>
      <c r="M74" s="243"/>
    </row>
    <row r="75" spans="6:43" x14ac:dyDescent="0.15">
      <c r="F75" s="233"/>
      <c r="G75" s="233"/>
      <c r="H75" s="233"/>
      <c r="I75" s="233"/>
      <c r="J75" s="4"/>
      <c r="K75" s="4"/>
      <c r="L75" s="235"/>
      <c r="M75" s="243"/>
    </row>
    <row r="76" spans="6:43" x14ac:dyDescent="0.15">
      <c r="F76" s="233"/>
      <c r="G76" s="233"/>
      <c r="H76" s="233"/>
      <c r="I76" s="233"/>
      <c r="J76" s="4"/>
      <c r="K76" s="4"/>
      <c r="L76" s="235"/>
      <c r="M76" s="243"/>
    </row>
    <row r="77" spans="6:43" x14ac:dyDescent="0.15">
      <c r="F77" s="233"/>
      <c r="G77" s="233"/>
      <c r="H77" s="233"/>
      <c r="I77" s="233"/>
      <c r="J77" s="4"/>
      <c r="K77" s="4"/>
      <c r="L77" s="235"/>
      <c r="M77" s="243"/>
    </row>
    <row r="78" spans="6:43" x14ac:dyDescent="0.15">
      <c r="F78" s="233"/>
      <c r="G78" s="233"/>
      <c r="H78" s="233"/>
      <c r="I78" s="233"/>
      <c r="J78" s="4"/>
      <c r="K78" s="4"/>
      <c r="L78" s="235"/>
      <c r="M78" s="243"/>
    </row>
    <row r="79" spans="6:43" x14ac:dyDescent="0.15">
      <c r="F79" s="233"/>
      <c r="G79" s="233"/>
      <c r="H79" s="233"/>
      <c r="I79" s="233"/>
      <c r="J79" s="4"/>
      <c r="K79" s="4"/>
      <c r="L79" s="235"/>
      <c r="M79" s="243"/>
    </row>
    <row r="80" spans="6:43" x14ac:dyDescent="0.15">
      <c r="F80" s="233"/>
      <c r="G80" s="233"/>
      <c r="H80" s="233"/>
      <c r="I80" s="233"/>
      <c r="J80" s="4"/>
      <c r="K80" s="4"/>
      <c r="L80" s="235"/>
      <c r="M80" s="243"/>
    </row>
    <row r="81" spans="5:22" x14ac:dyDescent="0.15">
      <c r="F81" s="233"/>
      <c r="G81" s="233"/>
      <c r="H81" s="233"/>
      <c r="I81" s="233"/>
      <c r="J81" s="4"/>
      <c r="K81" s="4"/>
      <c r="L81" s="235"/>
      <c r="M81" s="243"/>
    </row>
    <row r="82" spans="5:22" x14ac:dyDescent="0.15">
      <c r="F82" s="233"/>
      <c r="G82" s="233"/>
      <c r="H82" s="233"/>
      <c r="I82" s="233"/>
      <c r="J82" s="4"/>
      <c r="K82" s="4"/>
      <c r="L82" s="235"/>
      <c r="M82" s="243"/>
    </row>
    <row r="83" spans="5:22" x14ac:dyDescent="0.15">
      <c r="F83" s="233"/>
      <c r="G83" s="233"/>
      <c r="H83" s="233"/>
      <c r="I83" s="233"/>
      <c r="J83" s="4"/>
      <c r="K83" s="4"/>
      <c r="L83" s="235"/>
      <c r="M83" s="243"/>
    </row>
    <row r="84" spans="5:22" x14ac:dyDescent="0.15">
      <c r="F84" s="233"/>
      <c r="G84" s="233"/>
      <c r="H84" s="233"/>
      <c r="I84" s="233"/>
      <c r="J84" s="4"/>
      <c r="K84" s="4"/>
      <c r="L84" s="235"/>
      <c r="M84" s="243"/>
    </row>
    <row r="85" spans="5:22" x14ac:dyDescent="0.15">
      <c r="F85" s="233"/>
      <c r="G85" s="233"/>
      <c r="H85" s="233"/>
      <c r="I85" s="233"/>
      <c r="J85" s="4"/>
      <c r="K85" s="4"/>
      <c r="L85" s="235"/>
      <c r="M85" s="243"/>
    </row>
    <row r="86" spans="5:22" x14ac:dyDescent="0.15">
      <c r="F86" s="233"/>
      <c r="G86" s="233"/>
      <c r="H86" s="233"/>
      <c r="I86" s="233"/>
      <c r="J86" s="4"/>
      <c r="K86" s="4"/>
      <c r="L86" s="235"/>
      <c r="M86" s="243"/>
    </row>
    <row r="87" spans="5:22" x14ac:dyDescent="0.15">
      <c r="F87" s="233"/>
      <c r="G87" s="233"/>
      <c r="H87" s="233"/>
      <c r="I87" s="233"/>
      <c r="J87" s="4"/>
      <c r="K87" s="4"/>
      <c r="L87" s="235"/>
      <c r="M87" s="243"/>
    </row>
    <row r="88" spans="5:22" x14ac:dyDescent="0.15">
      <c r="F88" s="233"/>
      <c r="G88" s="233"/>
      <c r="H88" s="233"/>
      <c r="I88" s="233"/>
      <c r="J88" s="4"/>
      <c r="K88" s="4"/>
      <c r="L88" s="235"/>
      <c r="M88" s="243"/>
    </row>
    <row r="89" spans="5:22" x14ac:dyDescent="0.15">
      <c r="F89" s="233"/>
      <c r="G89" s="233"/>
      <c r="H89" s="233"/>
      <c r="I89" s="233"/>
      <c r="J89" s="4"/>
      <c r="K89" s="4"/>
      <c r="L89" s="235"/>
      <c r="M89" s="243"/>
    </row>
    <row r="90" spans="5:22" x14ac:dyDescent="0.15">
      <c r="F90" s="233"/>
      <c r="G90" s="233"/>
      <c r="H90" s="233"/>
      <c r="I90" s="233"/>
      <c r="J90" s="4"/>
      <c r="K90" s="4"/>
      <c r="L90" s="235"/>
      <c r="M90" s="243"/>
    </row>
    <row r="91" spans="5:22" x14ac:dyDescent="0.15">
      <c r="F91" s="233"/>
      <c r="G91" s="233"/>
      <c r="H91" s="233"/>
      <c r="I91" s="233"/>
      <c r="J91" s="4"/>
      <c r="K91" s="4"/>
      <c r="L91" s="235"/>
      <c r="M91" s="243"/>
    </row>
    <row r="92" spans="5:22" s="238" customFormat="1" ht="14" thickBot="1" x14ac:dyDescent="0.2">
      <c r="F92" s="429"/>
      <c r="G92" s="429"/>
      <c r="H92" s="429"/>
      <c r="I92" s="429"/>
      <c r="J92" s="428"/>
      <c r="K92" s="428"/>
      <c r="L92" s="370"/>
      <c r="M92" s="673"/>
    </row>
    <row r="93" spans="5:22" x14ac:dyDescent="0.15">
      <c r="F93" s="233"/>
      <c r="G93" s="233"/>
      <c r="H93" s="233"/>
      <c r="I93" s="233"/>
      <c r="J93" s="4"/>
      <c r="K93" s="4"/>
      <c r="L93" s="235"/>
      <c r="M93" s="243"/>
    </row>
    <row r="94" spans="5:22" x14ac:dyDescent="0.15">
      <c r="E94" s="2" t="s">
        <v>1250</v>
      </c>
      <c r="F94" s="233"/>
      <c r="G94" s="233"/>
      <c r="H94" s="233"/>
      <c r="I94" s="233"/>
      <c r="J94" s="4"/>
      <c r="K94" s="4"/>
      <c r="L94" s="235"/>
      <c r="M94" s="243"/>
    </row>
    <row r="95" spans="5:22" x14ac:dyDescent="0.15">
      <c r="E95" s="240"/>
      <c r="F95" s="233"/>
      <c r="G95" s="233"/>
      <c r="H95" s="233"/>
      <c r="I95" s="233"/>
      <c r="J95" s="4"/>
      <c r="K95" s="4"/>
      <c r="L95" s="235"/>
      <c r="M95" s="243"/>
      <c r="V95" t="s">
        <v>482</v>
      </c>
    </row>
    <row r="96" spans="5:22" ht="14" thickBot="1" x14ac:dyDescent="0.2">
      <c r="E96" s="240" t="s">
        <v>281</v>
      </c>
      <c r="F96" s="233"/>
      <c r="G96" s="233"/>
      <c r="H96" s="233"/>
      <c r="I96" s="233"/>
    </row>
    <row r="97" spans="5:37" ht="14" thickBot="1" x14ac:dyDescent="0.2">
      <c r="E97" s="241" t="s">
        <v>285</v>
      </c>
      <c r="F97" s="233"/>
      <c r="G97" s="233"/>
      <c r="H97" s="233"/>
      <c r="I97" s="233"/>
      <c r="V97" s="324" t="s">
        <v>464</v>
      </c>
      <c r="W97" s="325"/>
      <c r="X97" s="325"/>
      <c r="Y97" s="325"/>
      <c r="Z97" s="325"/>
      <c r="AA97" s="325"/>
      <c r="AB97" s="325"/>
      <c r="AC97" s="325"/>
    </row>
    <row r="98" spans="5:37" x14ac:dyDescent="0.15">
      <c r="E98" s="233"/>
      <c r="F98" s="233"/>
      <c r="G98" s="233"/>
      <c r="H98" s="233"/>
      <c r="I98" s="233"/>
      <c r="V98" s="326" t="s">
        <v>465</v>
      </c>
      <c r="W98" s="327"/>
      <c r="X98" s="327"/>
      <c r="Y98" s="327"/>
      <c r="Z98" s="328" t="s">
        <v>466</v>
      </c>
      <c r="AA98" s="329"/>
      <c r="AB98" s="330" t="s">
        <v>467</v>
      </c>
      <c r="AC98" s="331"/>
    </row>
    <row r="99" spans="5:37" ht="32" x14ac:dyDescent="0.2">
      <c r="E99" s="233"/>
      <c r="F99" s="233"/>
      <c r="G99" s="233"/>
      <c r="H99" s="233"/>
      <c r="I99" s="233"/>
      <c r="V99" s="232"/>
      <c r="W99" s="912" t="s">
        <v>468</v>
      </c>
      <c r="X99" s="913"/>
      <c r="Y99" s="913"/>
      <c r="Z99" s="332" t="s">
        <v>469</v>
      </c>
      <c r="AA99" s="333"/>
      <c r="AB99" s="334" t="s">
        <v>469</v>
      </c>
      <c r="AC99" s="334"/>
    </row>
    <row r="100" spans="5:37" ht="96" x14ac:dyDescent="0.2">
      <c r="E100" s="233" t="s">
        <v>286</v>
      </c>
      <c r="F100" s="233">
        <v>7</v>
      </c>
      <c r="G100" s="233" t="s">
        <v>287</v>
      </c>
      <c r="H100" s="233"/>
      <c r="I100" s="233"/>
      <c r="U100" t="s">
        <v>470</v>
      </c>
      <c r="V100" s="335" t="s">
        <v>471</v>
      </c>
      <c r="W100" s="336" t="s">
        <v>472</v>
      </c>
      <c r="X100" s="337" t="s">
        <v>473</v>
      </c>
      <c r="Y100" s="338" t="s">
        <v>474</v>
      </c>
      <c r="Z100" s="339" t="s">
        <v>475</v>
      </c>
      <c r="AA100" s="340" t="s">
        <v>476</v>
      </c>
      <c r="AB100" s="341" t="s">
        <v>477</v>
      </c>
      <c r="AC100" s="341" t="s">
        <v>478</v>
      </c>
    </row>
    <row r="101" spans="5:37" ht="14" x14ac:dyDescent="0.2">
      <c r="E101" s="233" t="s">
        <v>288</v>
      </c>
      <c r="F101" s="233">
        <v>20</v>
      </c>
      <c r="G101" s="233" t="s">
        <v>287</v>
      </c>
      <c r="H101" s="233"/>
      <c r="I101" s="233"/>
      <c r="U101">
        <f>V101*1000</f>
        <v>50</v>
      </c>
      <c r="V101" s="342">
        <v>0.05</v>
      </c>
      <c r="W101" s="343">
        <v>83.5</v>
      </c>
      <c r="X101" s="344">
        <v>84</v>
      </c>
      <c r="Y101" s="345">
        <v>19</v>
      </c>
      <c r="Z101" s="346">
        <v>79.5</v>
      </c>
      <c r="AA101" s="347">
        <v>76.099999999999994</v>
      </c>
      <c r="AB101" s="348">
        <v>79.5</v>
      </c>
      <c r="AC101" s="348">
        <v>76.099999999999994</v>
      </c>
    </row>
    <row r="102" spans="5:37" ht="14" x14ac:dyDescent="0.2">
      <c r="E102" s="233"/>
      <c r="F102" s="233"/>
      <c r="G102" s="233"/>
      <c r="H102" s="233"/>
      <c r="I102" s="233"/>
      <c r="U102">
        <f t="shared" ref="U102:U108" si="12">V102*1000</f>
        <v>75</v>
      </c>
      <c r="V102" s="342">
        <v>7.4999999999999997E-2</v>
      </c>
      <c r="W102" s="343">
        <v>81.5</v>
      </c>
      <c r="X102" s="344">
        <v>82</v>
      </c>
      <c r="Y102" s="345">
        <v>33</v>
      </c>
      <c r="Z102" s="346">
        <f>Z101</f>
        <v>79.5</v>
      </c>
      <c r="AA102" s="347">
        <v>76.099999999999994</v>
      </c>
      <c r="AB102" s="348">
        <v>79.5</v>
      </c>
      <c r="AC102" s="348">
        <v>76.099999999999994</v>
      </c>
    </row>
    <row r="103" spans="5:37" ht="14" x14ac:dyDescent="0.2">
      <c r="E103" s="233" t="s">
        <v>289</v>
      </c>
      <c r="F103" s="233" t="s">
        <v>279</v>
      </c>
      <c r="G103" s="233"/>
      <c r="H103" s="233"/>
      <c r="I103" s="233"/>
      <c r="U103">
        <f t="shared" si="12"/>
        <v>100</v>
      </c>
      <c r="V103" s="342">
        <v>0.1</v>
      </c>
      <c r="W103" s="343">
        <v>80.2</v>
      </c>
      <c r="X103" s="344">
        <v>80.7</v>
      </c>
      <c r="Y103" s="345">
        <v>48</v>
      </c>
      <c r="Z103" s="346">
        <f t="shared" ref="Z103:Z104" si="13">Z102</f>
        <v>79.5</v>
      </c>
      <c r="AA103" s="347">
        <v>76.099999999999994</v>
      </c>
      <c r="AB103" s="348">
        <v>79.5</v>
      </c>
      <c r="AC103" s="348">
        <v>76.099999999999994</v>
      </c>
    </row>
    <row r="104" spans="5:37" ht="14" x14ac:dyDescent="0.2">
      <c r="E104" s="233">
        <v>100</v>
      </c>
      <c r="F104" s="242">
        <v>0.78100000000000003</v>
      </c>
      <c r="G104" s="242"/>
      <c r="H104" s="243"/>
      <c r="I104" s="233"/>
      <c r="U104">
        <f t="shared" si="12"/>
        <v>150</v>
      </c>
      <c r="V104" s="342">
        <v>0.15</v>
      </c>
      <c r="W104" s="343">
        <v>78.5</v>
      </c>
      <c r="X104" s="344">
        <v>78.900000000000006</v>
      </c>
      <c r="Y104" s="345">
        <v>85</v>
      </c>
      <c r="Z104" s="346">
        <f t="shared" si="13"/>
        <v>79.5</v>
      </c>
      <c r="AA104" s="347">
        <v>76.099999999999994</v>
      </c>
      <c r="AB104" s="348">
        <v>79.5</v>
      </c>
      <c r="AC104" s="348">
        <v>76.099999999999994</v>
      </c>
    </row>
    <row r="105" spans="5:37" ht="15" x14ac:dyDescent="0.2">
      <c r="E105" s="233">
        <v>90</v>
      </c>
      <c r="F105" s="242">
        <v>0.78400000000000003</v>
      </c>
      <c r="G105" s="242"/>
      <c r="H105" s="243"/>
      <c r="I105" s="233"/>
      <c r="U105">
        <f t="shared" si="12"/>
        <v>200</v>
      </c>
      <c r="V105" s="342">
        <v>0.2</v>
      </c>
      <c r="W105" s="343">
        <v>77.2</v>
      </c>
      <c r="X105" s="344">
        <v>77.599999999999994</v>
      </c>
      <c r="Y105" s="345">
        <v>126</v>
      </c>
      <c r="Z105" s="346" t="s">
        <v>479</v>
      </c>
      <c r="AA105" s="347" t="s">
        <v>479</v>
      </c>
      <c r="AB105" s="349">
        <v>77.2</v>
      </c>
      <c r="AC105" s="350">
        <v>74.5</v>
      </c>
    </row>
    <row r="106" spans="5:37" ht="15" x14ac:dyDescent="0.2">
      <c r="E106" s="233">
        <v>80</v>
      </c>
      <c r="F106" s="242">
        <v>0.78700000000000003</v>
      </c>
      <c r="G106" s="242"/>
      <c r="H106" s="243"/>
      <c r="I106" s="233"/>
      <c r="U106">
        <f t="shared" si="12"/>
        <v>250</v>
      </c>
      <c r="V106" s="351">
        <v>0.25</v>
      </c>
      <c r="W106" s="352">
        <v>76.2</v>
      </c>
      <c r="X106" s="41">
        <v>76.7</v>
      </c>
      <c r="Y106" s="16">
        <v>168</v>
      </c>
      <c r="Z106" s="346" t="s">
        <v>479</v>
      </c>
      <c r="AA106" s="347" t="s">
        <v>479</v>
      </c>
      <c r="AB106" s="349">
        <v>76.2</v>
      </c>
      <c r="AC106" s="349">
        <v>74.099999999999994</v>
      </c>
    </row>
    <row r="107" spans="5:37" ht="15" x14ac:dyDescent="0.2">
      <c r="E107" s="233">
        <v>70</v>
      </c>
      <c r="F107" s="242">
        <v>0.79100000000000004</v>
      </c>
      <c r="G107" s="242"/>
      <c r="H107" s="243"/>
      <c r="I107" s="233"/>
      <c r="U107">
        <f t="shared" si="12"/>
        <v>300</v>
      </c>
      <c r="V107" s="351">
        <v>0.3</v>
      </c>
      <c r="W107" s="352">
        <v>75.599999999999994</v>
      </c>
      <c r="X107" s="41">
        <v>76.099999999999994</v>
      </c>
      <c r="Y107" s="16">
        <v>231</v>
      </c>
      <c r="Z107" s="346" t="s">
        <v>479</v>
      </c>
      <c r="AA107" s="347" t="s">
        <v>479</v>
      </c>
      <c r="AB107" s="349">
        <v>75.599999999999994</v>
      </c>
      <c r="AC107" s="349">
        <v>73.599999999999994</v>
      </c>
    </row>
    <row r="108" spans="5:37" ht="16" thickBot="1" x14ac:dyDescent="0.25">
      <c r="E108" s="233">
        <v>60</v>
      </c>
      <c r="F108" s="242">
        <v>0.79500000000000004</v>
      </c>
      <c r="G108" s="242"/>
      <c r="H108" s="243"/>
      <c r="I108" s="233"/>
      <c r="U108">
        <f t="shared" si="12"/>
        <v>350</v>
      </c>
      <c r="V108" s="353">
        <v>0.35</v>
      </c>
      <c r="W108" s="354">
        <v>75.3</v>
      </c>
      <c r="X108" s="355">
        <v>75.8</v>
      </c>
      <c r="Y108" s="356">
        <v>306</v>
      </c>
      <c r="Z108" s="357" t="s">
        <v>479</v>
      </c>
      <c r="AA108" s="358" t="s">
        <v>479</v>
      </c>
      <c r="AB108" s="359">
        <v>75.3</v>
      </c>
      <c r="AC108" s="359">
        <v>73.599999999999994</v>
      </c>
    </row>
    <row r="109" spans="5:37" x14ac:dyDescent="0.15">
      <c r="E109" s="233">
        <v>50</v>
      </c>
      <c r="F109" s="242">
        <v>0.80200000000000005</v>
      </c>
      <c r="G109" s="242"/>
      <c r="H109" s="243"/>
      <c r="I109" s="233"/>
    </row>
    <row r="110" spans="5:37" ht="14" thickBot="1" x14ac:dyDescent="0.2">
      <c r="E110" s="233">
        <v>40</v>
      </c>
      <c r="F110" s="242">
        <v>0.81299999999999994</v>
      </c>
      <c r="G110" s="242"/>
      <c r="H110" s="243"/>
      <c r="I110" s="233"/>
      <c r="AG110" s="2" t="s">
        <v>1254</v>
      </c>
    </row>
    <row r="111" spans="5:37" x14ac:dyDescent="0.15">
      <c r="E111" s="233">
        <v>30</v>
      </c>
      <c r="F111" s="242">
        <v>0.83399999999999996</v>
      </c>
      <c r="G111" s="242"/>
      <c r="H111" s="243"/>
      <c r="I111" s="233"/>
      <c r="AG111" s="228"/>
      <c r="AH111" s="230"/>
      <c r="AI111" s="230"/>
      <c r="AJ111" s="230"/>
      <c r="AK111" s="231"/>
    </row>
    <row r="112" spans="5:37" x14ac:dyDescent="0.15">
      <c r="E112" s="233">
        <v>22</v>
      </c>
      <c r="F112" s="242">
        <v>0.86399999999999999</v>
      </c>
      <c r="G112" s="242"/>
      <c r="H112" s="243"/>
      <c r="I112" s="233"/>
      <c r="AG112" s="232"/>
      <c r="AK112" s="364"/>
    </row>
    <row r="113" spans="5:37" x14ac:dyDescent="0.15">
      <c r="E113" s="233">
        <f t="array" ref="E113:I113">LINEST(F104:F112,E104:E112^{1,2,3,4})</f>
        <v>6.6313600685290738E-9</v>
      </c>
      <c r="F113" s="233">
        <v>-2.0169962249255277E-6</v>
      </c>
      <c r="G113" s="233">
        <v>2.2914024862545594E-4</v>
      </c>
      <c r="H113" s="233">
        <v>-1.1911786201169254E-2</v>
      </c>
      <c r="I113" s="233">
        <v>1.0348159813641171</v>
      </c>
      <c r="AC113" s="317" t="s">
        <v>22</v>
      </c>
      <c r="AD113" s="317">
        <v>83.5</v>
      </c>
      <c r="AE113" s="317"/>
      <c r="AG113" s="232"/>
      <c r="AH113" t="s">
        <v>22</v>
      </c>
      <c r="AI113">
        <v>79.5</v>
      </c>
      <c r="AK113" s="364"/>
    </row>
    <row r="114" spans="5:37" x14ac:dyDescent="0.15">
      <c r="AC114" s="317" t="s">
        <v>450</v>
      </c>
      <c r="AD114" s="317">
        <v>75.3</v>
      </c>
      <c r="AE114" s="317"/>
      <c r="AG114" s="232"/>
      <c r="AH114" t="s">
        <v>450</v>
      </c>
      <c r="AI114" s="245">
        <f>AF136</f>
        <v>0.7726223404255318</v>
      </c>
      <c r="AK114" s="364"/>
    </row>
    <row r="115" spans="5:37" x14ac:dyDescent="0.15">
      <c r="E115" s="233" t="s">
        <v>290</v>
      </c>
      <c r="F115" s="235"/>
      <c r="G115" s="233"/>
      <c r="H115" s="233"/>
      <c r="I115" s="233"/>
      <c r="AC115" s="317"/>
      <c r="AD115" s="317"/>
      <c r="AE115" s="317"/>
      <c r="AG115" s="232"/>
      <c r="AK115" s="364"/>
    </row>
    <row r="116" spans="5:37" x14ac:dyDescent="0.15">
      <c r="E116" t="s">
        <v>291</v>
      </c>
      <c r="F116" s="235"/>
      <c r="G116" s="233"/>
      <c r="H116" s="233"/>
      <c r="I116" s="233"/>
      <c r="AC116" s="420">
        <f t="array" ref="AC116:AD116">LINEST(LN(W101:W108),LN(U101:U108))</f>
        <v>-5.4190826919211794E-2</v>
      </c>
      <c r="AD116" s="317">
        <v>4.6349616569349115</v>
      </c>
      <c r="AE116" s="420">
        <f>EXP(AD116)</f>
        <v>103.02396766479804</v>
      </c>
      <c r="AG116" s="232"/>
      <c r="AH116" s="2">
        <f t="array" ref="AH116:AJ116">LINEST(AG133:AG136,V133:V136^{1,2})</f>
        <v>7.6809505717179074E-5</v>
      </c>
      <c r="AI116" s="2">
        <v>-5.5721980890464394E-2</v>
      </c>
      <c r="AJ116" s="2">
        <v>87.350769060283667</v>
      </c>
      <c r="AK116" s="364"/>
    </row>
    <row r="117" spans="5:37" ht="14" thickBot="1" x14ac:dyDescent="0.2">
      <c r="E117" t="s">
        <v>292</v>
      </c>
      <c r="F117" s="235"/>
      <c r="G117" s="233"/>
      <c r="H117" s="233"/>
      <c r="I117" s="233"/>
      <c r="AG117" s="232"/>
      <c r="AK117" s="364"/>
    </row>
    <row r="118" spans="5:37" ht="14" thickBot="1" x14ac:dyDescent="0.2">
      <c r="E118" s="233" t="s">
        <v>293</v>
      </c>
      <c r="F118" s="244"/>
      <c r="AC118" t="s">
        <v>480</v>
      </c>
      <c r="AG118" s="232"/>
      <c r="AH118" t="s">
        <v>480</v>
      </c>
      <c r="AK118" s="364"/>
    </row>
    <row r="119" spans="5:37" x14ac:dyDescent="0.15">
      <c r="F119" s="245"/>
      <c r="AC119">
        <f>Tulostus!E33</f>
        <v>40</v>
      </c>
      <c r="AD119" t="s">
        <v>470</v>
      </c>
      <c r="AG119" s="232"/>
      <c r="AH119">
        <f>AC119</f>
        <v>40</v>
      </c>
      <c r="AI119" t="s">
        <v>470</v>
      </c>
      <c r="AK119" s="364"/>
    </row>
    <row r="120" spans="5:37" x14ac:dyDescent="0.15">
      <c r="F120" s="245"/>
      <c r="AG120" s="232"/>
      <c r="AK120" s="364"/>
    </row>
    <row r="121" spans="5:37" ht="14" thickBot="1" x14ac:dyDescent="0.2">
      <c r="E121" s="240" t="s">
        <v>282</v>
      </c>
      <c r="F121" s="233"/>
      <c r="G121" s="233"/>
      <c r="AC121" s="317">
        <f>AE116*AC119^AC116</f>
        <v>84.357036763684349</v>
      </c>
      <c r="AD121" s="317" t="s">
        <v>481</v>
      </c>
      <c r="AG121" s="232"/>
      <c r="AH121" s="3">
        <f>AH116*AH119^2+AI116*AH119+AJ116</f>
        <v>85.244785033812576</v>
      </c>
      <c r="AI121" t="s">
        <v>481</v>
      </c>
      <c r="AK121" s="364"/>
    </row>
    <row r="122" spans="5:37" ht="14" thickBot="1" x14ac:dyDescent="0.2">
      <c r="E122" s="233"/>
      <c r="F122" s="233"/>
      <c r="G122" s="233"/>
      <c r="AC122" s="421">
        <f>IF(AC121&gt;AD113,AD113,IF(AC121&lt;AD114,AD114,AC121))/100</f>
        <v>0.83499999999999996</v>
      </c>
      <c r="AD122" s="317"/>
      <c r="AG122" s="232"/>
      <c r="AH122" s="423">
        <f>IF(AH121&gt;AI113,AI113,IF(AH121&lt;AI114,AI114,AH121))/100</f>
        <v>0.79500000000000004</v>
      </c>
      <c r="AK122" s="364"/>
    </row>
    <row r="123" spans="5:37" ht="13.5" customHeight="1" thickBot="1" x14ac:dyDescent="0.2">
      <c r="E123" s="241" t="s">
        <v>294</v>
      </c>
      <c r="F123" s="233"/>
      <c r="G123" s="233"/>
      <c r="AG123" s="236"/>
      <c r="AH123" s="238"/>
      <c r="AI123" s="238"/>
      <c r="AJ123" s="238"/>
      <c r="AK123" s="239"/>
    </row>
    <row r="124" spans="5:37" x14ac:dyDescent="0.15">
      <c r="E124" s="233"/>
      <c r="F124" s="233"/>
      <c r="G124" s="233"/>
    </row>
    <row r="125" spans="5:37" x14ac:dyDescent="0.15">
      <c r="E125" s="233"/>
      <c r="F125" s="233"/>
      <c r="G125" s="233"/>
    </row>
    <row r="126" spans="5:37" x14ac:dyDescent="0.15">
      <c r="E126" s="233" t="s">
        <v>286</v>
      </c>
      <c r="F126" s="233">
        <v>7</v>
      </c>
      <c r="G126" s="233" t="s">
        <v>287</v>
      </c>
    </row>
    <row r="127" spans="5:37" ht="14" thickBot="1" x14ac:dyDescent="0.2">
      <c r="E127" s="233" t="s">
        <v>288</v>
      </c>
      <c r="F127" s="233">
        <v>20</v>
      </c>
      <c r="G127" s="233" t="s">
        <v>287</v>
      </c>
      <c r="V127" s="2" t="s">
        <v>549</v>
      </c>
    </row>
    <row r="128" spans="5:37" x14ac:dyDescent="0.15">
      <c r="E128" s="233"/>
      <c r="F128" s="233"/>
      <c r="G128" s="233"/>
      <c r="V128" s="914" t="s">
        <v>539</v>
      </c>
      <c r="W128" s="915"/>
      <c r="X128" s="916"/>
      <c r="Y128" s="917" t="s">
        <v>540</v>
      </c>
      <c r="Z128" s="918"/>
      <c r="AA128" s="918"/>
      <c r="AB128" s="918"/>
      <c r="AC128" s="919"/>
      <c r="AD128" s="920" t="s">
        <v>541</v>
      </c>
      <c r="AE128" s="915"/>
      <c r="AF128" s="921"/>
    </row>
    <row r="129" spans="5:33" ht="71" thickBot="1" x14ac:dyDescent="0.2">
      <c r="E129" s="233" t="s">
        <v>289</v>
      </c>
      <c r="F129" s="233" t="s">
        <v>279</v>
      </c>
      <c r="G129" s="233"/>
      <c r="V129" s="422" t="s">
        <v>485</v>
      </c>
      <c r="W129" s="396" t="s">
        <v>542</v>
      </c>
      <c r="X129" s="397" t="s">
        <v>543</v>
      </c>
      <c r="Y129" s="398" t="s">
        <v>544</v>
      </c>
      <c r="Z129" s="399" t="s">
        <v>311</v>
      </c>
      <c r="AA129" s="399" t="s">
        <v>312</v>
      </c>
      <c r="AB129" s="399" t="s">
        <v>280</v>
      </c>
      <c r="AC129" s="400" t="s">
        <v>545</v>
      </c>
      <c r="AD129" s="399" t="s">
        <v>546</v>
      </c>
      <c r="AE129" s="399" t="s">
        <v>547</v>
      </c>
      <c r="AF129" s="410" t="s">
        <v>548</v>
      </c>
    </row>
    <row r="130" spans="5:33" x14ac:dyDescent="0.15">
      <c r="E130" s="233">
        <v>120</v>
      </c>
      <c r="F130" s="242">
        <v>0.79100000000000004</v>
      </c>
      <c r="G130" s="242"/>
      <c r="V130" s="411">
        <v>50</v>
      </c>
      <c r="W130" s="412">
        <v>89.875566893424036</v>
      </c>
      <c r="X130" s="401">
        <v>0.3</v>
      </c>
      <c r="Y130" s="402">
        <v>-26</v>
      </c>
      <c r="Z130" s="413">
        <v>11.365000000000002</v>
      </c>
      <c r="AA130" s="413">
        <v>21</v>
      </c>
      <c r="AB130" s="413">
        <v>-16.365000000000002</v>
      </c>
      <c r="AC130" s="403">
        <v>0.24965435248173343</v>
      </c>
      <c r="AD130" s="404">
        <v>0.83499999999999996</v>
      </c>
      <c r="AE130" s="405">
        <v>0.79500000000000004</v>
      </c>
      <c r="AF130" s="406">
        <v>0.79500000000000004</v>
      </c>
      <c r="AG130">
        <f>AF130*100</f>
        <v>79.5</v>
      </c>
    </row>
    <row r="131" spans="5:33" x14ac:dyDescent="0.15">
      <c r="E131" s="233">
        <v>100</v>
      </c>
      <c r="F131" s="242">
        <v>0.79700000000000004</v>
      </c>
      <c r="G131" s="242"/>
      <c r="V131" s="411">
        <v>100</v>
      </c>
      <c r="W131" s="412">
        <v>159.50226757369614</v>
      </c>
      <c r="X131" s="401">
        <v>0.35</v>
      </c>
      <c r="Y131" s="402">
        <v>-26</v>
      </c>
      <c r="Z131" s="413">
        <v>11.365000000000002</v>
      </c>
      <c r="AA131" s="413">
        <v>21</v>
      </c>
      <c r="AB131" s="413">
        <v>-16.365000000000002</v>
      </c>
      <c r="AC131" s="403">
        <v>0.3797673037468956</v>
      </c>
      <c r="AD131" s="404">
        <v>0.81499999999999995</v>
      </c>
      <c r="AE131" s="405">
        <v>0.79500000000000004</v>
      </c>
      <c r="AF131" s="407">
        <v>0.79500000000000004</v>
      </c>
      <c r="AG131">
        <f>AF131*100</f>
        <v>79.5</v>
      </c>
    </row>
    <row r="132" spans="5:33" x14ac:dyDescent="0.15">
      <c r="E132" s="233">
        <v>90</v>
      </c>
      <c r="F132" s="242">
        <v>0.80100000000000005</v>
      </c>
      <c r="G132" s="242"/>
      <c r="V132" s="411">
        <v>150</v>
      </c>
      <c r="W132" s="412">
        <v>246.38010204081638</v>
      </c>
      <c r="X132" s="401">
        <v>0.4</v>
      </c>
      <c r="Y132" s="402">
        <v>-26</v>
      </c>
      <c r="Z132" s="413">
        <v>11.365000000000002</v>
      </c>
      <c r="AA132" s="413">
        <v>21</v>
      </c>
      <c r="AB132" s="413">
        <v>-16.365000000000002</v>
      </c>
      <c r="AC132" s="403">
        <v>0.51329187925170083</v>
      </c>
      <c r="AD132" s="404">
        <v>0.80200000000000005</v>
      </c>
      <c r="AE132" s="405">
        <v>0.79500000000000004</v>
      </c>
      <c r="AF132" s="407">
        <v>0.79500000000000004</v>
      </c>
      <c r="AG132">
        <f t="shared" ref="AG132:AG136" si="14">AF132*100</f>
        <v>79.5</v>
      </c>
    </row>
    <row r="133" spans="5:33" x14ac:dyDescent="0.15">
      <c r="E133" s="233">
        <v>70</v>
      </c>
      <c r="F133" s="242">
        <v>0.81299999999999994</v>
      </c>
      <c r="G133" s="242"/>
      <c r="V133" s="411">
        <v>200</v>
      </c>
      <c r="W133" s="412">
        <v>349.12018140589578</v>
      </c>
      <c r="X133" s="401">
        <v>0.4</v>
      </c>
      <c r="Y133" s="402">
        <v>-26</v>
      </c>
      <c r="Z133" s="413">
        <v>10.895000000000003</v>
      </c>
      <c r="AA133" s="413">
        <v>21</v>
      </c>
      <c r="AB133" s="413">
        <v>-16.365000000000002</v>
      </c>
      <c r="AC133" s="403">
        <v>0.72733371126228286</v>
      </c>
      <c r="AD133" s="404">
        <v>0.78500000000000003</v>
      </c>
      <c r="AE133" s="405">
        <v>0.78500000000000003</v>
      </c>
      <c r="AF133" s="407">
        <v>0.79273759267300314</v>
      </c>
      <c r="AG133">
        <f t="shared" si="14"/>
        <v>79.273759267300321</v>
      </c>
    </row>
    <row r="134" spans="5:33" x14ac:dyDescent="0.15">
      <c r="E134" s="233">
        <v>60</v>
      </c>
      <c r="F134" s="242">
        <v>0.82099999999999995</v>
      </c>
      <c r="G134" s="242"/>
      <c r="V134" s="411">
        <v>250</v>
      </c>
      <c r="W134" s="412">
        <v>467.37528344671205</v>
      </c>
      <c r="X134" s="401">
        <v>0.4</v>
      </c>
      <c r="Y134" s="402">
        <v>-26</v>
      </c>
      <c r="Z134" s="413">
        <v>10.283999999999999</v>
      </c>
      <c r="AA134" s="413">
        <v>21</v>
      </c>
      <c r="AB134" s="413">
        <v>-16.365000000000002</v>
      </c>
      <c r="AC134" s="403">
        <v>0.9736985071806501</v>
      </c>
      <c r="AD134" s="404">
        <v>0.77200000000000002</v>
      </c>
      <c r="AE134" s="405">
        <v>0.77200000000000002</v>
      </c>
      <c r="AF134" s="407">
        <v>0.78235849475724106</v>
      </c>
      <c r="AG134">
        <f t="shared" si="14"/>
        <v>78.235849475724109</v>
      </c>
    </row>
    <row r="135" spans="5:33" x14ac:dyDescent="0.15">
      <c r="E135" s="233">
        <v>50</v>
      </c>
      <c r="F135" s="242">
        <v>0.83099999999999996</v>
      </c>
      <c r="G135" s="242"/>
      <c r="V135" s="411">
        <v>300</v>
      </c>
      <c r="W135" s="412">
        <v>601.0204081632653</v>
      </c>
      <c r="X135" s="401">
        <v>0.4</v>
      </c>
      <c r="Y135" s="402">
        <v>-26</v>
      </c>
      <c r="Z135" s="413">
        <v>9.8140000000000001</v>
      </c>
      <c r="AA135" s="413">
        <v>21</v>
      </c>
      <c r="AB135" s="413">
        <v>-16.365000000000002</v>
      </c>
      <c r="AC135" s="403">
        <v>1.252125850340136</v>
      </c>
      <c r="AD135" s="404">
        <v>0.76200000000000001</v>
      </c>
      <c r="AE135" s="405">
        <v>0.76200000000000001</v>
      </c>
      <c r="AF135" s="407">
        <v>0.77532048776957596</v>
      </c>
      <c r="AG135">
        <f t="shared" si="14"/>
        <v>77.532048776957595</v>
      </c>
    </row>
    <row r="136" spans="5:33" ht="14" thickBot="1" x14ac:dyDescent="0.2">
      <c r="E136" s="233">
        <v>40</v>
      </c>
      <c r="F136" s="242">
        <v>0.84299999999999997</v>
      </c>
      <c r="G136" s="242"/>
      <c r="V136" s="409">
        <v>350</v>
      </c>
      <c r="W136" s="396">
        <v>750</v>
      </c>
      <c r="X136" s="414">
        <v>0.4</v>
      </c>
      <c r="Y136" s="415">
        <v>-26</v>
      </c>
      <c r="Z136" s="416">
        <v>9.5319999999999965</v>
      </c>
      <c r="AA136" s="416">
        <v>21</v>
      </c>
      <c r="AB136" s="416">
        <v>-16.365000000000002</v>
      </c>
      <c r="AC136" s="417">
        <v>1.5625</v>
      </c>
      <c r="AD136" s="418">
        <v>0.75599999999999989</v>
      </c>
      <c r="AE136" s="419">
        <v>0.75599999999999989</v>
      </c>
      <c r="AF136" s="408">
        <v>0.7726223404255318</v>
      </c>
      <c r="AG136">
        <f t="shared" si="14"/>
        <v>77.262234042553175</v>
      </c>
    </row>
    <row r="137" spans="5:33" x14ac:dyDescent="0.15">
      <c r="E137" s="233">
        <v>30</v>
      </c>
      <c r="F137" s="242">
        <v>0.85899999999999999</v>
      </c>
      <c r="G137" s="242"/>
    </row>
    <row r="138" spans="5:33" x14ac:dyDescent="0.15">
      <c r="E138" s="233">
        <v>25</v>
      </c>
      <c r="F138" s="242">
        <v>0.87</v>
      </c>
      <c r="G138" s="242"/>
    </row>
    <row r="139" spans="5:33" x14ac:dyDescent="0.15">
      <c r="E139" s="233">
        <f t="array" ref="E139:I139">LINEST(F130:F138,E130:E138^{1,2,3,4})</f>
        <v>1.0826812711618555E-9</v>
      </c>
      <c r="F139" s="233">
        <v>-3.8381799248930507E-7</v>
      </c>
      <c r="G139" s="233">
        <v>5.5261269010114076E-5</v>
      </c>
      <c r="H139" s="233">
        <v>-4.2806112909305688E-3</v>
      </c>
      <c r="I139" s="233">
        <v>0.94769368460499781</v>
      </c>
    </row>
    <row r="141" spans="5:33" x14ac:dyDescent="0.15">
      <c r="E141" s="233" t="s">
        <v>290</v>
      </c>
      <c r="F141" s="235">
        <f>F115</f>
        <v>0</v>
      </c>
      <c r="G141" s="233"/>
    </row>
    <row r="142" spans="5:33" x14ac:dyDescent="0.15">
      <c r="E142" t="s">
        <v>291</v>
      </c>
      <c r="F142" s="235">
        <f>F116</f>
        <v>0</v>
      </c>
      <c r="G142" s="233"/>
    </row>
    <row r="143" spans="5:33" ht="14" thickBot="1" x14ac:dyDescent="0.2">
      <c r="E143" t="s">
        <v>292</v>
      </c>
      <c r="F143" s="235">
        <f>F117</f>
        <v>0</v>
      </c>
      <c r="G143" s="233"/>
    </row>
    <row r="144" spans="5:33" ht="14" thickBot="1" x14ac:dyDescent="0.2">
      <c r="E144" s="233" t="s">
        <v>293</v>
      </c>
      <c r="F144" s="244">
        <f>MIN($E$139*F143^4+$F$139*F143^3+$G$139*F143^2+$H$139*F143+$I$139,0.85)</f>
        <v>0.85</v>
      </c>
    </row>
    <row r="147" spans="5:7" x14ac:dyDescent="0.15">
      <c r="E147" s="240" t="s">
        <v>283</v>
      </c>
      <c r="F147" s="233"/>
      <c r="G147" s="233"/>
    </row>
    <row r="148" spans="5:7" x14ac:dyDescent="0.15">
      <c r="E148" s="233"/>
      <c r="F148" s="233"/>
      <c r="G148" s="233"/>
    </row>
    <row r="149" spans="5:7" x14ac:dyDescent="0.15">
      <c r="E149" s="241" t="s">
        <v>285</v>
      </c>
      <c r="F149" s="233"/>
      <c r="G149" s="233"/>
    </row>
    <row r="150" spans="5:7" x14ac:dyDescent="0.15">
      <c r="E150" s="233"/>
      <c r="F150" s="233"/>
      <c r="G150" s="233"/>
    </row>
    <row r="151" spans="5:7" x14ac:dyDescent="0.15">
      <c r="E151" s="233"/>
      <c r="F151" s="233"/>
      <c r="G151" s="233"/>
    </row>
    <row r="152" spans="5:7" x14ac:dyDescent="0.15">
      <c r="E152" s="233" t="s">
        <v>286</v>
      </c>
      <c r="F152" s="233">
        <v>7</v>
      </c>
      <c r="G152" s="233" t="s">
        <v>287</v>
      </c>
    </row>
    <row r="153" spans="5:7" x14ac:dyDescent="0.15">
      <c r="E153" s="233" t="s">
        <v>288</v>
      </c>
      <c r="F153" s="233">
        <v>20</v>
      </c>
      <c r="G153" s="233" t="s">
        <v>287</v>
      </c>
    </row>
    <row r="154" spans="5:7" x14ac:dyDescent="0.15">
      <c r="E154" s="233"/>
      <c r="F154" s="233"/>
      <c r="G154" s="233"/>
    </row>
    <row r="155" spans="5:7" x14ac:dyDescent="0.15">
      <c r="E155" s="233" t="s">
        <v>289</v>
      </c>
      <c r="F155" s="233" t="s">
        <v>279</v>
      </c>
      <c r="G155" s="233"/>
    </row>
    <row r="156" spans="5:7" x14ac:dyDescent="0.15">
      <c r="E156" s="233">
        <v>100</v>
      </c>
      <c r="F156" s="242"/>
      <c r="G156" s="242"/>
    </row>
    <row r="157" spans="5:7" x14ac:dyDescent="0.15">
      <c r="E157" s="233">
        <v>90</v>
      </c>
      <c r="F157" s="242"/>
      <c r="G157" s="242"/>
    </row>
    <row r="158" spans="5:7" x14ac:dyDescent="0.15">
      <c r="E158" s="233">
        <v>80</v>
      </c>
      <c r="F158" s="242"/>
      <c r="G158" s="242"/>
    </row>
    <row r="159" spans="5:7" x14ac:dyDescent="0.15">
      <c r="E159" s="233">
        <v>70</v>
      </c>
      <c r="F159" s="242"/>
      <c r="G159" s="242"/>
    </row>
    <row r="160" spans="5:7" x14ac:dyDescent="0.15">
      <c r="E160" s="233">
        <v>60</v>
      </c>
      <c r="F160" s="242"/>
      <c r="G160" s="242"/>
    </row>
    <row r="161" spans="5:9" x14ac:dyDescent="0.15">
      <c r="E161" s="233">
        <v>50</v>
      </c>
      <c r="F161" s="242"/>
      <c r="G161" s="242"/>
    </row>
    <row r="162" spans="5:9" x14ac:dyDescent="0.15">
      <c r="E162" s="233">
        <v>40</v>
      </c>
      <c r="F162" s="242"/>
      <c r="G162" s="242"/>
    </row>
    <row r="163" spans="5:9" x14ac:dyDescent="0.15">
      <c r="E163" s="233">
        <v>30</v>
      </c>
      <c r="F163" s="242"/>
      <c r="G163" s="242"/>
    </row>
    <row r="164" spans="5:9" x14ac:dyDescent="0.15">
      <c r="E164" s="233">
        <v>22</v>
      </c>
      <c r="F164" s="242"/>
      <c r="G164" s="242"/>
    </row>
    <row r="165" spans="5:9" x14ac:dyDescent="0.15">
      <c r="E165" s="233" t="e">
        <f t="array" ref="E165:I165">LINEST(F156:F164,E156:E164^{1,2,3,4})</f>
        <v>#VALUE!</v>
      </c>
      <c r="F165" s="233" t="e">
        <v>#VALUE!</v>
      </c>
      <c r="G165" s="233" t="e">
        <v>#VALUE!</v>
      </c>
      <c r="H165" s="233" t="e">
        <v>#VALUE!</v>
      </c>
      <c r="I165" s="233" t="e">
        <v>#VALUE!</v>
      </c>
    </row>
    <row r="167" spans="5:9" x14ac:dyDescent="0.15">
      <c r="E167" s="233" t="s">
        <v>290</v>
      </c>
      <c r="F167" s="235">
        <f>F141</f>
        <v>0</v>
      </c>
      <c r="G167" s="233"/>
    </row>
    <row r="168" spans="5:9" x14ac:dyDescent="0.15">
      <c r="E168" t="s">
        <v>291</v>
      </c>
      <c r="F168" s="235">
        <f>F142</f>
        <v>0</v>
      </c>
      <c r="G168" s="233"/>
    </row>
    <row r="169" spans="5:9" ht="14" thickBot="1" x14ac:dyDescent="0.2">
      <c r="E169" t="s">
        <v>292</v>
      </c>
      <c r="F169" s="235">
        <f>F143</f>
        <v>0</v>
      </c>
      <c r="G169" s="233"/>
    </row>
    <row r="170" spans="5:9" ht="14" thickBot="1" x14ac:dyDescent="0.2">
      <c r="E170" s="233" t="s">
        <v>293</v>
      </c>
      <c r="F170" s="244" t="e">
        <f>MIN($E$165*F169^4+$F$165*F169^3+$G$165*F169^2+$H$165*F169+$I$165,0.82)</f>
        <v>#VALUE!</v>
      </c>
    </row>
  </sheetData>
  <mergeCells count="9">
    <mergeCell ref="W99:Y99"/>
    <mergeCell ref="V128:X128"/>
    <mergeCell ref="Y128:AC128"/>
    <mergeCell ref="AD128:AF128"/>
    <mergeCell ref="X9:AA9"/>
    <mergeCell ref="X22:AA22"/>
    <mergeCell ref="X34:AA34"/>
    <mergeCell ref="X46:AA46"/>
    <mergeCell ref="X58:AA58"/>
  </mergeCells>
  <phoneticPr fontId="82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BF63E-B509-4A7B-AE34-ED97C21B2298}">
  <sheetPr codeName="Taul4"/>
  <dimension ref="C2:AW99"/>
  <sheetViews>
    <sheetView zoomScale="70" zoomScaleNormal="70" workbookViewId="0">
      <selection activeCell="W10" sqref="W10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Tulostus!$E$33</f>
        <v>40</v>
      </c>
      <c r="K3" t="s">
        <v>13</v>
      </c>
      <c r="L3" s="122">
        <f>Tulostus!$E$39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18.924439255007997</v>
      </c>
      <c r="Q5" s="52">
        <v>-27.54022431181194</v>
      </c>
      <c r="R5" t="s">
        <v>28</v>
      </c>
      <c r="T5" s="4"/>
      <c r="U5" s="39" t="s">
        <v>43</v>
      </c>
      <c r="V5" t="s">
        <v>28</v>
      </c>
      <c r="W5" s="9">
        <f>$P$5*LN($J$3)+$Q$5</f>
        <v>42.269750836614307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19.606545305994555</v>
      </c>
      <c r="Q6" s="52">
        <v>-14.690364652658943</v>
      </c>
      <c r="R6" t="s">
        <v>7</v>
      </c>
      <c r="T6" s="4"/>
      <c r="U6" s="39" t="s">
        <v>43</v>
      </c>
      <c r="V6" t="s">
        <v>7</v>
      </c>
      <c r="W6" s="9">
        <f>$P$6*LN($J$3)+$Q$6</f>
        <v>57.635817492778415</v>
      </c>
      <c r="X6" t="s">
        <v>31</v>
      </c>
      <c r="AA6" s="55">
        <v>25</v>
      </c>
      <c r="AB6" s="56">
        <f t="shared" ref="AB6:AB12" si="0">(-$D$9-SQRT($D$9^2-(4*$C$9*($E$9-AA6))))/(2*$C$9)</f>
        <v>131.65147221131414</v>
      </c>
      <c r="AC6" s="55">
        <v>20</v>
      </c>
      <c r="AD6" s="57">
        <f t="shared" ref="AD6:AD12" si="1">(-$D$14-SQRT($D$14^2-(4*$C$14*($E$14-AC6))))/(2*$C$14)</f>
        <v>116.85450849239542</v>
      </c>
      <c r="AE6" s="55">
        <v>10</v>
      </c>
      <c r="AF6" s="57">
        <f t="shared" ref="AF6:AF11" si="2">(-$D$19-SQRT($D$19^2-(4*$C$19*($E$19-AE6))))/(2*$C$19)</f>
        <v>86.014925141186822</v>
      </c>
      <c r="AG6" s="56">
        <v>10</v>
      </c>
      <c r="AH6" s="57">
        <f>(-$D$24-SQRT($D$24^2-(4*$C$24*($E$24-AG6))))/(2*$C$24)</f>
        <v>49.481696828913591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122.52946208046407</v>
      </c>
      <c r="AC7" s="55">
        <v>50</v>
      </c>
      <c r="AD7" s="57">
        <f t="shared" si="1"/>
        <v>112.30721540202725</v>
      </c>
      <c r="AE7" s="55">
        <v>40</v>
      </c>
      <c r="AF7" s="57">
        <f t="shared" si="2"/>
        <v>78.95043720955195</v>
      </c>
      <c r="AG7" s="56">
        <v>20</v>
      </c>
      <c r="AH7" s="57">
        <f>(-$D$24-SQRT($D$24^2-(4*$C$24*($E$24-AG7))))/(2*$C$24)</f>
        <v>45.39455871587581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115.04274265297924</v>
      </c>
      <c r="AC8" s="55">
        <v>100</v>
      </c>
      <c r="AD8" s="57">
        <f t="shared" si="1"/>
        <v>104.21936943528442</v>
      </c>
      <c r="AE8" s="55">
        <v>60</v>
      </c>
      <c r="AF8" s="57">
        <f t="shared" si="2"/>
        <v>73.965772403943234</v>
      </c>
      <c r="AG8" s="56">
        <v>25</v>
      </c>
      <c r="AH8" s="57">
        <f>(-$D$24-SQRT($D$24^2-(4*$C$24*($E$24-AG8))))/(2*$C$24)</f>
        <v>43.286302856281061</v>
      </c>
    </row>
    <row r="9" spans="3:34" x14ac:dyDescent="0.15">
      <c r="C9" s="8">
        <v>-6.409169683999047E-2</v>
      </c>
      <c r="D9" s="8">
        <v>5.876516138498558</v>
      </c>
      <c r="E9" s="8">
        <v>362.19234728891263</v>
      </c>
      <c r="H9" s="2"/>
      <c r="P9" t="s">
        <v>615</v>
      </c>
      <c r="Q9" s="52">
        <f t="array" ref="Q9:R9">LINEST(AM35:AM38,AL35:AL38)</f>
        <v>11.519428290034652</v>
      </c>
      <c r="R9" s="52">
        <v>-9.6631711437534591</v>
      </c>
      <c r="S9" s="84">
        <f>(J3-R9)/Q9</f>
        <v>4.3112531189344354</v>
      </c>
      <c r="U9" s="39" t="s">
        <v>42</v>
      </c>
      <c r="V9" t="s">
        <v>44</v>
      </c>
      <c r="W9" s="9">
        <f>IF($J$3&gt;$AM$35,($J$3-$R$10)/$Q$10,($J$3-$R$9)/$Q$9)</f>
        <v>4.3112531189344354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107.91088932436708</v>
      </c>
      <c r="AC9" s="55">
        <v>150</v>
      </c>
      <c r="AD9" s="57">
        <f t="shared" si="1"/>
        <v>95.329191153990706</v>
      </c>
      <c r="AE9" s="55">
        <v>80</v>
      </c>
      <c r="AF9" s="57">
        <f t="shared" si="2"/>
        <v>68.721115310129704</v>
      </c>
      <c r="AG9" s="56">
        <v>30</v>
      </c>
      <c r="AH9" s="57">
        <f>(-$D$24-SQRT($D$24^2-(4*$C$24*($E$24-AG9))))/(2*$C$24)</f>
        <v>41.131100017601455</v>
      </c>
    </row>
    <row r="10" spans="3:34" x14ac:dyDescent="0.15">
      <c r="C10" s="468" t="s">
        <v>589</v>
      </c>
      <c r="D10" s="2"/>
      <c r="E10" s="2"/>
      <c r="H10" s="2"/>
      <c r="P10" t="s">
        <v>614</v>
      </c>
      <c r="Q10" s="52">
        <f t="array" ref="Q10:R10">LINEST(AM34:AM35,AL34:AL35)</f>
        <v>5.8761600146724513</v>
      </c>
      <c r="R10" s="52">
        <v>40.967017424597209</v>
      </c>
      <c r="S10" s="84">
        <f>(J3-R10)/Q10</f>
        <v>-0.16456621708439173</v>
      </c>
      <c r="W10" t="b">
        <f>IF(AND(W9&gt;=0,W9&lt;=10.01,Tulostus!E33&gt;=W11,P22),TRUE,FALSE)</f>
        <v>1</v>
      </c>
      <c r="AA10" s="55">
        <v>320</v>
      </c>
      <c r="AB10" s="56">
        <f t="shared" si="0"/>
        <v>98.380674781731599</v>
      </c>
      <c r="AC10" s="55">
        <v>170</v>
      </c>
      <c r="AD10" s="57">
        <f t="shared" si="1"/>
        <v>91.487310242307103</v>
      </c>
      <c r="AE10" s="55">
        <v>100</v>
      </c>
      <c r="AF10" s="57">
        <f t="shared" si="2"/>
        <v>63.170968273780559</v>
      </c>
      <c r="AG10" s="56">
        <v>70</v>
      </c>
      <c r="AH10" s="57">
        <f>(-$D$24-SQRT($D$24^2-(4*$C$24*($E$24-AG10))))/(2*$C$24)</f>
        <v>21.698347502443017</v>
      </c>
    </row>
    <row r="11" spans="3:34" x14ac:dyDescent="0.15">
      <c r="C11" s="2" t="s">
        <v>408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86.68396882006833</v>
      </c>
      <c r="AC11" s="55">
        <v>190</v>
      </c>
      <c r="AD11" s="57">
        <f t="shared" si="1"/>
        <v>87.444183357892655</v>
      </c>
      <c r="AE11" s="55">
        <v>180</v>
      </c>
      <c r="AF11" s="57">
        <f t="shared" si="2"/>
        <v>36.255180897120141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69.837702333332686</v>
      </c>
      <c r="AC12" s="58">
        <v>320</v>
      </c>
      <c r="AD12" s="60">
        <f t="shared" si="1"/>
        <v>51.732198585414771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2.598354908532614E-2</v>
      </c>
      <c r="Q13" s="51">
        <v>-1.3951720503468439</v>
      </c>
      <c r="R13" s="51">
        <v>32.448104778567767</v>
      </c>
      <c r="U13" s="39" t="s">
        <v>43</v>
      </c>
      <c r="V13" t="s">
        <v>44</v>
      </c>
      <c r="W13" s="9">
        <f>$P$13*J3^2+$Q$13*J3+$R$13</f>
        <v>18.214901301215839</v>
      </c>
      <c r="X13" t="s">
        <v>49</v>
      </c>
      <c r="Y13" t="s">
        <v>592</v>
      </c>
    </row>
    <row r="14" spans="3:34" x14ac:dyDescent="0.15">
      <c r="C14" s="8">
        <v>-3.2861985306926245E-2</v>
      </c>
      <c r="D14" s="8">
        <v>0.93337769139334081</v>
      </c>
      <c r="E14" s="8">
        <v>359.66023440648013</v>
      </c>
      <c r="H14" s="2"/>
      <c r="V14" t="s">
        <v>52</v>
      </c>
      <c r="W14" s="3">
        <f>IF(W13&gt;Y14,Y14,W13)</f>
        <v>18.214901301215839</v>
      </c>
      <c r="X14" t="s">
        <v>49</v>
      </c>
      <c r="Y14">
        <v>168</v>
      </c>
      <c r="Z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411</v>
      </c>
      <c r="D16" s="1"/>
      <c r="E16" s="1"/>
      <c r="H16" s="1"/>
      <c r="V16" t="s">
        <v>58</v>
      </c>
      <c r="W16">
        <f>'Laskenta poistopuoli 130'!W13</f>
        <v>14.21126308678042</v>
      </c>
    </row>
    <row r="17" spans="3:45" ht="14" thickBot="1" x14ac:dyDescent="0.2">
      <c r="C17" t="s">
        <v>11</v>
      </c>
      <c r="D17" s="1"/>
      <c r="E17" s="1"/>
      <c r="H17" s="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28" t="s">
        <v>605</v>
      </c>
      <c r="Q18" s="230"/>
      <c r="R18" s="231"/>
    </row>
    <row r="19" spans="3:45" x14ac:dyDescent="0.15">
      <c r="C19" s="8">
        <v>-1.9444221456467313E-2</v>
      </c>
      <c r="D19" s="8">
        <v>-1.0389692541728106</v>
      </c>
      <c r="E19" s="8">
        <v>243.22624457817986</v>
      </c>
      <c r="P19" s="232" t="s">
        <v>606</v>
      </c>
      <c r="Q19">
        <v>350</v>
      </c>
      <c r="R19" s="364" t="s">
        <v>14</v>
      </c>
      <c r="V19" s="74" t="s">
        <v>74</v>
      </c>
      <c r="W19" s="77">
        <f>W13+W16+W17</f>
        <v>36.826164387996258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 t="s">
        <v>607</v>
      </c>
      <c r="Q20">
        <v>0.45</v>
      </c>
      <c r="R20" s="364"/>
      <c r="AB20" s="6"/>
      <c r="AC20" s="6"/>
    </row>
    <row r="21" spans="3:45" x14ac:dyDescent="0.15">
      <c r="C21" s="2" t="s">
        <v>409</v>
      </c>
      <c r="D21" s="1"/>
      <c r="E21" s="1"/>
      <c r="H21" s="1"/>
      <c r="P21" s="232"/>
      <c r="R21" s="364"/>
      <c r="V21" t="s">
        <v>78</v>
      </c>
      <c r="W21">
        <f>MAX(J3,'Laskenta poistopuoli 130'!J3)</f>
        <v>40</v>
      </c>
      <c r="X21" t="s">
        <v>13</v>
      </c>
      <c r="AB21" s="6"/>
      <c r="AC21" s="6"/>
    </row>
    <row r="22" spans="3:45" ht="16" thickBot="1" x14ac:dyDescent="0.2">
      <c r="C22" t="s">
        <v>11</v>
      </c>
      <c r="D22" s="1"/>
      <c r="E22" s="1"/>
      <c r="H22" s="1"/>
      <c r="P22" s="236" t="b">
        <f>IF(AND(L3&gt;Q19,U29&gt;Q20),FALSE,TRUE)</f>
        <v>1</v>
      </c>
      <c r="Q22" s="238"/>
      <c r="R22" s="239"/>
      <c r="V22" t="s">
        <v>75</v>
      </c>
      <c r="W22">
        <f>W19/W21</f>
        <v>0.92065410969990646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</row>
    <row r="24" spans="3:45" x14ac:dyDescent="0.15">
      <c r="C24" s="8">
        <v>-1.2117251709307388E-2</v>
      </c>
      <c r="D24" s="8">
        <v>-1.2970603294116825</v>
      </c>
      <c r="E24" s="8">
        <v>103.84908941986085</v>
      </c>
      <c r="H24" s="1"/>
      <c r="P24">
        <v>60</v>
      </c>
      <c r="Q24">
        <f>$C$27*P24^2+$D$27*P24+$E$27</f>
        <v>412.9606628462916</v>
      </c>
    </row>
    <row r="25" spans="3:45" x14ac:dyDescent="0.15">
      <c r="G25" s="2"/>
      <c r="H25" s="1"/>
      <c r="P25">
        <v>90</v>
      </c>
      <c r="Q25">
        <f t="shared" ref="Q25:Q26" si="3">$C$27*P25^2+$D$27*P25+$E$27</f>
        <v>294.88862109012308</v>
      </c>
    </row>
    <row r="26" spans="3:45" x14ac:dyDescent="0.15">
      <c r="C26" s="2" t="s">
        <v>591</v>
      </c>
      <c r="P26">
        <v>120</v>
      </c>
      <c r="Q26">
        <f t="shared" si="3"/>
        <v>115.15577786811809</v>
      </c>
    </row>
    <row r="27" spans="3:45" x14ac:dyDescent="0.15">
      <c r="C27" s="8">
        <v>-3.4256000814353607E-2</v>
      </c>
      <c r="D27" s="8">
        <v>1.2026653969474246</v>
      </c>
      <c r="E27" s="8">
        <v>464.1223419611191</v>
      </c>
      <c r="U27" t="s">
        <v>37</v>
      </c>
    </row>
    <row r="28" spans="3:45" x14ac:dyDescent="0.15">
      <c r="U28" s="4" t="s">
        <v>17</v>
      </c>
    </row>
    <row r="29" spans="3:45" x14ac:dyDescent="0.15">
      <c r="U29" s="4">
        <f>(L3/J3)^2/L3</f>
        <v>3.125E-2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-6.409169683999047E-2</v>
      </c>
      <c r="W34" s="99">
        <f>D9</f>
        <v>5.876516138498558</v>
      </c>
      <c r="X34" s="100">
        <f>E9</f>
        <v>362.19234728891263</v>
      </c>
      <c r="Y34" s="36">
        <f>C9-U29</f>
        <v>-9.534169683999047E-2</v>
      </c>
      <c r="Z34" s="28">
        <f>(-W34+SQRT(W34^2-(4*Y34*X34)))/(2*Y34)</f>
        <v>-38.092247197497095</v>
      </c>
      <c r="AA34" s="29">
        <f>(-W34-SQRT(W34^2-(4*Y34*X34)))/(2*Y34)</f>
        <v>99.72861757132172</v>
      </c>
      <c r="AB34" s="36">
        <f>AB6</f>
        <v>131.65147221131414</v>
      </c>
      <c r="AC34" s="53">
        <f>IF(Z34&lt;0,AA34,IF(Z34&gt;AB34,AA34,Z34))</f>
        <v>99.72861757132172</v>
      </c>
      <c r="AD34" s="53">
        <f>V34*AC34^2+W34*AC34+X34</f>
        <v>310.80616133396677</v>
      </c>
      <c r="AE34" s="53">
        <f>X51*AC34^2+Y51*AC34+Z51</f>
        <v>157.19220635808034</v>
      </c>
      <c r="AF34" s="53">
        <f>$H$60*AC34^2+$I$60*AC34+$J$60</f>
        <v>59.985878217689297</v>
      </c>
      <c r="AG34" s="53">
        <f>$R$60*AC34^2+$S$60*AC34+$T$60</f>
        <v>75.756281152701021</v>
      </c>
      <c r="AI34">
        <v>10</v>
      </c>
      <c r="AJ34" s="3">
        <f>AC34</f>
        <v>99.72861757132172</v>
      </c>
      <c r="AL34">
        <v>10</v>
      </c>
      <c r="AM34" s="3">
        <f>AJ34</f>
        <v>99.72861757132172</v>
      </c>
      <c r="AS34" s="618">
        <f>AC34/$J$3-1</f>
        <v>1.493215439283043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-3.2861985306926245E-2</v>
      </c>
      <c r="W35" s="99">
        <f>D14</f>
        <v>0.93337769139334081</v>
      </c>
      <c r="X35" s="100">
        <f>E14</f>
        <v>359.66023440648013</v>
      </c>
      <c r="Y35" s="36">
        <f>C14-U29</f>
        <v>-6.4111985306926245E-2</v>
      </c>
      <c r="Z35" s="28">
        <f t="shared" ref="Z35:Z37" si="4">(-W35+SQRT(W35^2-(4*Y35*X35)))/(2*Y35)</f>
        <v>-67.972720700410505</v>
      </c>
      <c r="AA35" s="29">
        <f t="shared" ref="AA35:AA37" si="5">(-W35-SQRT(W35^2-(4*Y35*X35)))/(2*Y35)</f>
        <v>82.531273004241669</v>
      </c>
      <c r="AB35" s="36">
        <f>AD6</f>
        <v>116.85450849239542</v>
      </c>
      <c r="AC35" s="53">
        <f t="shared" ref="AC35:AC37" si="6">IF(Z35&lt;0,AA35,IF(Z35&gt;AB35,AA35,Z35))</f>
        <v>82.531273004241669</v>
      </c>
      <c r="AD35" s="53">
        <f>V35*AC35^2+W35*AC35+X35</f>
        <v>212.85659449064588</v>
      </c>
      <c r="AE35" s="53">
        <f t="shared" ref="AE35:AE37" si="7">X52*AC35^2+Y52*AC35+Z52</f>
        <v>95.645708706157208</v>
      </c>
      <c r="AF35" s="53">
        <f>$H$65*AC35^2+$I$65*AC35+$J$65</f>
        <v>55.777477787785024</v>
      </c>
      <c r="AG35" s="53">
        <f>$R$65*AC35^2+$S$65*AC35+$T$65</f>
        <v>71.74544046237483</v>
      </c>
      <c r="AI35">
        <v>8</v>
      </c>
      <c r="AJ35" s="3">
        <f t="shared" ref="AJ35:AJ38" si="8">AC35</f>
        <v>82.531273004241669</v>
      </c>
      <c r="AL35">
        <v>9</v>
      </c>
      <c r="AM35" s="3">
        <f>AJ38</f>
        <v>93.85245755664927</v>
      </c>
      <c r="AO35">
        <v>9</v>
      </c>
      <c r="AP35">
        <f>Q9*AO35+R9</f>
        <v>94.011683466558409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-1.9444221456467313E-2</v>
      </c>
      <c r="W36" s="99">
        <f>D19</f>
        <v>-1.0389692541728106</v>
      </c>
      <c r="X36" s="100">
        <f>E19</f>
        <v>243.22624457817986</v>
      </c>
      <c r="Y36" s="36">
        <f>C19-U29</f>
        <v>-5.0694221456467313E-2</v>
      </c>
      <c r="Z36" s="28">
        <f t="shared" si="4"/>
        <v>-80.268253838429644</v>
      </c>
      <c r="AA36" s="29">
        <f t="shared" si="5"/>
        <v>59.77342771579147</v>
      </c>
      <c r="AB36" s="36">
        <f>AF6</f>
        <v>86.014925141186822</v>
      </c>
      <c r="AC36" s="53">
        <f t="shared" si="6"/>
        <v>59.77342771579147</v>
      </c>
      <c r="AD36" s="53">
        <f>V36*AC36^2+W36*AC36+X36</f>
        <v>111.65195815296713</v>
      </c>
      <c r="AE36" s="53">
        <f t="shared" si="7"/>
        <v>43.538504391341519</v>
      </c>
      <c r="AF36" s="53">
        <f>$H$70*AC36^2+$I$70*AC36+$J$70</f>
        <v>49.335069347654695</v>
      </c>
      <c r="AG36" s="53">
        <f>$R$70*AC36^2+$S$70*AC36+$T$70</f>
        <v>65.240191998288708</v>
      </c>
      <c r="AI36">
        <v>6</v>
      </c>
      <c r="AJ36" s="3">
        <f t="shared" si="8"/>
        <v>59.77342771579147</v>
      </c>
      <c r="AL36">
        <v>8</v>
      </c>
      <c r="AM36" s="3">
        <f>AJ35</f>
        <v>82.531273004241669</v>
      </c>
      <c r="AS36" s="611">
        <f>Tulokset!$CR$16</f>
        <v>48</v>
      </c>
      <c r="AT36" t="s">
        <v>13</v>
      </c>
      <c r="AV36" s="619">
        <f>IF($AS$36&gt;$AM$35,($AS$36-$R$10)/$Q$10,($AS$36-$R$9)/$Q$9)</f>
        <v>5.0057320287012264</v>
      </c>
      <c r="AW36" t="s">
        <v>25</v>
      </c>
    </row>
    <row r="37" spans="21:49" ht="14" thickBot="1" x14ac:dyDescent="0.2">
      <c r="U37" s="35">
        <v>4</v>
      </c>
      <c r="V37" s="98">
        <f>C24</f>
        <v>-1.2117251709307388E-2</v>
      </c>
      <c r="W37" s="99">
        <f>D24</f>
        <v>-1.2970603294116825</v>
      </c>
      <c r="X37" s="100">
        <f>E24</f>
        <v>103.84908941986085</v>
      </c>
      <c r="Y37" s="36">
        <f>C24-U29</f>
        <v>-4.3367251709307386E-2</v>
      </c>
      <c r="Z37" s="28">
        <f t="shared" si="4"/>
        <v>-66.123471898157078</v>
      </c>
      <c r="AA37" s="29">
        <f t="shared" si="5"/>
        <v>36.214720979239374</v>
      </c>
      <c r="AB37" s="36">
        <f>AH6</f>
        <v>49.481696828913591</v>
      </c>
      <c r="AC37" s="469">
        <f t="shared" si="6"/>
        <v>36.214720979239374</v>
      </c>
      <c r="AD37" s="469">
        <f>V37*AC37^2+W37*AC37+X37</f>
        <v>40.984562987630014</v>
      </c>
      <c r="AE37" s="53">
        <f t="shared" si="7"/>
        <v>15.31434806592806</v>
      </c>
      <c r="AF37" s="53">
        <f>$H$75*AC37^2+$I$75*AC37+$J$75</f>
        <v>40.696621535644582</v>
      </c>
      <c r="AG37" s="53">
        <f>$R$75*AC37^2+$S$75*AC37+$T$75</f>
        <v>55.840780483818968</v>
      </c>
      <c r="AI37">
        <v>4</v>
      </c>
      <c r="AJ37" s="3">
        <f t="shared" si="8"/>
        <v>36.214720979239374</v>
      </c>
      <c r="AL37">
        <v>6</v>
      </c>
      <c r="AM37" s="3">
        <f t="shared" ref="AM37:AM38" si="9">AJ36</f>
        <v>59.77342771579147</v>
      </c>
      <c r="AS37" s="611">
        <f>Tulokset!$CR$17</f>
        <v>72</v>
      </c>
      <c r="AT37" t="s">
        <v>14</v>
      </c>
    </row>
    <row r="38" spans="21:49" ht="14" thickBot="1" x14ac:dyDescent="0.2">
      <c r="U38" s="470">
        <v>9</v>
      </c>
      <c r="V38" s="471">
        <f>C27</f>
        <v>-3.4256000814353607E-2</v>
      </c>
      <c r="W38" s="471">
        <f t="shared" ref="W38:X38" si="10">D27</f>
        <v>1.2026653969474246</v>
      </c>
      <c r="X38" s="471">
        <f t="shared" si="10"/>
        <v>464.1223419611191</v>
      </c>
      <c r="Y38" s="472">
        <f>C27-U29</f>
        <v>-6.5506000814353607E-2</v>
      </c>
      <c r="Z38" s="473">
        <f t="shared" ref="Z38" si="11">(-W38+SQRT(W38^2-(4*Y38*X38)))/(2*Y38)</f>
        <v>-75.49283581213426</v>
      </c>
      <c r="AA38" s="474">
        <f t="shared" ref="AA38" si="12">(-W38-SQRT(W38^2-(4*Y38*X38)))/(2*Y38)</f>
        <v>93.85245755664927</v>
      </c>
      <c r="AB38" s="475">
        <v>120</v>
      </c>
      <c r="AC38" s="476">
        <f t="shared" ref="AC38" si="13">IF(Z38&lt;0,AA38,IF(Z38&gt;AB38,AA38,Z38))</f>
        <v>93.85245755664927</v>
      </c>
      <c r="AD38" s="477">
        <f>V38*AC38^2+W38*AC38+X38</f>
        <v>275.25886841945794</v>
      </c>
      <c r="AE38" s="53">
        <f>X55*AC38^2+Y55*AC38+Z55</f>
        <v>122.60099217840872</v>
      </c>
      <c r="AI38">
        <v>9</v>
      </c>
      <c r="AJ38" s="3">
        <f t="shared" si="8"/>
        <v>93.85245755664927</v>
      </c>
      <c r="AL38">
        <v>4</v>
      </c>
      <c r="AM38" s="3">
        <f t="shared" si="9"/>
        <v>36.214720979239374</v>
      </c>
    </row>
    <row r="40" spans="21:49" x14ac:dyDescent="0.15">
      <c r="U40" s="2" t="s">
        <v>35</v>
      </c>
      <c r="W40" t="s">
        <v>36</v>
      </c>
    </row>
    <row r="41" spans="21:49" x14ac:dyDescent="0.15">
      <c r="Z41" s="272" t="s">
        <v>596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26</v>
      </c>
      <c r="V43" s="21"/>
      <c r="W43" s="49">
        <v>14</v>
      </c>
      <c r="X43" s="49">
        <v>11</v>
      </c>
      <c r="Y43" s="49">
        <v>4</v>
      </c>
      <c r="Z43" s="480">
        <v>-3</v>
      </c>
      <c r="AA43" s="49">
        <v>-11</v>
      </c>
      <c r="AB43" s="49">
        <v>-17</v>
      </c>
      <c r="AC43" s="49">
        <v>-25</v>
      </c>
      <c r="AD43" s="49">
        <v>-34</v>
      </c>
      <c r="AE43" s="39" t="s">
        <v>42</v>
      </c>
      <c r="AF43" s="53">
        <f>$W$5+W43</f>
        <v>56.269750836614307</v>
      </c>
      <c r="AG43" s="53">
        <f t="shared" ref="AG43:AM43" si="14">$W$5+X43</f>
        <v>53.269750836614307</v>
      </c>
      <c r="AH43" s="53">
        <f t="shared" si="14"/>
        <v>46.269750836614307</v>
      </c>
      <c r="AI43" s="53">
        <f t="shared" si="14"/>
        <v>39.269750836614307</v>
      </c>
      <c r="AJ43" s="53">
        <f t="shared" si="14"/>
        <v>31.269750836614307</v>
      </c>
      <c r="AK43" s="53">
        <f t="shared" si="14"/>
        <v>25.269750836614307</v>
      </c>
      <c r="AL43" s="53">
        <f t="shared" si="14"/>
        <v>17.269750836614307</v>
      </c>
      <c r="AM43" s="53">
        <f t="shared" si="14"/>
        <v>8.2697508366143069</v>
      </c>
      <c r="AN43" s="5">
        <f t="array" ref="AN43">10*LOG10(SUM(10^(AF43:AM43/10)))</f>
        <v>58.378921063081314</v>
      </c>
      <c r="AO43" s="5">
        <f t="array" ref="AO43">10*LOG10(SUM(10^((AF43:AM43+AF46:AM46)/10)))</f>
        <v>42.547042778393561</v>
      </c>
      <c r="AP43" t="str">
        <f>IF(ABS(W5-AO43)&lt;0.5,"OK","Tarkista laskenta!")</f>
        <v>OK</v>
      </c>
    </row>
    <row r="44" spans="21:49" x14ac:dyDescent="0.15">
      <c r="U44" s="14" t="s">
        <v>29</v>
      </c>
      <c r="V44" s="26"/>
      <c r="W44" s="49">
        <v>10</v>
      </c>
      <c r="X44" s="49">
        <v>9</v>
      </c>
      <c r="Y44" s="49">
        <v>2</v>
      </c>
      <c r="Z44" s="49">
        <v>-3</v>
      </c>
      <c r="AA44" s="49">
        <v>-8</v>
      </c>
      <c r="AB44" s="49">
        <v>-9</v>
      </c>
      <c r="AC44" s="49">
        <v>-15</v>
      </c>
      <c r="AD44" s="49">
        <v>-25</v>
      </c>
      <c r="AE44" s="39" t="s">
        <v>43</v>
      </c>
      <c r="AF44" s="53">
        <f>$W$6+W44</f>
        <v>67.635817492778415</v>
      </c>
      <c r="AG44" s="53">
        <f t="shared" ref="AG44:AM44" si="15">$W$6+X44</f>
        <v>66.635817492778415</v>
      </c>
      <c r="AH44" s="53">
        <f t="shared" si="15"/>
        <v>59.635817492778415</v>
      </c>
      <c r="AI44" s="53">
        <f t="shared" si="15"/>
        <v>54.635817492778415</v>
      </c>
      <c r="AJ44" s="53">
        <f t="shared" si="15"/>
        <v>49.635817492778415</v>
      </c>
      <c r="AK44" s="53">
        <f t="shared" si="15"/>
        <v>48.635817492778415</v>
      </c>
      <c r="AL44" s="53">
        <f t="shared" si="15"/>
        <v>42.635817492778415</v>
      </c>
      <c r="AM44" s="53">
        <f t="shared" si="15"/>
        <v>32.635817492778415</v>
      </c>
      <c r="AN44" s="5">
        <f t="array" ref="AN44">10*LOG10(SUM(10^(AF44:AM44/10)))</f>
        <v>70.721147834066841</v>
      </c>
      <c r="AO44" s="5">
        <f t="array" ref="AO44">10*LOG10(SUM(10^((AF44:AM44+AF46:AM46)/10)))</f>
        <v>57.82426023631335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LINEST(Y62:Y68,X62:X68^{1,2})</f>
        <v>-3.4236604592539389E-3</v>
      </c>
      <c r="Y51" s="54">
        <v>1.5421848224316317</v>
      </c>
      <c r="Z51" s="54">
        <v>37.443278459150719</v>
      </c>
    </row>
    <row r="52" spans="3:26" x14ac:dyDescent="0.15">
      <c r="W52" t="s">
        <v>408</v>
      </c>
      <c r="X52" s="54">
        <f t="array" ref="X52:Z52">LINEST(Y70:Y76,X70:X76^{1,2})</f>
        <v>9.4671948071448607E-4</v>
      </c>
      <c r="Y52" s="54">
        <v>0.65720019999995249</v>
      </c>
      <c r="Z52" s="54">
        <v>34.957644074228078</v>
      </c>
    </row>
    <row r="53" spans="3:26" x14ac:dyDescent="0.15">
      <c r="W53" t="s">
        <v>411</v>
      </c>
      <c r="X53" s="54">
        <f t="array" ref="X53:Z53">LINEST(Y78:Y82,X78:X82^{1,2})</f>
        <v>8.9726201042233825E-4</v>
      </c>
      <c r="Y53" s="54">
        <v>0.36354226451479688</v>
      </c>
      <c r="Z53" s="54">
        <v>18.602543187653659</v>
      </c>
    </row>
    <row r="54" spans="3:26" x14ac:dyDescent="0.15">
      <c r="W54" t="s">
        <v>409</v>
      </c>
      <c r="X54" s="54">
        <f t="array" ref="X54:Z54">LINEST(Y86:Y89,X86:X89^{1,2})</f>
        <v>6.4187170713691719E-4</v>
      </c>
      <c r="Y54" s="54">
        <v>0.15621011075667512</v>
      </c>
      <c r="Z54" s="54">
        <v>8.8154238855828133</v>
      </c>
    </row>
    <row r="55" spans="3:26" x14ac:dyDescent="0.15">
      <c r="W55" t="s">
        <v>590</v>
      </c>
      <c r="X55" s="54">
        <f t="array" ref="X55:Z55">LINEST(Y92:Y97,X92:X97^{1,2})</f>
        <v>2.0751024366382253E-3</v>
      </c>
      <c r="Y55" s="54">
        <v>0.46877906942341152</v>
      </c>
      <c r="Z55" s="54">
        <v>60.326833307870515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595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124.45552078709319</v>
      </c>
      <c r="E59" s="68">
        <v>59.464218542298468</v>
      </c>
      <c r="F59" s="69">
        <v>165.9919822255446</v>
      </c>
      <c r="H59" t="s">
        <v>4</v>
      </c>
      <c r="I59" t="s">
        <v>5</v>
      </c>
      <c r="K59" s="24"/>
      <c r="M59" s="10" t="s">
        <v>3</v>
      </c>
      <c r="N59" s="67">
        <v>124.49829752500722</v>
      </c>
      <c r="O59" s="68">
        <v>74.843704730864445</v>
      </c>
      <c r="P59" s="69">
        <v>165.86949773154004</v>
      </c>
      <c r="R59" t="s">
        <v>4</v>
      </c>
      <c r="S59" t="s">
        <v>5</v>
      </c>
      <c r="T59" s="24" t="s">
        <v>6</v>
      </c>
      <c r="W59" s="10" t="s">
        <v>3</v>
      </c>
      <c r="X59" s="478">
        <v>126.54627249330899</v>
      </c>
      <c r="Y59" s="478">
        <v>166.57546823070092</v>
      </c>
    </row>
    <row r="60" spans="3:26" x14ac:dyDescent="0.15">
      <c r="C60" s="12"/>
      <c r="D60" s="67">
        <v>116.51720534386456</v>
      </c>
      <c r="E60" s="68">
        <v>59.36196924526331</v>
      </c>
      <c r="F60" s="69">
        <v>165.84555811748919</v>
      </c>
      <c r="H60" s="2">
        <f t="array" ref="H60:J60">LINEST(E59:E62,D59:D62^{1,2})</f>
        <v>2.9785118681800921E-4</v>
      </c>
      <c r="I60" s="2">
        <v>-9.1487390304493876E-2</v>
      </c>
      <c r="J60" s="2">
        <v>66.147421689206922</v>
      </c>
      <c r="K60" s="24"/>
      <c r="M60" s="12"/>
      <c r="N60" s="67">
        <v>116.22872893281689</v>
      </c>
      <c r="O60" s="68">
        <v>74.987135559894881</v>
      </c>
      <c r="P60" s="69">
        <v>166.29135930641289</v>
      </c>
      <c r="R60" s="2">
        <f t="array" ref="R60:T60">LINEST(O59:O62,N59:N62^{1,2})</f>
        <v>4.3617810256051922E-5</v>
      </c>
      <c r="S60" s="2">
        <v>-4.897118835104744E-2</v>
      </c>
      <c r="T60" s="27">
        <v>80.206296174288539</v>
      </c>
      <c r="W60" s="12"/>
      <c r="X60" s="478">
        <v>124.17422218989299</v>
      </c>
      <c r="Y60" s="478">
        <v>167.97619510885116</v>
      </c>
    </row>
    <row r="61" spans="3:26" x14ac:dyDescent="0.15">
      <c r="C61" s="12"/>
      <c r="D61" s="67">
        <v>101.70534454841015</v>
      </c>
      <c r="E61" s="68">
        <v>60.027949452160676</v>
      </c>
      <c r="F61" s="69">
        <v>165.40944993196536</v>
      </c>
      <c r="K61" s="24"/>
      <c r="M61" s="12"/>
      <c r="N61" s="67">
        <v>102.73164382577521</v>
      </c>
      <c r="O61" s="68">
        <v>75.708977921572853</v>
      </c>
      <c r="P61" s="69">
        <v>165.85387179540533</v>
      </c>
      <c r="T61" s="24"/>
      <c r="W61" s="12"/>
      <c r="X61" s="478">
        <v>119.51684900019518</v>
      </c>
      <c r="Y61" s="478">
        <v>166.98982665915423</v>
      </c>
    </row>
    <row r="62" spans="3:26" x14ac:dyDescent="0.15">
      <c r="C62" s="14"/>
      <c r="D62" s="67">
        <v>82.365017043939588</v>
      </c>
      <c r="E62" s="68">
        <v>60.608228329655951</v>
      </c>
      <c r="F62" s="69">
        <v>141.33296670855381</v>
      </c>
      <c r="K62" s="24"/>
      <c r="M62" s="14"/>
      <c r="N62" s="67">
        <v>82.099032137491747</v>
      </c>
      <c r="O62" s="68">
        <v>76.464934909676941</v>
      </c>
      <c r="P62" s="69">
        <v>140.66995601793832</v>
      </c>
      <c r="T62" s="24"/>
      <c r="W62" s="12"/>
      <c r="X62" s="478">
        <v>115.07326296692654</v>
      </c>
      <c r="Y62" s="478">
        <v>167.55901865645629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8">
        <v>110.37714302386942</v>
      </c>
      <c r="Y63" s="478">
        <v>166.83068715224474</v>
      </c>
    </row>
    <row r="64" spans="3:26" x14ac:dyDescent="0.15">
      <c r="C64" s="10" t="s">
        <v>408</v>
      </c>
      <c r="D64" s="67">
        <v>108.61605915705071</v>
      </c>
      <c r="E64" s="68">
        <v>56.814264092463056</v>
      </c>
      <c r="F64" s="69">
        <v>113.88364344629936</v>
      </c>
      <c r="H64" t="s">
        <v>4</v>
      </c>
      <c r="I64" t="s">
        <v>5</v>
      </c>
      <c r="K64" s="24"/>
      <c r="M64" s="10" t="s">
        <v>408</v>
      </c>
      <c r="N64" s="67">
        <v>108.79901687814959</v>
      </c>
      <c r="O64" s="68">
        <v>72.000070714917115</v>
      </c>
      <c r="P64" s="69">
        <v>113.03683983307199</v>
      </c>
      <c r="R64" t="s">
        <v>4</v>
      </c>
      <c r="S64" t="s">
        <v>5</v>
      </c>
      <c r="T64" s="24" t="s">
        <v>6</v>
      </c>
      <c r="W64" s="12"/>
      <c r="X64" s="478">
        <v>103.29973361775856</v>
      </c>
      <c r="Y64" s="478">
        <v>163.1785428035638</v>
      </c>
    </row>
    <row r="65" spans="3:25" x14ac:dyDescent="0.15">
      <c r="C65" s="12"/>
      <c r="D65" s="67">
        <v>98.281498327194029</v>
      </c>
      <c r="E65" s="68">
        <v>56.095905975041596</v>
      </c>
      <c r="F65" s="69">
        <v>105.60183590543593</v>
      </c>
      <c r="H65" s="2">
        <f t="array" ref="H65:J65">LINEST(E64:E67,D64:D67^{1,2})</f>
        <v>1.5649693664364307E-3</v>
      </c>
      <c r="I65" s="2">
        <v>-0.26008301166913017</v>
      </c>
      <c r="J65" s="2">
        <v>66.582810233316422</v>
      </c>
      <c r="K65" s="24"/>
      <c r="M65" s="12"/>
      <c r="N65" s="67">
        <v>97.159742938215373</v>
      </c>
      <c r="O65" s="68">
        <v>71.638832438309009</v>
      </c>
      <c r="P65" s="69">
        <v>105.3675356622455</v>
      </c>
      <c r="R65" s="2">
        <f t="array" ref="R65:T65">LINEST(O64:O67,N64:N67^{1,2})</f>
        <v>8.6768554296753236E-4</v>
      </c>
      <c r="S65" s="2">
        <v>-0.15748307507892151</v>
      </c>
      <c r="T65" s="27">
        <v>78.832556252786034</v>
      </c>
      <c r="W65" s="12"/>
      <c r="X65" s="478">
        <v>92.00971203437571</v>
      </c>
      <c r="Y65" s="478">
        <v>149.02892706748165</v>
      </c>
    </row>
    <row r="66" spans="3:25" x14ac:dyDescent="0.15">
      <c r="C66" s="12"/>
      <c r="D66" s="67">
        <v>84.237915047166098</v>
      </c>
      <c r="E66" s="68">
        <v>55.812437707556704</v>
      </c>
      <c r="F66" s="69">
        <v>96.726317106350749</v>
      </c>
      <c r="K66" s="24"/>
      <c r="M66" s="12"/>
      <c r="N66" s="67">
        <v>85.227725522189502</v>
      </c>
      <c r="O66" s="68">
        <v>71.781837965876733</v>
      </c>
      <c r="P66" s="69">
        <v>97.125324970441312</v>
      </c>
      <c r="T66" s="24"/>
      <c r="W66" s="12"/>
      <c r="X66" s="478">
        <v>79.647869425429306</v>
      </c>
      <c r="Y66" s="478">
        <v>137.70061008294681</v>
      </c>
    </row>
    <row r="67" spans="3:25" x14ac:dyDescent="0.15">
      <c r="C67" s="14"/>
      <c r="D67" s="67">
        <v>68.226231139270695</v>
      </c>
      <c r="E67" s="68">
        <v>56.113551475189496</v>
      </c>
      <c r="F67" s="69">
        <v>80.48587455606517</v>
      </c>
      <c r="K67" s="24"/>
      <c r="M67" s="14"/>
      <c r="N67" s="67">
        <v>67.119168106658208</v>
      </c>
      <c r="O67" s="68">
        <v>72.155935238638762</v>
      </c>
      <c r="P67" s="69">
        <v>80.129145413246434</v>
      </c>
      <c r="T67" s="24"/>
      <c r="W67" s="12"/>
      <c r="X67" s="478">
        <v>68.418898324482583</v>
      </c>
      <c r="Y67" s="478">
        <v>126.95007636248987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8">
        <v>52.880453885014383</v>
      </c>
      <c r="Y68" s="478">
        <v>109.75920069451099</v>
      </c>
    </row>
    <row r="69" spans="3:25" x14ac:dyDescent="0.15">
      <c r="C69" s="10" t="s">
        <v>411</v>
      </c>
      <c r="D69" s="67">
        <v>78.91869125446334</v>
      </c>
      <c r="E69" s="68">
        <v>50.35449179308835</v>
      </c>
      <c r="F69" s="69">
        <v>50.836284857584332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79.189925082805274</v>
      </c>
      <c r="O69" s="68">
        <v>65.344965804359333</v>
      </c>
      <c r="P69" s="69">
        <v>50.70703394287019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70.580249223838763</v>
      </c>
      <c r="E70" s="68">
        <v>49.716367440911277</v>
      </c>
      <c r="F70" s="69">
        <v>47.069382630623501</v>
      </c>
      <c r="H70" s="2">
        <f t="array" ref="H70:J70">LINEST(E69:E72,D69:D72^{1,2})</f>
        <v>2.7428549467869434E-3</v>
      </c>
      <c r="I70" s="2">
        <v>-0.32629820087661743</v>
      </c>
      <c r="J70" s="2">
        <v>59.039187247919919</v>
      </c>
      <c r="K70" s="24"/>
      <c r="M70" s="12"/>
      <c r="N70" s="67">
        <v>69.29180640070085</v>
      </c>
      <c r="O70" s="68">
        <v>65.19105994578031</v>
      </c>
      <c r="P70" s="69">
        <v>46.99743501140545</v>
      </c>
      <c r="R70" s="2">
        <f t="array" ref="R70:T70">LINEST(O69:O72,N69:N72^{1,2})</f>
        <v>1.0734400981006976E-3</v>
      </c>
      <c r="S70" s="2">
        <v>-0.14376398239124202</v>
      </c>
      <c r="T70" s="27">
        <v>69.998203962674538</v>
      </c>
      <c r="W70" s="10" t="s">
        <v>408</v>
      </c>
      <c r="X70" s="68">
        <v>42.211275851555982</v>
      </c>
      <c r="Y70" s="68">
        <v>64.573221113007946</v>
      </c>
    </row>
    <row r="71" spans="3:25" x14ac:dyDescent="0.15">
      <c r="C71" s="12"/>
      <c r="D71" s="67">
        <v>61.003247611336789</v>
      </c>
      <c r="E71" s="68">
        <v>49.303164455402957</v>
      </c>
      <c r="F71" s="69">
        <v>42.978374174843594</v>
      </c>
      <c r="K71" s="24"/>
      <c r="M71" s="12"/>
      <c r="N71" s="67">
        <v>61.072161700876308</v>
      </c>
      <c r="O71" s="68">
        <v>65.221443421121307</v>
      </c>
      <c r="P71" s="69">
        <v>43.141457558458256</v>
      </c>
      <c r="T71" s="24"/>
      <c r="W71" s="12"/>
      <c r="X71" s="68">
        <v>58.642949192646377</v>
      </c>
      <c r="Y71" s="68">
        <v>76.697210767145009</v>
      </c>
    </row>
    <row r="72" spans="3:25" x14ac:dyDescent="0.15">
      <c r="C72" s="14"/>
      <c r="D72" s="67">
        <v>50.009324712830463</v>
      </c>
      <c r="E72" s="68">
        <v>49.591899884279549</v>
      </c>
      <c r="F72" s="69">
        <v>35.922361330779701</v>
      </c>
      <c r="K72" s="24"/>
      <c r="M72" s="14"/>
      <c r="N72" s="67">
        <v>48.975695956645126</v>
      </c>
      <c r="O72" s="68">
        <v>65.532160154792763</v>
      </c>
      <c r="P72" s="69">
        <v>35.820839070720623</v>
      </c>
      <c r="T72" s="24"/>
      <c r="W72" s="12"/>
      <c r="X72" s="68">
        <v>71.897152256247168</v>
      </c>
      <c r="Y72" s="68">
        <v>86.468910889524679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89.052329006531664</v>
      </c>
      <c r="Y73" s="68">
        <v>101.34825145413782</v>
      </c>
    </row>
    <row r="74" spans="3:25" x14ac:dyDescent="0.15">
      <c r="C74" s="10" t="s">
        <v>409</v>
      </c>
      <c r="D74" s="67">
        <v>47.209584540076754</v>
      </c>
      <c r="E74" s="68">
        <v>41.263554965594018</v>
      </c>
      <c r="F74" s="69">
        <v>17.215072524447773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47.482793089946028</v>
      </c>
      <c r="O74" s="68">
        <v>55.826600262242778</v>
      </c>
      <c r="P74" s="69">
        <v>17.306027642812015</v>
      </c>
      <c r="R74" t="s">
        <v>4</v>
      </c>
      <c r="S74" t="s">
        <v>5</v>
      </c>
      <c r="T74" s="24" t="s">
        <v>6</v>
      </c>
      <c r="W74" s="12"/>
      <c r="X74" s="68">
        <v>97.587712481034103</v>
      </c>
      <c r="Y74" s="68">
        <v>108.33146437607296</v>
      </c>
    </row>
    <row r="75" spans="3:25" x14ac:dyDescent="0.15">
      <c r="C75" s="12"/>
      <c r="D75" s="67">
        <v>42.465356495567598</v>
      </c>
      <c r="E75" s="68">
        <v>40.752210874042227</v>
      </c>
      <c r="F75" s="69">
        <v>16.023545295394058</v>
      </c>
      <c r="H75" s="2">
        <f t="array" ref="H75:J75">LINEST(E74:E77,D74:D77^{1,2})</f>
        <v>2.8607603152526464E-3</v>
      </c>
      <c r="I75" s="2">
        <v>-0.19238470919133641</v>
      </c>
      <c r="J75" s="2">
        <v>43.91187573702544</v>
      </c>
      <c r="K75" s="24"/>
      <c r="M75" s="12"/>
      <c r="N75" s="67">
        <v>41.228509340499677</v>
      </c>
      <c r="O75" s="68">
        <v>55.930075733390261</v>
      </c>
      <c r="P75" s="69">
        <v>16.094799581803635</v>
      </c>
      <c r="R75" s="2">
        <f t="array" ref="R75:T75">LINEST(O74:O77,N74:N77^{1,2})</f>
        <v>-7.972785221342936E-4</v>
      </c>
      <c r="S75" s="2">
        <v>6.7108403572348707E-2</v>
      </c>
      <c r="T75" s="27">
        <v>54.45610395097529</v>
      </c>
      <c r="W75" s="12"/>
      <c r="X75" s="68">
        <v>104.27133188591066</v>
      </c>
      <c r="Y75" s="68">
        <v>114.30265628247243</v>
      </c>
    </row>
    <row r="76" spans="3:25" x14ac:dyDescent="0.15">
      <c r="C76" s="12"/>
      <c r="D76" s="67">
        <v>37.102816665150158</v>
      </c>
      <c r="E76" s="68">
        <v>40.829184240359169</v>
      </c>
      <c r="F76" s="69">
        <v>14.707852309873795</v>
      </c>
      <c r="K76" s="24"/>
      <c r="M76" s="12"/>
      <c r="N76" s="67">
        <v>36.475191125897595</v>
      </c>
      <c r="O76" s="68">
        <v>55.788583914062073</v>
      </c>
      <c r="P76" s="69">
        <v>14.963197928138866</v>
      </c>
      <c r="T76" s="24"/>
      <c r="W76" s="14"/>
      <c r="X76" s="68">
        <v>111.74275916804318</v>
      </c>
      <c r="Y76" s="68">
        <v>119.61292912838947</v>
      </c>
    </row>
    <row r="77" spans="3:25" x14ac:dyDescent="0.15">
      <c r="C77" s="14"/>
      <c r="D77" s="67">
        <v>29.182562373170153</v>
      </c>
      <c r="E77" s="68">
        <v>40.707367893087195</v>
      </c>
      <c r="F77" s="69">
        <v>13.182504343154573</v>
      </c>
      <c r="G77" s="25"/>
      <c r="H77" s="25"/>
      <c r="I77" s="25"/>
      <c r="J77" s="25"/>
      <c r="K77" s="26"/>
      <c r="M77" s="14"/>
      <c r="N77" s="67">
        <v>27.664795652547159</v>
      </c>
      <c r="O77" s="68">
        <v>55.713078457982796</v>
      </c>
      <c r="P77" s="69">
        <v>13.355668289558517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81.198846939796766</v>
      </c>
      <c r="Y78" s="68">
        <v>53.948619317926948</v>
      </c>
    </row>
    <row r="79" spans="3:25" x14ac:dyDescent="0.15">
      <c r="F79" s="5"/>
      <c r="W79" s="12"/>
      <c r="X79" s="68">
        <v>70.254539314096192</v>
      </c>
      <c r="Y79" s="68">
        <v>48.762386933316016</v>
      </c>
    </row>
    <row r="80" spans="3:25" x14ac:dyDescent="0.15">
      <c r="F80" s="5"/>
      <c r="W80" s="12"/>
      <c r="X80" s="68">
        <v>52.851142891263699</v>
      </c>
      <c r="Y80" s="68">
        <v>40.17479588942841</v>
      </c>
    </row>
    <row r="81" spans="6:25" x14ac:dyDescent="0.15">
      <c r="F81" s="5"/>
      <c r="W81" s="12"/>
      <c r="X81" s="68">
        <v>35.427885488417679</v>
      </c>
      <c r="Y81" s="68">
        <v>32.654563666299268</v>
      </c>
    </row>
    <row r="82" spans="6:25" x14ac:dyDescent="0.15">
      <c r="F82" s="5"/>
      <c r="W82" s="12"/>
      <c r="X82" s="68">
        <v>24.980850337281851</v>
      </c>
      <c r="Y82" s="68">
        <v>28.243687599468238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11.711435293612686</v>
      </c>
      <c r="Y86" s="68">
        <v>10.725288918422793</v>
      </c>
    </row>
    <row r="87" spans="6:25" x14ac:dyDescent="0.15">
      <c r="F87" s="5"/>
      <c r="W87" s="12"/>
      <c r="X87" s="68">
        <v>27.818556286951857</v>
      </c>
      <c r="Y87" s="68">
        <v>13.699672910599288</v>
      </c>
    </row>
    <row r="88" spans="6:25" x14ac:dyDescent="0.15">
      <c r="F88" s="5"/>
      <c r="W88" s="12"/>
      <c r="X88" s="68">
        <v>36.046560556264176</v>
      </c>
      <c r="Y88" s="68">
        <v>15.230560172038357</v>
      </c>
    </row>
    <row r="89" spans="6:25" x14ac:dyDescent="0.15">
      <c r="F89" s="5"/>
      <c r="W89" s="12"/>
      <c r="X89" s="68">
        <v>46.471423023508507</v>
      </c>
      <c r="Y89" s="68">
        <v>17.476266161553145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141.10404124096343</v>
      </c>
      <c r="Y92" s="68">
        <v>167.93655444929746</v>
      </c>
    </row>
    <row r="93" spans="6:25" x14ac:dyDescent="0.15">
      <c r="F93" s="5"/>
      <c r="W93" s="12"/>
      <c r="X93" s="68">
        <v>124.94903554906834</v>
      </c>
      <c r="Y93" s="68">
        <v>151.20163489695867</v>
      </c>
    </row>
    <row r="94" spans="6:25" x14ac:dyDescent="0.15">
      <c r="F94" s="5"/>
      <c r="W94" s="12"/>
      <c r="X94" s="68">
        <v>106.62217899469141</v>
      </c>
      <c r="Y94" s="68">
        <v>133.50891905510676</v>
      </c>
    </row>
    <row r="95" spans="6:25" x14ac:dyDescent="0.15">
      <c r="F95" s="5"/>
      <c r="W95" s="12"/>
      <c r="X95" s="68">
        <v>64.419920557585854</v>
      </c>
      <c r="Y95" s="68">
        <v>99.092044063706723</v>
      </c>
    </row>
    <row r="96" spans="6:25" x14ac:dyDescent="0.15">
      <c r="F96" s="5"/>
      <c r="W96" s="14"/>
      <c r="X96" s="68">
        <v>56.229712184516153</v>
      </c>
      <c r="Y96" s="68">
        <v>93.114830247782109</v>
      </c>
    </row>
    <row r="97" spans="6:25" x14ac:dyDescent="0.15">
      <c r="F97" s="5"/>
      <c r="X97" s="68">
        <v>83.611180354954868</v>
      </c>
      <c r="Y97" s="68">
        <v>114.54522119951174</v>
      </c>
    </row>
    <row r="98" spans="6:25" x14ac:dyDescent="0.15">
      <c r="F98" s="5"/>
      <c r="W98" t="s">
        <v>597</v>
      </c>
    </row>
    <row r="99" spans="6:25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78BE9-6550-46FD-9352-38AF17946F83}">
  <sheetPr codeName="Taul5"/>
  <dimension ref="C2:AW99"/>
  <sheetViews>
    <sheetView topLeftCell="Q1" zoomScale="85" zoomScaleNormal="85" workbookViewId="0">
      <selection activeCell="AV36" sqref="AV36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Tulostus!$G$33</f>
        <v>40</v>
      </c>
      <c r="K3" t="s">
        <v>13</v>
      </c>
      <c r="L3" s="7">
        <f>Tulostus!$G$39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404</v>
      </c>
      <c r="AD4" s="63"/>
      <c r="AE4" s="61" t="s">
        <v>405</v>
      </c>
      <c r="AF4" s="63"/>
      <c r="AG4" s="62" t="s">
        <v>406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20.015029511549187</v>
      </c>
      <c r="Q5" s="52">
        <v>-30.340022363134239</v>
      </c>
      <c r="R5" t="s">
        <v>28</v>
      </c>
      <c r="T5" s="4"/>
      <c r="U5" s="39" t="s">
        <v>43</v>
      </c>
      <c r="V5" t="s">
        <v>8</v>
      </c>
      <c r="W5" s="9">
        <f>$P$5*LN($J$3)+$Q$5</f>
        <v>43.493008775503654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20.341653296122814</v>
      </c>
      <c r="Q6" s="52">
        <v>-20.330977032161698</v>
      </c>
      <c r="R6" t="s">
        <v>7</v>
      </c>
      <c r="T6" s="4"/>
      <c r="U6" s="39" t="s">
        <v>43</v>
      </c>
      <c r="V6" t="s">
        <v>57</v>
      </c>
      <c r="W6" s="9">
        <f>$P$6*LN($J$3)+$Q$6</f>
        <v>54.706929874614787</v>
      </c>
      <c r="X6" t="s">
        <v>31</v>
      </c>
      <c r="AA6" s="55">
        <v>25</v>
      </c>
      <c r="AB6" s="56">
        <f t="shared" ref="AB6:AB12" si="0">(-$D$9-SQRT($D$9^2-(4*$C$9*($E$9-AA6))))/(2*$C$9)</f>
        <v>149.37198438834608</v>
      </c>
      <c r="AC6" s="55">
        <v>20</v>
      </c>
      <c r="AD6" s="57">
        <f t="shared" ref="AD6:AD12" si="1">(-$D$14-SQRT($D$14^2-(4*$C$14*($E$14-AC6))))/(2*$C$14)</f>
        <v>133.17332240375293</v>
      </c>
      <c r="AE6" s="55">
        <v>15</v>
      </c>
      <c r="AF6" s="57">
        <f t="shared" ref="AF6:AF11" si="2">(-$D$19-SQRT($D$19^2-(4*$C$19*($E$19-AE6))))/(2*$C$19)</f>
        <v>99.999058386718588</v>
      </c>
      <c r="AG6" s="56">
        <v>10</v>
      </c>
      <c r="AH6" s="57">
        <f>(-$D$24-SQRT($D$24^2-(4*$C$24*($E$24-AG6))))/(2*$C$24)</f>
        <v>61.555446560450939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140.44019694340693</v>
      </c>
      <c r="AC7" s="55">
        <v>50</v>
      </c>
      <c r="AD7" s="57">
        <f t="shared" si="1"/>
        <v>128.50888008908166</v>
      </c>
      <c r="AE7" s="55">
        <v>40</v>
      </c>
      <c r="AF7" s="57">
        <f t="shared" si="2"/>
        <v>94.108238875868778</v>
      </c>
      <c r="AG7" s="56">
        <v>20</v>
      </c>
      <c r="AH7" s="57">
        <f>(-$D$24-SQRT($D$24^2-(4*$C$24*($E$24-AG7))))/(2*$C$24)</f>
        <v>57.822327947272591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133.12312176781919</v>
      </c>
      <c r="AC8" s="55">
        <v>100</v>
      </c>
      <c r="AD8" s="57">
        <f t="shared" si="1"/>
        <v>120.21047153971138</v>
      </c>
      <c r="AE8" s="55">
        <v>60</v>
      </c>
      <c r="AF8" s="57">
        <f t="shared" si="2"/>
        <v>89.069837468278507</v>
      </c>
      <c r="AG8" s="56">
        <v>30</v>
      </c>
      <c r="AH8" s="57">
        <f>(-$D$24-SQRT($D$24^2-(4*$C$24*($E$24-AG8))))/(2*$C$24)</f>
        <v>53.830589598087514</v>
      </c>
    </row>
    <row r="9" spans="3:34" x14ac:dyDescent="0.15">
      <c r="C9" s="8">
        <v>-6.5820291370216596E-2</v>
      </c>
      <c r="D9" s="8">
        <v>8.4393533003468324</v>
      </c>
      <c r="E9" s="8">
        <v>232.97871499992539</v>
      </c>
      <c r="H9" s="2"/>
      <c r="P9" t="s">
        <v>616</v>
      </c>
      <c r="Q9" s="52">
        <f t="array" ref="Q9:R9">LINEST(AM35:AM38,AL35:AL38)</f>
        <v>11.715332159753249</v>
      </c>
      <c r="R9" s="52">
        <v>-4.6368582200190929</v>
      </c>
      <c r="S9" s="84">
        <f>(J3-R9)/Q9</f>
        <v>3.8101231455787632</v>
      </c>
      <c r="U9" s="39" t="s">
        <v>42</v>
      </c>
      <c r="V9" t="s">
        <v>58</v>
      </c>
      <c r="W9" s="9">
        <f>IF($J$3&gt;$AM$35,($J$3-$R$10)/$Q$10,($J$3-$R$9)/$Q$9)</f>
        <v>3.8101231455787632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126.16844933408204</v>
      </c>
      <c r="AC9" s="55">
        <v>150</v>
      </c>
      <c r="AD9" s="57">
        <f t="shared" si="1"/>
        <v>111.08472606866653</v>
      </c>
      <c r="AE9" s="55">
        <v>80</v>
      </c>
      <c r="AF9" s="57">
        <f t="shared" si="2"/>
        <v>83.675510586883604</v>
      </c>
      <c r="AG9" s="56">
        <v>35</v>
      </c>
      <c r="AH9" s="57">
        <f>(-$D$24-SQRT($D$24^2-(4*$C$24*($E$24-AG9))))/(2*$C$24)</f>
        <v>51.71915361429582</v>
      </c>
    </row>
    <row r="10" spans="3:34" x14ac:dyDescent="0.15">
      <c r="C10" s="2"/>
      <c r="D10" s="2"/>
      <c r="E10" s="2"/>
      <c r="H10" s="2"/>
      <c r="P10" t="s">
        <v>614</v>
      </c>
      <c r="Q10" s="52">
        <f t="array" ref="Q10:R10">LINEST(AM34:AM35,AL34:AL35)</f>
        <v>8.3449149302299332</v>
      </c>
      <c r="R10" s="52">
        <v>25.517521358410505</v>
      </c>
      <c r="S10" s="84">
        <f>(J3-R10)/Q10</f>
        <v>1.7354854738094314</v>
      </c>
      <c r="W10" t="b">
        <f>IF(AND(W9&gt;=0,W9&lt;=10.01,Tulostus!G33&gt;=W11,P21),TRUE,FALSE)</f>
        <v>1</v>
      </c>
      <c r="AA10" s="55">
        <v>320</v>
      </c>
      <c r="AB10" s="56">
        <f t="shared" si="0"/>
        <v>116.90930697190107</v>
      </c>
      <c r="AC10" s="55">
        <v>170</v>
      </c>
      <c r="AD10" s="57">
        <f t="shared" si="1"/>
        <v>107.1393496264217</v>
      </c>
      <c r="AE10" s="55">
        <v>100</v>
      </c>
      <c r="AF10" s="57">
        <f t="shared" si="2"/>
        <v>77.837118713065038</v>
      </c>
      <c r="AG10" s="56">
        <v>80</v>
      </c>
      <c r="AH10" s="57">
        <f>(-$D$24-SQRT($D$24^2-(4*$C$24*($E$24-AG10))))/(2*$C$24)</f>
        <v>25.847865510561171</v>
      </c>
    </row>
    <row r="11" spans="3:34" x14ac:dyDescent="0.15">
      <c r="C11" s="2" t="s">
        <v>404</v>
      </c>
      <c r="D11" s="1"/>
      <c r="E11" s="1"/>
      <c r="H11" s="1"/>
      <c r="V11" t="s">
        <v>348</v>
      </c>
      <c r="W11">
        <v>20</v>
      </c>
      <c r="X11" t="s">
        <v>13</v>
      </c>
      <c r="AA11" s="55">
        <v>390</v>
      </c>
      <c r="AB11" s="56">
        <f t="shared" si="0"/>
        <v>105.63452662019705</v>
      </c>
      <c r="AC11" s="55">
        <v>190</v>
      </c>
      <c r="AD11" s="57">
        <f t="shared" si="1"/>
        <v>102.9859461818326</v>
      </c>
      <c r="AE11" s="55">
        <v>185</v>
      </c>
      <c r="AF11" s="57">
        <f t="shared" si="2"/>
        <v>42.180912652297032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460</v>
      </c>
      <c r="AB12" s="59">
        <f t="shared" si="0"/>
        <v>89.816310441248532</v>
      </c>
      <c r="AC12" s="58">
        <v>325</v>
      </c>
      <c r="AD12" s="60">
        <f t="shared" si="1"/>
        <v>64.002142123508037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LINEST(AE34:AE38,AC34:AC38^{1,2})</f>
        <v>2.4156768725520503E-2</v>
      </c>
      <c r="Q13" s="51">
        <v>-1.42975107801443</v>
      </c>
      <c r="R13" s="51">
        <v>32.750476246524812</v>
      </c>
      <c r="U13" s="39" t="s">
        <v>43</v>
      </c>
      <c r="V13" t="s">
        <v>44</v>
      </c>
      <c r="W13" s="9">
        <f>$P$13*J3^2+$Q$13*J3+$R$13</f>
        <v>14.21126308678042</v>
      </c>
      <c r="X13" t="s">
        <v>49</v>
      </c>
      <c r="Y13" t="s">
        <v>592</v>
      </c>
    </row>
    <row r="14" spans="3:34" x14ac:dyDescent="0.15">
      <c r="C14" s="8">
        <v>-3.1350000000000003E-2</v>
      </c>
      <c r="D14" s="8">
        <v>1.7721</v>
      </c>
      <c r="E14" s="8">
        <v>340</v>
      </c>
      <c r="H14" s="2"/>
      <c r="V14" t="s">
        <v>52</v>
      </c>
      <c r="W14" s="3">
        <f>IF(W13&gt;Y14,Y14,W13)</f>
        <v>14.21126308678042</v>
      </c>
      <c r="X14" t="s">
        <v>49</v>
      </c>
      <c r="Y14">
        <v>168</v>
      </c>
    </row>
    <row r="15" spans="3:34" x14ac:dyDescent="0.15">
      <c r="C15" s="2"/>
      <c r="D15" s="2"/>
      <c r="E15" s="2"/>
      <c r="H15" s="2"/>
    </row>
    <row r="16" spans="3:34" ht="14" thickBot="1" x14ac:dyDescent="0.2">
      <c r="C16" s="2" t="s">
        <v>411</v>
      </c>
      <c r="D16" s="1"/>
      <c r="E16" s="1"/>
      <c r="H16" s="1"/>
      <c r="V16" t="s">
        <v>44</v>
      </c>
      <c r="W16">
        <f>'Laskenta tulopuoli 130'!W13</f>
        <v>18.214901301215839</v>
      </c>
    </row>
    <row r="17" spans="3:45" x14ac:dyDescent="0.15">
      <c r="C17" t="s">
        <v>11</v>
      </c>
      <c r="D17" s="1"/>
      <c r="E17" s="1"/>
      <c r="H17" s="1"/>
      <c r="P17" s="228" t="s">
        <v>605</v>
      </c>
      <c r="Q17" s="230"/>
      <c r="R17" s="231"/>
      <c r="V17" t="s">
        <v>73</v>
      </c>
      <c r="W17">
        <v>4.4000000000000004</v>
      </c>
    </row>
    <row r="18" spans="3:45" x14ac:dyDescent="0.15">
      <c r="C18" t="s">
        <v>4</v>
      </c>
      <c r="D18" t="s">
        <v>5</v>
      </c>
      <c r="E18" t="s">
        <v>6</v>
      </c>
      <c r="H18" s="1"/>
      <c r="P18" s="232" t="s">
        <v>606</v>
      </c>
      <c r="Q18">
        <v>350</v>
      </c>
      <c r="R18" s="364" t="s">
        <v>14</v>
      </c>
    </row>
    <row r="19" spans="3:45" x14ac:dyDescent="0.15">
      <c r="C19" s="8">
        <v>-2.5105053209823747E-2</v>
      </c>
      <c r="D19" s="8">
        <v>0.62918233099532539</v>
      </c>
      <c r="E19" s="8">
        <v>203.12816361709667</v>
      </c>
      <c r="P19" s="232" t="s">
        <v>607</v>
      </c>
      <c r="Q19">
        <v>0.32</v>
      </c>
      <c r="R19" s="364"/>
      <c r="V19" s="74" t="s">
        <v>74</v>
      </c>
      <c r="W19" s="77">
        <f>W13+W16+W17</f>
        <v>36.826164387996258</v>
      </c>
      <c r="X19" s="75" t="s">
        <v>49</v>
      </c>
      <c r="AB19" s="6"/>
      <c r="AC19" s="6"/>
    </row>
    <row r="20" spans="3:45" x14ac:dyDescent="0.15">
      <c r="C20" s="2"/>
      <c r="D20" s="2"/>
      <c r="E20" s="2"/>
      <c r="H20" s="1"/>
      <c r="P20" s="232"/>
      <c r="R20" s="364"/>
      <c r="AB20" s="6"/>
      <c r="AC20" s="6"/>
    </row>
    <row r="21" spans="3:45" ht="14" thickBot="1" x14ac:dyDescent="0.2">
      <c r="C21" s="2" t="s">
        <v>409</v>
      </c>
      <c r="D21" s="1"/>
      <c r="E21" s="1"/>
      <c r="H21" s="1"/>
      <c r="P21" s="236" t="b">
        <f>IF(AND(L3&gt;Q18,U29&gt;Q19),FALSE,TRUE)</f>
        <v>1</v>
      </c>
      <c r="Q21" s="238"/>
      <c r="R21" s="239"/>
      <c r="V21" t="s">
        <v>78</v>
      </c>
      <c r="W21">
        <f>MAX(J3,'Laskenta poistopuoli 60'!J3)</f>
        <v>40</v>
      </c>
      <c r="X21" t="s">
        <v>13</v>
      </c>
      <c r="AB21" s="6"/>
      <c r="AC21" s="6"/>
    </row>
    <row r="22" spans="3:45" ht="15" x14ac:dyDescent="0.15">
      <c r="C22" t="s">
        <v>11</v>
      </c>
      <c r="D22" s="1"/>
      <c r="E22" s="1"/>
      <c r="H22" s="1"/>
      <c r="V22" t="s">
        <v>75</v>
      </c>
      <c r="W22">
        <f>W19/W21</f>
        <v>0.92065410969990646</v>
      </c>
      <c r="X22" t="s">
        <v>77</v>
      </c>
      <c r="AB22" s="6"/>
      <c r="AC22" s="6"/>
    </row>
    <row r="23" spans="3:45" x14ac:dyDescent="0.15">
      <c r="C23" t="s">
        <v>4</v>
      </c>
      <c r="D23" t="s">
        <v>5</v>
      </c>
      <c r="E23" t="s">
        <v>6</v>
      </c>
      <c r="H23" s="1"/>
      <c r="P23">
        <v>80</v>
      </c>
      <c r="Q23">
        <f>$C$27*P23^2+$D$27*P23+$E$27</f>
        <v>382.29368625398979</v>
      </c>
    </row>
    <row r="24" spans="3:45" x14ac:dyDescent="0.15">
      <c r="C24" s="8">
        <v>-2.2466600463323962E-2</v>
      </c>
      <c r="D24" s="8">
        <v>3.287270399782534E-3</v>
      </c>
      <c r="E24" s="8">
        <v>94.925239848174741</v>
      </c>
      <c r="H24" s="1"/>
      <c r="P24">
        <v>90</v>
      </c>
      <c r="Q24">
        <f t="shared" ref="Q24:Q25" si="3">$C$27*P24^2+$D$27*P24+$E$27</f>
        <v>354.53081848682547</v>
      </c>
    </row>
    <row r="25" spans="3:45" x14ac:dyDescent="0.15">
      <c r="E25" s="2"/>
      <c r="F25" s="2"/>
      <c r="G25" s="2"/>
      <c r="H25" s="1"/>
      <c r="P25">
        <v>135</v>
      </c>
      <c r="Q25">
        <f t="shared" si="3"/>
        <v>131.92949072175963</v>
      </c>
    </row>
    <row r="26" spans="3:45" x14ac:dyDescent="0.15">
      <c r="C26" s="2" t="s">
        <v>591</v>
      </c>
    </row>
    <row r="27" spans="3:45" x14ac:dyDescent="0.15">
      <c r="C27" s="8">
        <v>-3.946198901528352E-2</v>
      </c>
      <c r="D27" s="8">
        <v>3.9322513558817733</v>
      </c>
      <c r="E27" s="8">
        <v>320.27030748126242</v>
      </c>
      <c r="U27" t="s">
        <v>37</v>
      </c>
    </row>
    <row r="28" spans="3:45" x14ac:dyDescent="0.15">
      <c r="C28" s="468" t="s">
        <v>594</v>
      </c>
      <c r="U28" s="4" t="s">
        <v>17</v>
      </c>
    </row>
    <row r="29" spans="3:45" x14ac:dyDescent="0.15">
      <c r="U29" s="4">
        <f>(L3/J3)^2/L3</f>
        <v>3.125E-2</v>
      </c>
    </row>
    <row r="31" spans="3:45" x14ac:dyDescent="0.15">
      <c r="U31" s="2" t="s">
        <v>16</v>
      </c>
      <c r="AS31" s="2" t="s">
        <v>1110</v>
      </c>
    </row>
    <row r="32" spans="3:4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  <c r="AI32" t="s">
        <v>79</v>
      </c>
      <c r="AL32" t="s">
        <v>593</v>
      </c>
    </row>
    <row r="33" spans="21:49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t="s">
        <v>25</v>
      </c>
      <c r="AJ33" t="s">
        <v>13</v>
      </c>
      <c r="AL33" t="s">
        <v>25</v>
      </c>
      <c r="AM33" t="s">
        <v>13</v>
      </c>
      <c r="AS33" s="2" t="s">
        <v>1107</v>
      </c>
      <c r="AV33" t="s">
        <v>1115</v>
      </c>
    </row>
    <row r="34" spans="21:49" x14ac:dyDescent="0.15">
      <c r="U34" s="35">
        <v>10</v>
      </c>
      <c r="V34" s="98">
        <f>C9</f>
        <v>-6.5820291370216596E-2</v>
      </c>
      <c r="W34" s="99">
        <f>D9</f>
        <v>8.4393533003468324</v>
      </c>
      <c r="X34" s="100">
        <f>E9</f>
        <v>232.97871499992539</v>
      </c>
      <c r="Y34" s="36">
        <f>C9-U29</f>
        <v>-9.7070291370216596E-2</v>
      </c>
      <c r="Z34" s="28">
        <f>(-W34+SQRT(W34^2-(4*Y34*X34)))/(2*Y34)</f>
        <v>-22.026030211203352</v>
      </c>
      <c r="AA34" s="29">
        <f>(-W34-SQRT(W34^2-(4*Y34*X34)))/(2*Y34)</f>
        <v>108.96667066070982</v>
      </c>
      <c r="AB34" s="36">
        <f>AB6</f>
        <v>149.37198438834608</v>
      </c>
      <c r="AC34" s="53">
        <f>IF(Z34&lt;0,AA34,IF(Z34&gt;AB34,AA34,Z34))</f>
        <v>108.96667066070982</v>
      </c>
      <c r="AD34" s="53">
        <f>V34*AC34^2+W34*AC34+X34</f>
        <v>371.05422858998747</v>
      </c>
      <c r="AE34" s="53">
        <f>X51*AC34^2+Y51*AC34+Z51</f>
        <v>160.63316417626339</v>
      </c>
      <c r="AF34" s="53">
        <f>$H$60*AC34^2+$I$60*AC34+$J$60</f>
        <v>63.910517283793659</v>
      </c>
      <c r="AG34" s="53">
        <f>$R$60*AC34^2+$S$60*AC34+$T$60</f>
        <v>75.172847851860595</v>
      </c>
      <c r="AI34">
        <v>10</v>
      </c>
      <c r="AJ34" s="3">
        <f>AC34</f>
        <v>108.96667066070982</v>
      </c>
      <c r="AL34">
        <v>10</v>
      </c>
      <c r="AM34" s="3">
        <f>AJ34</f>
        <v>108.96667066070982</v>
      </c>
      <c r="AS34" s="618">
        <f>AC34/$J$3-1</f>
        <v>1.7241667665177456</v>
      </c>
      <c r="AV34" s="278" t="b">
        <f>IF(AS36&gt;AC34,FALSE,TRUE)</f>
        <v>1</v>
      </c>
      <c r="AW34" t="s">
        <v>1117</v>
      </c>
    </row>
    <row r="35" spans="21:49" x14ac:dyDescent="0.15">
      <c r="U35" s="35">
        <v>8</v>
      </c>
      <c r="V35" s="98">
        <f>C14</f>
        <v>-3.1350000000000003E-2</v>
      </c>
      <c r="W35" s="99">
        <f>D14</f>
        <v>1.7721</v>
      </c>
      <c r="X35" s="100">
        <f>E14</f>
        <v>340</v>
      </c>
      <c r="Y35" s="36">
        <f>C14-U29</f>
        <v>-6.2600000000000003E-2</v>
      </c>
      <c r="Z35" s="28">
        <f t="shared" ref="Z35:Z38" si="4">(-W35+SQRT(W35^2-(4*Y35*X35)))/(2*Y35)</f>
        <v>-60.890166625894992</v>
      </c>
      <c r="AA35" s="29">
        <f t="shared" ref="AA35:AA38" si="5">(-W35-SQRT(W35^2-(4*Y35*X35)))/(2*Y35)</f>
        <v>89.198473335160173</v>
      </c>
      <c r="AB35" s="36">
        <f>AD6</f>
        <v>133.17332240375293</v>
      </c>
      <c r="AC35" s="53">
        <f t="shared" ref="AC35:AC38" si="6">IF(Z35&lt;0,AA35,IF(Z35&gt;AB35,AA35,Z35))</f>
        <v>89.198473335160173</v>
      </c>
      <c r="AD35" s="53">
        <f>V35*AC35^2+W35*AC35+X35</f>
        <v>248.63648891635248</v>
      </c>
      <c r="AE35" s="53">
        <f t="shared" ref="AE35:AE37" si="7">X52*AC35^2+Y52*AC35+Z52</f>
        <v>94.804582504574995</v>
      </c>
      <c r="AF35" s="53">
        <f>$H$65*AC35^2+$I$65*AC35+$J$65</f>
        <v>59.409118878614848</v>
      </c>
      <c r="AG35" s="53">
        <f>$R$65*AC35^2+$S$65*AC35+$T$65</f>
        <v>70.985928643612112</v>
      </c>
      <c r="AI35">
        <v>8</v>
      </c>
      <c r="AJ35" s="3">
        <f t="shared" ref="AJ35:AJ38" si="8">AC35</f>
        <v>89.198473335160173</v>
      </c>
      <c r="AL35">
        <v>9</v>
      </c>
      <c r="AM35" s="3">
        <f>AJ38</f>
        <v>100.62175573047989</v>
      </c>
      <c r="AO35">
        <v>9</v>
      </c>
      <c r="AP35">
        <f>Q9*AO35+R9</f>
        <v>100.80113121776014</v>
      </c>
      <c r="AQ35" t="s">
        <v>13</v>
      </c>
      <c r="AS35" t="s">
        <v>1114</v>
      </c>
      <c r="AV35" t="s">
        <v>1116</v>
      </c>
    </row>
    <row r="36" spans="21:49" x14ac:dyDescent="0.15">
      <c r="U36" s="35">
        <v>6</v>
      </c>
      <c r="V36" s="98">
        <f>C19</f>
        <v>-2.5105053209823747E-2</v>
      </c>
      <c r="W36" s="99">
        <f>D19</f>
        <v>0.62918233099532539</v>
      </c>
      <c r="X36" s="100">
        <f>E19</f>
        <v>203.12816361709667</v>
      </c>
      <c r="Y36" s="36">
        <f>C19-U29</f>
        <v>-5.6355053209823744E-2</v>
      </c>
      <c r="Z36" s="28">
        <f t="shared" si="4"/>
        <v>-54.713612411430759</v>
      </c>
      <c r="AA36" s="29">
        <f t="shared" si="5"/>
        <v>65.878224902394521</v>
      </c>
      <c r="AB36" s="36">
        <f>AF6</f>
        <v>99.999058386718588</v>
      </c>
      <c r="AC36" s="53">
        <f t="shared" si="6"/>
        <v>65.878224902394521</v>
      </c>
      <c r="AD36" s="53">
        <f>V36*AC36^2+W36*AC36+X36</f>
        <v>135.62314113407726</v>
      </c>
      <c r="AE36" s="53">
        <f t="shared" si="7"/>
        <v>42.973546941885175</v>
      </c>
      <c r="AF36" s="53">
        <f>$H$70*AC36^2+$I$70*AC36+$J$70</f>
        <v>52.944147568215044</v>
      </c>
      <c r="AG36" s="53">
        <f>$R$70*AC36^2+$S$70*AC36+$T$70</f>
        <v>64.743752079064762</v>
      </c>
      <c r="AI36">
        <v>6</v>
      </c>
      <c r="AJ36" s="3">
        <f t="shared" si="8"/>
        <v>65.878224902394521</v>
      </c>
      <c r="AL36">
        <v>8</v>
      </c>
      <c r="AM36" s="3">
        <f>AJ35</f>
        <v>89.198473335160173</v>
      </c>
      <c r="AS36" s="279">
        <f>Tulokset!$CS$16</f>
        <v>48</v>
      </c>
      <c r="AT36" t="s">
        <v>13</v>
      </c>
      <c r="AV36" s="619">
        <f>IF($AS$36&gt;$AM$35,($AS$36-$R$10)/$Q$10,($AS$36-$R$9)/$Q$9)</f>
        <v>4.492988973957333</v>
      </c>
      <c r="AW36" t="s">
        <v>25</v>
      </c>
    </row>
    <row r="37" spans="21:49" ht="14" thickBot="1" x14ac:dyDescent="0.2">
      <c r="U37" s="38">
        <v>4</v>
      </c>
      <c r="V37" s="101">
        <f>C24</f>
        <v>-2.2466600463323962E-2</v>
      </c>
      <c r="W37" s="102">
        <f>D24</f>
        <v>3.287270399782534E-3</v>
      </c>
      <c r="X37" s="103">
        <f>E24</f>
        <v>94.925239848174741</v>
      </c>
      <c r="Y37" s="37">
        <f>C24-U29</f>
        <v>-5.3716600463323966E-2</v>
      </c>
      <c r="Z37" s="30">
        <f t="shared" si="4"/>
        <v>-42.006884919439649</v>
      </c>
      <c r="AA37" s="31">
        <f t="shared" si="5"/>
        <v>42.068081465226783</v>
      </c>
      <c r="AB37" s="37">
        <f>AH6</f>
        <v>61.555446560450939</v>
      </c>
      <c r="AC37" s="53">
        <f t="shared" si="6"/>
        <v>42.068081465226783</v>
      </c>
      <c r="AD37" s="53">
        <f>V37*AC37^2+W37*AC37+X37</f>
        <v>55.303858692654899</v>
      </c>
      <c r="AE37" s="53">
        <f t="shared" si="7"/>
        <v>15.668070879419691</v>
      </c>
      <c r="AF37" s="53">
        <f>$H$75*AC37^2+$I$75*AC37+$J$75</f>
        <v>44.813331574344346</v>
      </c>
      <c r="AG37" s="53">
        <f>$R$75*AC37^2+$S$75*AC37+$T$75</f>
        <v>55.798975442781938</v>
      </c>
      <c r="AI37">
        <v>4</v>
      </c>
      <c r="AJ37" s="3">
        <f t="shared" si="8"/>
        <v>42.068081465226783</v>
      </c>
      <c r="AL37">
        <v>6</v>
      </c>
      <c r="AM37" s="3">
        <f t="shared" ref="AM37:AM38" si="9">AJ36</f>
        <v>65.878224902394521</v>
      </c>
      <c r="AS37" s="279">
        <f>Tulokset!$CS$17</f>
        <v>72</v>
      </c>
      <c r="AT37" t="s">
        <v>14</v>
      </c>
    </row>
    <row r="38" spans="21:49" ht="14" thickBot="1" x14ac:dyDescent="0.2">
      <c r="U38" s="470">
        <v>9</v>
      </c>
      <c r="V38" s="471">
        <f>C27</f>
        <v>-3.946198901528352E-2</v>
      </c>
      <c r="W38" s="471">
        <f t="shared" ref="W38:X38" si="10">D27</f>
        <v>3.9322513558817733</v>
      </c>
      <c r="X38" s="471">
        <f t="shared" si="10"/>
        <v>320.27030748126242</v>
      </c>
      <c r="Y38" s="472">
        <f>C27-U29</f>
        <v>-7.0711989015283527E-2</v>
      </c>
      <c r="Z38" s="473">
        <f t="shared" si="4"/>
        <v>-45.012354684896721</v>
      </c>
      <c r="AA38" s="474">
        <f t="shared" si="5"/>
        <v>100.62175573047989</v>
      </c>
      <c r="AB38" s="475">
        <v>120</v>
      </c>
      <c r="AC38" s="476">
        <f t="shared" si="6"/>
        <v>100.62175573047989</v>
      </c>
      <c r="AD38" s="477">
        <f>V38*AC38^2+W38*AC38+X38</f>
        <v>316.39805394638643</v>
      </c>
      <c r="AE38" s="53">
        <f>X55*AC38^2+Y55*AC38+Z55</f>
        <v>139.34767563134409</v>
      </c>
      <c r="AI38">
        <v>9</v>
      </c>
      <c r="AJ38" s="3">
        <f t="shared" si="8"/>
        <v>100.62175573047989</v>
      </c>
      <c r="AL38">
        <v>4</v>
      </c>
      <c r="AM38" s="3">
        <f t="shared" si="9"/>
        <v>42.068081465226783</v>
      </c>
    </row>
    <row r="40" spans="21:49" x14ac:dyDescent="0.15">
      <c r="U40" s="2" t="s">
        <v>35</v>
      </c>
      <c r="W40" t="s">
        <v>36</v>
      </c>
    </row>
    <row r="42" spans="21:49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9" x14ac:dyDescent="0.15">
      <c r="U43" s="10" t="s">
        <v>55</v>
      </c>
      <c r="V43" s="21"/>
      <c r="W43" s="49">
        <v>11</v>
      </c>
      <c r="X43" s="49">
        <v>9</v>
      </c>
      <c r="Y43" s="49">
        <v>2</v>
      </c>
      <c r="Z43" s="49">
        <v>-3</v>
      </c>
      <c r="AA43" s="49">
        <v>-6</v>
      </c>
      <c r="AB43" s="49">
        <v>-13</v>
      </c>
      <c r="AC43" s="49">
        <v>-24</v>
      </c>
      <c r="AD43" s="49">
        <v>-32</v>
      </c>
      <c r="AE43" s="39" t="s">
        <v>42</v>
      </c>
      <c r="AF43" s="53">
        <f>$W$5+W43</f>
        <v>54.493008775503654</v>
      </c>
      <c r="AG43" s="53">
        <f t="shared" ref="AG43:AM43" si="11">$W$5+X43</f>
        <v>52.493008775503654</v>
      </c>
      <c r="AH43" s="53">
        <f t="shared" si="11"/>
        <v>45.493008775503654</v>
      </c>
      <c r="AI43" s="53">
        <f t="shared" si="11"/>
        <v>40.493008775503654</v>
      </c>
      <c r="AJ43" s="53">
        <f t="shared" si="11"/>
        <v>37.493008775503654</v>
      </c>
      <c r="AK43" s="53">
        <f t="shared" si="11"/>
        <v>30.493008775503654</v>
      </c>
      <c r="AL43" s="53">
        <f t="shared" si="11"/>
        <v>19.493008775503654</v>
      </c>
      <c r="AM43" s="53">
        <f t="shared" si="11"/>
        <v>11.493008775503654</v>
      </c>
      <c r="AN43" s="5">
        <f t="array" ref="AN43">10*LOG10(SUM(10^(AF43:AM43/10)))</f>
        <v>57.096014371550261</v>
      </c>
      <c r="AO43" s="5">
        <f t="array" ref="AO43">10*LOG10(SUM(10^((AF43:AM43+AF46:AM46)/10)))</f>
        <v>43.521591284035502</v>
      </c>
      <c r="AP43" t="str">
        <f>IF(ABS(W5-AO43)&lt;0.5,"OK","Tarkista laskenta!")</f>
        <v>OK</v>
      </c>
    </row>
    <row r="44" spans="21:49" x14ac:dyDescent="0.15">
      <c r="U44" s="14" t="s">
        <v>56</v>
      </c>
      <c r="V44" s="26"/>
      <c r="W44" s="49">
        <v>9</v>
      </c>
      <c r="X44" s="49">
        <v>7</v>
      </c>
      <c r="Y44" s="49">
        <v>3</v>
      </c>
      <c r="Z44" s="49">
        <v>-3</v>
      </c>
      <c r="AA44" s="49">
        <v>-7</v>
      </c>
      <c r="AB44" s="49">
        <v>-9</v>
      </c>
      <c r="AC44" s="49">
        <v>-16</v>
      </c>
      <c r="AD44" s="49">
        <v>-26</v>
      </c>
      <c r="AE44" s="39" t="s">
        <v>43</v>
      </c>
      <c r="AF44" s="53">
        <f>$W$6+W44</f>
        <v>63.706929874614787</v>
      </c>
      <c r="AG44" s="53">
        <f t="shared" ref="AG44:AM44" si="12">$W$6+X44</f>
        <v>61.706929874614787</v>
      </c>
      <c r="AH44" s="53">
        <f t="shared" si="12"/>
        <v>57.706929874614787</v>
      </c>
      <c r="AI44" s="53">
        <f t="shared" si="12"/>
        <v>51.706929874614787</v>
      </c>
      <c r="AJ44" s="53">
        <f t="shared" si="12"/>
        <v>47.706929874614787</v>
      </c>
      <c r="AK44" s="53">
        <f t="shared" si="12"/>
        <v>45.706929874614787</v>
      </c>
      <c r="AL44" s="53">
        <f t="shared" si="12"/>
        <v>38.706929874614787</v>
      </c>
      <c r="AM44" s="53">
        <f t="shared" si="12"/>
        <v>28.706929874614787</v>
      </c>
      <c r="AN44" s="5">
        <f t="array" ref="AN44">10*LOG10(SUM(10^(AF44:AM44/10)))</f>
        <v>66.694779733246548</v>
      </c>
      <c r="AO44" s="5">
        <f t="array" ref="AO44">10*LOG10(SUM(10^((AF44:AM44+AF46:AM46)/10)))</f>
        <v>54.945399575439502</v>
      </c>
      <c r="AP44" t="str">
        <f>IF(ABS(W6-AO44)&lt;0.5,"OK","Tarkista laskenta!")</f>
        <v>OK</v>
      </c>
    </row>
    <row r="46" spans="21:49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LINEST(Y63:Y68,X63:X68^{1,2})</f>
        <v>-3.0274832563156016E-3</v>
      </c>
      <c r="Y51" s="54">
        <v>1.3879338969223955</v>
      </c>
      <c r="Z51" s="54">
        <v>45.342163187206395</v>
      </c>
    </row>
    <row r="52" spans="3:26" x14ac:dyDescent="0.15">
      <c r="W52" t="s">
        <v>408</v>
      </c>
      <c r="X52" s="54">
        <f t="array" ref="X52:Z52">LINEST(Y70:Y76,X70:X76^{1,2})</f>
        <v>-6.9375042848578584E-4</v>
      </c>
      <c r="Y52" s="54">
        <v>0.77076346759496583</v>
      </c>
      <c r="Z52" s="54">
        <v>31.573391355723313</v>
      </c>
    </row>
    <row r="53" spans="3:26" x14ac:dyDescent="0.15">
      <c r="W53" t="s">
        <v>411</v>
      </c>
      <c r="X53" s="54">
        <f t="array" ref="X53:Z53">LINEST(Y78:Y82,X78:X82^{1,2})</f>
        <v>7.6069351029504787E-4</v>
      </c>
      <c r="Y53" s="54">
        <v>0.31458730059891832</v>
      </c>
      <c r="Z53" s="54">
        <v>18.947729415783744</v>
      </c>
    </row>
    <row r="54" spans="3:26" x14ac:dyDescent="0.15">
      <c r="W54" t="s">
        <v>409</v>
      </c>
      <c r="X54" s="54">
        <f t="array" ref="X54:Z54">LINEST(Y86:Y89,X86:X89^{1,2})</f>
        <v>8.5683317291663282E-4</v>
      </c>
      <c r="Y54" s="54">
        <v>0.11014162815087163</v>
      </c>
      <c r="Z54" s="54">
        <v>9.5182661106749684</v>
      </c>
    </row>
    <row r="55" spans="3:26" x14ac:dyDescent="0.15">
      <c r="W55" t="s">
        <v>590</v>
      </c>
      <c r="X55" s="54">
        <f t="array" ref="X55:Z55">LINEST(Y92:Y96,X92:X96^{1,2})</f>
        <v>9.9771165119116856E-4</v>
      </c>
      <c r="Y55" s="54">
        <v>0.77679628183755234</v>
      </c>
      <c r="Z55" s="54">
        <v>51.083501113172183</v>
      </c>
    </row>
    <row r="56" spans="3:26" x14ac:dyDescent="0.15">
      <c r="C56" s="2" t="s">
        <v>45</v>
      </c>
    </row>
    <row r="57" spans="3:26" x14ac:dyDescent="0.15">
      <c r="C57" s="23" t="s">
        <v>55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56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598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598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142.33692589140077</v>
      </c>
      <c r="E59" s="68">
        <v>63.504792074772809</v>
      </c>
      <c r="F59" s="69">
        <v>168.33790315370854</v>
      </c>
      <c r="H59" t="s">
        <v>4</v>
      </c>
      <c r="I59" t="s">
        <v>5</v>
      </c>
      <c r="K59" s="24"/>
      <c r="M59" s="10" t="s">
        <v>3</v>
      </c>
      <c r="N59" s="67">
        <v>142.31089483268275</v>
      </c>
      <c r="O59" s="68">
        <v>76.38069339977983</v>
      </c>
      <c r="P59" s="69">
        <v>167.82975742013372</v>
      </c>
      <c r="R59" t="s">
        <v>4</v>
      </c>
      <c r="S59" t="s">
        <v>5</v>
      </c>
      <c r="T59" s="24" t="s">
        <v>6</v>
      </c>
      <c r="W59" s="10" t="s">
        <v>3</v>
      </c>
      <c r="X59" s="478">
        <v>145.93280562131633</v>
      </c>
      <c r="Y59" s="478">
        <v>171.33659884692841</v>
      </c>
    </row>
    <row r="60" spans="3:26" x14ac:dyDescent="0.15">
      <c r="C60" s="12"/>
      <c r="D60" s="67">
        <v>135.55354520352333</v>
      </c>
      <c r="E60" s="68">
        <v>63.293976534273817</v>
      </c>
      <c r="F60" s="69">
        <v>167.96119247536888</v>
      </c>
      <c r="H60" s="2">
        <f t="array" ref="H60:J60">LINEST(E59:E62,D59:D62^{1,2})</f>
        <v>-9.1850769573138257E-5</v>
      </c>
      <c r="I60" s="2">
        <v>7.2580390796304749E-3</v>
      </c>
      <c r="J60" s="2">
        <v>64.210244656140446</v>
      </c>
      <c r="K60" s="24"/>
      <c r="M60" s="12"/>
      <c r="N60" s="67">
        <v>135.75297833011399</v>
      </c>
      <c r="O60" s="68">
        <v>75.606125966760828</v>
      </c>
      <c r="P60" s="69">
        <v>167.76294559554921</v>
      </c>
      <c r="R60" s="2">
        <f t="array" ref="R60:T60">LINEST(O59:O62,N59:N62^{1,2})</f>
        <v>1.581334526101662E-3</v>
      </c>
      <c r="S60" s="2">
        <v>-0.36419370419520597</v>
      </c>
      <c r="T60" s="27">
        <v>96.081475666391881</v>
      </c>
      <c r="W60" s="12"/>
      <c r="X60" s="478">
        <v>141.05384772765888</v>
      </c>
      <c r="Y60" s="478">
        <v>171.20476167067767</v>
      </c>
    </row>
    <row r="61" spans="3:26" x14ac:dyDescent="0.15">
      <c r="C61" s="12"/>
      <c r="D61" s="67">
        <v>120.87292567048598</v>
      </c>
      <c r="E61" s="68">
        <v>63.858494061413182</v>
      </c>
      <c r="F61" s="69">
        <v>167.82594932956198</v>
      </c>
      <c r="K61" s="24"/>
      <c r="M61" s="12"/>
      <c r="N61" s="67">
        <v>121.88498248796257</v>
      </c>
      <c r="O61" s="68">
        <v>75.27508361363077</v>
      </c>
      <c r="P61" s="69">
        <v>167.4384519738862</v>
      </c>
      <c r="T61" s="24"/>
      <c r="W61" s="12"/>
      <c r="X61" s="478">
        <v>137.14938858370206</v>
      </c>
      <c r="Y61" s="478">
        <v>170.53321022331545</v>
      </c>
    </row>
    <row r="62" spans="3:26" x14ac:dyDescent="0.15">
      <c r="C62" s="14"/>
      <c r="D62" s="67">
        <v>99.354279744439367</v>
      </c>
      <c r="E62" s="68">
        <v>64.001811053093547</v>
      </c>
      <c r="F62" s="69">
        <v>159.19453835625194</v>
      </c>
      <c r="K62" s="24"/>
      <c r="M62" s="14"/>
      <c r="N62" s="67">
        <v>98.845904208709058</v>
      </c>
      <c r="O62" s="68">
        <v>75.51677763329937</v>
      </c>
      <c r="P62" s="69">
        <v>158.82836306866963</v>
      </c>
      <c r="T62" s="24"/>
      <c r="W62" s="12"/>
      <c r="X62" s="478">
        <v>131.55494143634706</v>
      </c>
      <c r="Y62" s="478">
        <v>170.80421961235893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478">
        <v>126.45313821471686</v>
      </c>
      <c r="Y63" s="478">
        <v>170.40340335914607</v>
      </c>
    </row>
    <row r="64" spans="3:26" x14ac:dyDescent="0.15">
      <c r="C64" s="10" t="s">
        <v>408</v>
      </c>
      <c r="D64" s="67">
        <v>124.39615122000632</v>
      </c>
      <c r="E64" s="68">
        <v>60.755407441724529</v>
      </c>
      <c r="F64" s="69">
        <v>113.60317789708478</v>
      </c>
      <c r="H64" t="s">
        <v>4</v>
      </c>
      <c r="I64" t="s">
        <v>5</v>
      </c>
      <c r="K64" s="24"/>
      <c r="M64" s="10" t="s">
        <v>408</v>
      </c>
      <c r="N64" s="67">
        <v>124.39645653823712</v>
      </c>
      <c r="O64" s="68">
        <v>73.274158998284477</v>
      </c>
      <c r="P64" s="69">
        <v>113.30264950492825</v>
      </c>
      <c r="R64" t="s">
        <v>4</v>
      </c>
      <c r="S64" t="s">
        <v>5</v>
      </c>
      <c r="T64" s="24" t="s">
        <v>6</v>
      </c>
      <c r="W64" s="12"/>
      <c r="X64" s="478">
        <v>121.46818656102965</v>
      </c>
      <c r="Y64" s="478">
        <v>169.75780539499809</v>
      </c>
    </row>
    <row r="65" spans="3:25" x14ac:dyDescent="0.15">
      <c r="C65" s="12"/>
      <c r="D65" s="67">
        <v>115.28578026929198</v>
      </c>
      <c r="E65" s="68">
        <v>59.863910817556906</v>
      </c>
      <c r="F65" s="69">
        <v>105.55857205937565</v>
      </c>
      <c r="H65" s="2">
        <f t="array" ref="H65:J65">LINEST(E64:E67,D64:D67^{1,2})</f>
        <v>1.6134374569970276E-3</v>
      </c>
      <c r="I65" s="2">
        <v>-0.30791360766971593</v>
      </c>
      <c r="J65" s="2">
        <v>74.03744102127115</v>
      </c>
      <c r="K65" s="24"/>
      <c r="M65" s="12"/>
      <c r="N65" s="67">
        <v>115.27995865272432</v>
      </c>
      <c r="O65" s="68">
        <v>72.04948224384114</v>
      </c>
      <c r="P65" s="69">
        <v>105.29860193076772</v>
      </c>
      <c r="R65" s="2">
        <f t="array" ref="R65:T65">LINEST(O64:O67,N64:N67^{1,2})</f>
        <v>2.5889618018373542E-3</v>
      </c>
      <c r="S65" s="2">
        <v>-0.48813921193497006</v>
      </c>
      <c r="T65" s="27">
        <v>93.928469208123047</v>
      </c>
      <c r="W65" s="12"/>
      <c r="X65" s="478">
        <v>113.97454094383536</v>
      </c>
      <c r="Y65" s="478">
        <v>167.39901054092508</v>
      </c>
    </row>
    <row r="66" spans="3:25" x14ac:dyDescent="0.15">
      <c r="C66" s="12"/>
      <c r="D66" s="67">
        <v>101.60052829387213</v>
      </c>
      <c r="E66" s="68">
        <v>59.500309027733529</v>
      </c>
      <c r="F66" s="69">
        <v>97.976349714782643</v>
      </c>
      <c r="K66" s="24"/>
      <c r="M66" s="12"/>
      <c r="N66" s="67">
        <v>101.91624124775765</v>
      </c>
      <c r="O66" s="68">
        <v>71.079127309114256</v>
      </c>
      <c r="P66" s="69">
        <v>97.765855378849452</v>
      </c>
      <c r="T66" s="24"/>
      <c r="W66" s="12"/>
      <c r="X66" s="478">
        <v>98.894194031361593</v>
      </c>
      <c r="Y66" s="478">
        <v>151.94567006146681</v>
      </c>
    </row>
    <row r="67" spans="3:25" x14ac:dyDescent="0.15">
      <c r="C67" s="14"/>
      <c r="D67" s="67">
        <v>86.887542381488743</v>
      </c>
      <c r="E67" s="68">
        <v>59.437175303534943</v>
      </c>
      <c r="F67" s="69">
        <v>86.958592380060594</v>
      </c>
      <c r="K67" s="24"/>
      <c r="M67" s="14"/>
      <c r="N67" s="67">
        <v>83.81228756595587</v>
      </c>
      <c r="O67" s="68">
        <v>71.200535622630397</v>
      </c>
      <c r="P67" s="69">
        <v>86.752896620101637</v>
      </c>
      <c r="T67" s="24"/>
      <c r="W67" s="12"/>
      <c r="X67" s="478">
        <v>82.599850212683407</v>
      </c>
      <c r="Y67" s="478">
        <v>138.15078073532626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4"/>
      <c r="X68" s="478">
        <v>59.628845690569321</v>
      </c>
      <c r="Y68" s="478">
        <v>117.90995300763927</v>
      </c>
    </row>
    <row r="69" spans="3:25" x14ac:dyDescent="0.15">
      <c r="C69" s="10" t="s">
        <v>411</v>
      </c>
      <c r="D69" s="67">
        <v>93.509550571045949</v>
      </c>
      <c r="E69" s="68">
        <v>54.415504897675802</v>
      </c>
      <c r="F69" s="69">
        <v>51.963408020334164</v>
      </c>
      <c r="H69" t="s">
        <v>4</v>
      </c>
      <c r="I69" t="s">
        <v>5</v>
      </c>
      <c r="J69" t="s">
        <v>6</v>
      </c>
      <c r="K69" s="24"/>
      <c r="M69" s="10" t="s">
        <v>411</v>
      </c>
      <c r="N69" s="67">
        <v>93.746035380865251</v>
      </c>
      <c r="O69" s="68">
        <v>66.574724987435175</v>
      </c>
      <c r="P69" s="69">
        <v>51.840740552727752</v>
      </c>
      <c r="R69" t="s">
        <v>4</v>
      </c>
      <c r="S69" t="s">
        <v>5</v>
      </c>
      <c r="T69" s="24" t="s">
        <v>6</v>
      </c>
      <c r="W69" s="12"/>
      <c r="X69" s="458" t="s">
        <v>13</v>
      </c>
      <c r="Y69" s="153" t="s">
        <v>49</v>
      </c>
    </row>
    <row r="70" spans="3:25" x14ac:dyDescent="0.15">
      <c r="C70" s="12"/>
      <c r="D70" s="67">
        <v>84.603189103799437</v>
      </c>
      <c r="E70" s="68">
        <v>53.466522438874719</v>
      </c>
      <c r="F70" s="69">
        <v>49.172956811497492</v>
      </c>
      <c r="H70" s="2">
        <f t="array" ref="H70:J70">LINEST(E69:E72,D69:D72^{1,2})</f>
        <v>2.6630451607203005E-3</v>
      </c>
      <c r="I70" s="2">
        <v>-0.37155138973968388</v>
      </c>
      <c r="J70" s="2">
        <v>65.863835994561867</v>
      </c>
      <c r="K70" s="24"/>
      <c r="M70" s="12"/>
      <c r="N70" s="67">
        <v>83.885724032891446</v>
      </c>
      <c r="O70" s="68">
        <v>65.900228657656129</v>
      </c>
      <c r="P70" s="69">
        <v>49.063899227254822</v>
      </c>
      <c r="R70" s="2">
        <f t="array" ref="R70:T70">LINEST(O69:O72,N69:N72^{1,2})</f>
        <v>1.9061650395799758E-3</v>
      </c>
      <c r="S70" s="2">
        <v>-0.2353363488863206</v>
      </c>
      <c r="T70" s="27">
        <v>71.974650112696608</v>
      </c>
      <c r="W70" s="10" t="s">
        <v>408</v>
      </c>
      <c r="X70" s="68">
        <v>48.113768648848222</v>
      </c>
      <c r="Y70" s="68">
        <v>66.989400705630914</v>
      </c>
    </row>
    <row r="71" spans="3:25" x14ac:dyDescent="0.15">
      <c r="C71" s="12"/>
      <c r="D71" s="67">
        <v>73.637239543770193</v>
      </c>
      <c r="E71" s="68">
        <v>52.965459876340411</v>
      </c>
      <c r="F71" s="69">
        <v>44.587210284777143</v>
      </c>
      <c r="K71" s="24"/>
      <c r="M71" s="12"/>
      <c r="N71" s="67">
        <v>73.528916154304341</v>
      </c>
      <c r="O71" s="68">
        <v>64.745187392101812</v>
      </c>
      <c r="P71" s="69">
        <v>44.520187546631931</v>
      </c>
      <c r="T71" s="24"/>
      <c r="W71" s="12"/>
      <c r="X71" s="68">
        <v>69.725952249164479</v>
      </c>
      <c r="Y71" s="68">
        <v>81.624373459526382</v>
      </c>
    </row>
    <row r="72" spans="3:25" x14ac:dyDescent="0.15">
      <c r="C72" s="14"/>
      <c r="D72" s="67">
        <v>62.440986792248914</v>
      </c>
      <c r="E72" s="68">
        <v>53.03990267809472</v>
      </c>
      <c r="F72" s="69">
        <v>37.958786520928079</v>
      </c>
      <c r="K72" s="24"/>
      <c r="M72" s="14"/>
      <c r="N72" s="67">
        <v>61.604561271906874</v>
      </c>
      <c r="O72" s="68">
        <v>64.778560386905198</v>
      </c>
      <c r="P72" s="69">
        <v>37.896921857869309</v>
      </c>
      <c r="T72" s="24"/>
      <c r="W72" s="12"/>
      <c r="X72" s="68">
        <v>94.145823061534287</v>
      </c>
      <c r="Y72" s="68">
        <v>99.999477318025953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2"/>
      <c r="X73" s="68">
        <v>104.21457877159305</v>
      </c>
      <c r="Y73" s="68">
        <v>103.48805129721504</v>
      </c>
    </row>
    <row r="74" spans="3:25" x14ac:dyDescent="0.15">
      <c r="C74" s="10" t="s">
        <v>409</v>
      </c>
      <c r="D74" s="67">
        <v>58.440074597319764</v>
      </c>
      <c r="E74" s="68">
        <v>45.027312949970536</v>
      </c>
      <c r="F74" s="69">
        <v>18.288711059751751</v>
      </c>
      <c r="H74" t="s">
        <v>4</v>
      </c>
      <c r="I74" t="s">
        <v>5</v>
      </c>
      <c r="J74" t="s">
        <v>6</v>
      </c>
      <c r="K74" s="24"/>
      <c r="M74" s="10" t="s">
        <v>409</v>
      </c>
      <c r="N74" s="67">
        <v>58.419544531154315</v>
      </c>
      <c r="O74" s="68">
        <v>57.040901964604288</v>
      </c>
      <c r="P74" s="69">
        <v>18.223283778167332</v>
      </c>
      <c r="R74" t="s">
        <v>4</v>
      </c>
      <c r="S74" t="s">
        <v>5</v>
      </c>
      <c r="T74" s="24" t="s">
        <v>6</v>
      </c>
      <c r="W74" s="12"/>
      <c r="X74" s="68">
        <v>112.57223888931715</v>
      </c>
      <c r="Y74" s="68">
        <v>108.26752691162672</v>
      </c>
    </row>
    <row r="75" spans="3:25" x14ac:dyDescent="0.15">
      <c r="C75" s="12"/>
      <c r="D75" s="67">
        <v>52.756041556422801</v>
      </c>
      <c r="E75" s="68">
        <v>45.390878440304824</v>
      </c>
      <c r="F75" s="69">
        <v>17.173412186741277</v>
      </c>
      <c r="H75" s="2">
        <f t="array" ref="H75:J75">LINEST(E74:E77,D74:D77^{1,2})</f>
        <v>-3.866361630894018E-3</v>
      </c>
      <c r="I75" s="2">
        <v>0.40537622724715378</v>
      </c>
      <c r="J75" s="2">
        <v>34.602322375714095</v>
      </c>
      <c r="K75" s="24"/>
      <c r="M75" s="12"/>
      <c r="N75" s="67">
        <v>52.196889475840962</v>
      </c>
      <c r="O75" s="68">
        <v>56.496554636920223</v>
      </c>
      <c r="P75" s="69">
        <v>17.13701321504886</v>
      </c>
      <c r="R75" s="2">
        <f t="array" ref="R75:T75">LINEST(O74:O77,N74:N77^{1,2})</f>
        <v>3.1592328051334062E-3</v>
      </c>
      <c r="S75" s="2">
        <v>-0.23928025485327195</v>
      </c>
      <c r="T75" s="27">
        <v>60.274068228736084</v>
      </c>
      <c r="W75" s="12"/>
      <c r="X75" s="68">
        <v>121.08321064793208</v>
      </c>
      <c r="Y75" s="68">
        <v>114.19640879671721</v>
      </c>
    </row>
    <row r="76" spans="3:25" x14ac:dyDescent="0.15">
      <c r="C76" s="12"/>
      <c r="D76" s="67">
        <v>46.383102435328567</v>
      </c>
      <c r="E76" s="68">
        <v>44.940241651074359</v>
      </c>
      <c r="F76" s="69">
        <v>15.976519793234619</v>
      </c>
      <c r="K76" s="24"/>
      <c r="M76" s="12"/>
      <c r="N76" s="67">
        <v>45.892068901589042</v>
      </c>
      <c r="O76" s="68">
        <v>55.851746083342412</v>
      </c>
      <c r="P76" s="69">
        <v>15.9708209629559</v>
      </c>
      <c r="T76" s="24"/>
      <c r="W76" s="14"/>
      <c r="X76" s="68">
        <v>128.25979843355867</v>
      </c>
      <c r="Y76" s="68">
        <v>120.0773159902373</v>
      </c>
    </row>
    <row r="77" spans="3:25" x14ac:dyDescent="0.15">
      <c r="C77" s="14"/>
      <c r="D77" s="67">
        <v>39.332106321431894</v>
      </c>
      <c r="E77" s="71">
        <v>44.609229142732467</v>
      </c>
      <c r="F77" s="69">
        <v>14.286412768134158</v>
      </c>
      <c r="G77" s="25"/>
      <c r="H77" s="25"/>
      <c r="I77" s="25"/>
      <c r="J77" s="25"/>
      <c r="K77" s="26"/>
      <c r="M77" s="14"/>
      <c r="N77" s="67">
        <v>38.225352061782701</v>
      </c>
      <c r="O77" s="71">
        <v>55.770251275797165</v>
      </c>
      <c r="P77" s="69">
        <v>14.253213470630605</v>
      </c>
      <c r="Q77" s="25"/>
      <c r="R77" s="25"/>
      <c r="S77" s="25"/>
      <c r="T77" s="26"/>
      <c r="W77" s="12"/>
      <c r="X77" s="16" t="s">
        <v>13</v>
      </c>
      <c r="Y77" s="11" t="s">
        <v>49</v>
      </c>
    </row>
    <row r="78" spans="3:25" x14ac:dyDescent="0.15">
      <c r="W78" s="10" t="s">
        <v>411</v>
      </c>
      <c r="X78" s="68">
        <v>95.288588606918864</v>
      </c>
      <c r="Y78" s="68">
        <v>55.926419615573145</v>
      </c>
    </row>
    <row r="79" spans="3:25" x14ac:dyDescent="0.15">
      <c r="F79" s="5"/>
      <c r="W79" s="12"/>
      <c r="X79" s="68">
        <v>84.236237037741418</v>
      </c>
      <c r="Y79" s="68">
        <v>50.599349202971588</v>
      </c>
    </row>
    <row r="80" spans="3:25" x14ac:dyDescent="0.15">
      <c r="F80" s="5"/>
      <c r="W80" s="12"/>
      <c r="X80" s="68">
        <v>67.284582916698795</v>
      </c>
      <c r="Y80" s="68">
        <v>43.796688567953638</v>
      </c>
    </row>
    <row r="81" spans="6:25" x14ac:dyDescent="0.15">
      <c r="F81" s="5"/>
      <c r="W81" s="12"/>
      <c r="X81" s="68">
        <v>38.781474840211665</v>
      </c>
      <c r="Y81" s="68">
        <v>32.110345134320482</v>
      </c>
    </row>
    <row r="82" spans="6:25" x14ac:dyDescent="0.15">
      <c r="F82" s="5"/>
      <c r="W82" s="12"/>
      <c r="X82" s="68">
        <v>28.199869006956831</v>
      </c>
      <c r="Y82" s="68">
        <v>28.517985540807324</v>
      </c>
    </row>
    <row r="83" spans="6:25" x14ac:dyDescent="0.15">
      <c r="W83" s="12"/>
      <c r="X83" s="17"/>
      <c r="Y83" s="13"/>
    </row>
    <row r="84" spans="6:25" x14ac:dyDescent="0.15">
      <c r="W84" s="14"/>
      <c r="X84" s="18"/>
      <c r="Y84" s="15"/>
    </row>
    <row r="85" spans="6:25" x14ac:dyDescent="0.15">
      <c r="W85" s="12"/>
      <c r="X85" s="16" t="s">
        <v>13</v>
      </c>
      <c r="Y85" s="11" t="s">
        <v>49</v>
      </c>
    </row>
    <row r="86" spans="6:25" x14ac:dyDescent="0.15">
      <c r="W86" s="10" t="s">
        <v>409</v>
      </c>
      <c r="X86" s="68">
        <v>18.229681878656653</v>
      </c>
      <c r="Y86" s="68">
        <v>11.829330691825657</v>
      </c>
    </row>
    <row r="87" spans="6:25" x14ac:dyDescent="0.15">
      <c r="F87" s="5"/>
      <c r="W87" s="12"/>
      <c r="X87" s="68">
        <v>38.356644506032225</v>
      </c>
      <c r="Y87" s="68">
        <v>14.906650602251696</v>
      </c>
    </row>
    <row r="88" spans="6:25" x14ac:dyDescent="0.15">
      <c r="F88" s="5"/>
      <c r="W88" s="12"/>
      <c r="X88" s="68">
        <v>50.652024686808119</v>
      </c>
      <c r="Y88" s="68">
        <v>17.447344781188477</v>
      </c>
    </row>
    <row r="89" spans="6:25" x14ac:dyDescent="0.15">
      <c r="F89" s="5"/>
      <c r="W89" s="12"/>
      <c r="X89" s="68">
        <v>58.713396920140099</v>
      </c>
      <c r="Y89" s="68">
        <v>18.86532265222845</v>
      </c>
    </row>
    <row r="90" spans="6:25" x14ac:dyDescent="0.15">
      <c r="F90" s="5"/>
      <c r="W90" s="12"/>
      <c r="X90" s="17"/>
      <c r="Y90" s="13"/>
    </row>
    <row r="91" spans="6:25" x14ac:dyDescent="0.15">
      <c r="F91" s="5"/>
      <c r="W91" s="12"/>
      <c r="X91" s="16" t="s">
        <v>13</v>
      </c>
      <c r="Y91" s="11" t="s">
        <v>49</v>
      </c>
    </row>
    <row r="92" spans="6:25" x14ac:dyDescent="0.15">
      <c r="F92" s="5"/>
      <c r="W92" s="10" t="s">
        <v>590</v>
      </c>
      <c r="X92" s="68">
        <v>120.12416008604148</v>
      </c>
      <c r="Y92" s="68">
        <v>158.71858363035491</v>
      </c>
    </row>
    <row r="93" spans="6:25" x14ac:dyDescent="0.15">
      <c r="F93" s="5"/>
      <c r="W93" s="12"/>
      <c r="X93" s="68">
        <v>104.28237943386655</v>
      </c>
      <c r="Y93" s="68">
        <v>143.40845802475638</v>
      </c>
    </row>
    <row r="94" spans="6:25" x14ac:dyDescent="0.15">
      <c r="F94" s="5"/>
      <c r="W94" s="12"/>
      <c r="X94" s="68">
        <v>70.69056308182347</v>
      </c>
      <c r="Y94" s="68">
        <v>111.60794943452888</v>
      </c>
    </row>
    <row r="95" spans="6:25" x14ac:dyDescent="0.15">
      <c r="F95" s="5"/>
      <c r="W95" s="12"/>
      <c r="X95" s="68">
        <v>49.564301038903714</v>
      </c>
      <c r="Y95" s="68">
        <v>91.87637660025311</v>
      </c>
    </row>
    <row r="96" spans="6:25" x14ac:dyDescent="0.15">
      <c r="F96" s="5"/>
      <c r="W96" s="14"/>
      <c r="X96" s="68">
        <v>88.638894657469507</v>
      </c>
      <c r="Y96" s="68">
        <v>126.91451442541967</v>
      </c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32D15-914F-4C70-8182-4C77C6AE8579}">
  <sheetPr codeName="Taul6"/>
  <dimension ref="B3:W49"/>
  <sheetViews>
    <sheetView workbookViewId="0">
      <selection activeCell="P28" sqref="P28"/>
    </sheetView>
  </sheetViews>
  <sheetFormatPr baseColWidth="10" defaultColWidth="8.83203125" defaultRowHeight="13" x14ac:dyDescent="0.15"/>
  <cols>
    <col min="2" max="2" width="22.5" customWidth="1"/>
  </cols>
  <sheetData>
    <row r="3" spans="2:12" x14ac:dyDescent="0.15">
      <c r="B3" s="2" t="s">
        <v>79</v>
      </c>
    </row>
    <row r="4" spans="2:12" x14ac:dyDescent="0.15">
      <c r="B4" t="s">
        <v>7</v>
      </c>
      <c r="C4" s="3">
        <f>'Laskenta tulopuoli 130'!W9</f>
        <v>4.3112531189344354</v>
      </c>
      <c r="D4" t="s">
        <v>25</v>
      </c>
    </row>
    <row r="5" spans="2:12" x14ac:dyDescent="0.15">
      <c r="B5" t="s">
        <v>8</v>
      </c>
      <c r="C5" s="3">
        <f>'Laskenta poistopuoli 130'!W9</f>
        <v>3.8101231455787632</v>
      </c>
      <c r="D5" t="s">
        <v>25</v>
      </c>
    </row>
    <row r="7" spans="2:12" x14ac:dyDescent="0.15">
      <c r="B7" s="2" t="s">
        <v>88</v>
      </c>
      <c r="K7" t="s">
        <v>599</v>
      </c>
    </row>
    <row r="8" spans="2:12" x14ac:dyDescent="0.15">
      <c r="B8" t="s">
        <v>90</v>
      </c>
      <c r="K8" t="s">
        <v>365</v>
      </c>
      <c r="L8" t="s">
        <v>27</v>
      </c>
    </row>
    <row r="9" spans="2:12" x14ac:dyDescent="0.15">
      <c r="B9" t="s">
        <v>601</v>
      </c>
      <c r="K9" s="8">
        <v>10</v>
      </c>
      <c r="L9" s="481">
        <v>50.727797451867104</v>
      </c>
    </row>
    <row r="10" spans="2:12" x14ac:dyDescent="0.15">
      <c r="K10" s="8">
        <v>10</v>
      </c>
      <c r="L10" s="481">
        <v>50.906829010197214</v>
      </c>
    </row>
    <row r="11" spans="2:12" x14ac:dyDescent="0.15">
      <c r="C11" t="s">
        <v>4</v>
      </c>
      <c r="D11" t="s">
        <v>5</v>
      </c>
      <c r="K11" s="8">
        <v>10</v>
      </c>
      <c r="L11" s="481">
        <v>51.633663631872835</v>
      </c>
    </row>
    <row r="12" spans="2:12" x14ac:dyDescent="0.15">
      <c r="B12" t="s">
        <v>600</v>
      </c>
      <c r="C12" s="107">
        <f t="array" ref="C12:D12">LINEST(L9:L14,LN(K9:K14))</f>
        <v>21.378327428349703</v>
      </c>
      <c r="D12" s="107">
        <v>1.951498036236309</v>
      </c>
      <c r="K12" s="8">
        <v>8</v>
      </c>
      <c r="L12" s="481">
        <v>46.855554140426776</v>
      </c>
    </row>
    <row r="13" spans="2:12" x14ac:dyDescent="0.15">
      <c r="K13" s="8">
        <v>6</v>
      </c>
      <c r="L13" s="481">
        <v>40.081737985343281</v>
      </c>
    </row>
    <row r="14" spans="2:12" x14ac:dyDescent="0.15">
      <c r="K14" s="8">
        <v>4</v>
      </c>
      <c r="L14" s="481">
        <v>31.57611766294508</v>
      </c>
    </row>
    <row r="15" spans="2:12" x14ac:dyDescent="0.15">
      <c r="B15" t="s">
        <v>91</v>
      </c>
      <c r="C15" s="3">
        <f>MAX(C4,C5)</f>
        <v>4.3112531189344354</v>
      </c>
      <c r="D15" t="s">
        <v>25</v>
      </c>
      <c r="E15" s="82" t="s">
        <v>42</v>
      </c>
      <c r="F15" s="5">
        <f>$C$12*LN(C15)+$D$12</f>
        <v>33.190121680900276</v>
      </c>
      <c r="G15" t="s">
        <v>31</v>
      </c>
    </row>
    <row r="16" spans="2:12" x14ac:dyDescent="0.15">
      <c r="B16" t="s">
        <v>92</v>
      </c>
      <c r="C16" s="79">
        <f>(2*MAX(C4,C5)+MIN(C4,C5))/3</f>
        <v>4.1442097944825447</v>
      </c>
      <c r="D16" t="s">
        <v>25</v>
      </c>
      <c r="E16" s="82" t="s">
        <v>42</v>
      </c>
      <c r="F16" s="5">
        <f>$C$12*LN(C16)+$D$12</f>
        <v>32.345325455046833</v>
      </c>
      <c r="G16" t="s">
        <v>31</v>
      </c>
    </row>
    <row r="18" spans="2:21" ht="14" x14ac:dyDescent="0.15">
      <c r="B18" s="83" t="s">
        <v>82</v>
      </c>
    </row>
    <row r="20" spans="2:21" x14ac:dyDescent="0.15">
      <c r="B20" s="2" t="s">
        <v>84</v>
      </c>
      <c r="K20" s="16">
        <v>63</v>
      </c>
      <c r="L20" s="208">
        <v>125</v>
      </c>
      <c r="M20" s="208">
        <v>250</v>
      </c>
      <c r="N20" s="208">
        <v>500</v>
      </c>
      <c r="O20" s="208">
        <v>1000</v>
      </c>
      <c r="P20" s="208">
        <v>2000</v>
      </c>
      <c r="Q20" s="208">
        <v>4000</v>
      </c>
      <c r="R20" s="11">
        <v>8000</v>
      </c>
      <c r="S20" s="4" t="s">
        <v>391</v>
      </c>
      <c r="T20" s="4" t="s">
        <v>27</v>
      </c>
    </row>
    <row r="21" spans="2:21" x14ac:dyDescent="0.15">
      <c r="B21" t="s">
        <v>85</v>
      </c>
      <c r="C21" t="s">
        <v>28</v>
      </c>
      <c r="D21" s="3">
        <f>Tulostus!N54</f>
        <v>49.966638054503562</v>
      </c>
      <c r="E21" t="s">
        <v>31</v>
      </c>
      <c r="J21" t="s">
        <v>102</v>
      </c>
      <c r="K21" s="67">
        <v>60.474617706832497</v>
      </c>
      <c r="L21" s="68">
        <v>60.947060754539201</v>
      </c>
      <c r="M21" s="68">
        <v>56.105989537342928</v>
      </c>
      <c r="N21" s="68">
        <v>46.761998862738068</v>
      </c>
      <c r="O21" s="68">
        <v>37.367803478832741</v>
      </c>
      <c r="P21" s="68">
        <v>30.663147021711609</v>
      </c>
      <c r="Q21" s="68">
        <v>28.38770669872595</v>
      </c>
      <c r="R21" s="69">
        <v>22.173900769877921</v>
      </c>
      <c r="S21" s="484">
        <v>64.50559432031443</v>
      </c>
      <c r="T21" s="68">
        <v>50.727797451867104</v>
      </c>
    </row>
    <row r="22" spans="2:21" x14ac:dyDescent="0.15">
      <c r="B22" s="25"/>
      <c r="C22" s="25" t="s">
        <v>8</v>
      </c>
      <c r="D22" s="81">
        <f>Tulostus!N55</f>
        <v>48.666327398220631</v>
      </c>
      <c r="E22" t="s">
        <v>31</v>
      </c>
      <c r="J22" t="s">
        <v>404</v>
      </c>
      <c r="K22" s="67">
        <v>58.092495979814174</v>
      </c>
      <c r="L22" s="68">
        <v>57.911606468677959</v>
      </c>
      <c r="M22" s="68">
        <v>51.76386948867129</v>
      </c>
      <c r="N22" s="68">
        <v>42.07803596728656</v>
      </c>
      <c r="O22" s="68">
        <v>33.319524299041937</v>
      </c>
      <c r="P22" s="68">
        <v>27.671075521806255</v>
      </c>
      <c r="Q22" s="68">
        <v>24.872746120590968</v>
      </c>
      <c r="R22" s="69">
        <v>16.80244799255383</v>
      </c>
      <c r="S22" s="484">
        <v>61.559765602426999</v>
      </c>
      <c r="T22" s="68">
        <v>46.855554140426776</v>
      </c>
    </row>
    <row r="23" spans="2:21" x14ac:dyDescent="0.15">
      <c r="C23" t="s">
        <v>87</v>
      </c>
      <c r="D23" s="3">
        <f>ABS(D21-D22)</f>
        <v>1.3003106562829316</v>
      </c>
      <c r="E23" t="s">
        <v>31</v>
      </c>
      <c r="J23" t="s">
        <v>405</v>
      </c>
      <c r="K23" s="67">
        <v>52.817304171160437</v>
      </c>
      <c r="L23" s="68">
        <v>51.755570891184455</v>
      </c>
      <c r="M23" s="68">
        <v>44.384721983016384</v>
      </c>
      <c r="N23" s="68">
        <v>35.691045949143046</v>
      </c>
      <c r="O23" s="68">
        <v>27.734165354176238</v>
      </c>
      <c r="P23" s="68">
        <v>21.672976734286667</v>
      </c>
      <c r="Q23" s="68">
        <v>17.577062138013034</v>
      </c>
      <c r="R23" s="69">
        <v>7.5290216118441364</v>
      </c>
      <c r="S23" s="484">
        <v>55.718008949083085</v>
      </c>
      <c r="T23" s="68">
        <v>40.081737985343281</v>
      </c>
    </row>
    <row r="24" spans="2:21" x14ac:dyDescent="0.15">
      <c r="D24" s="3"/>
      <c r="J24" t="s">
        <v>406</v>
      </c>
      <c r="K24" s="70">
        <v>45.015484898296272</v>
      </c>
      <c r="L24" s="71">
        <v>42.229058492899583</v>
      </c>
      <c r="M24" s="71">
        <v>35.569278172526609</v>
      </c>
      <c r="N24" s="71">
        <v>29.02976791085376</v>
      </c>
      <c r="O24" s="71">
        <v>20.367356929802241</v>
      </c>
      <c r="P24" s="71">
        <v>11.962003772058438</v>
      </c>
      <c r="Q24" s="71">
        <v>5.3019472550635438</v>
      </c>
      <c r="R24" s="72">
        <v>3.6170763585564285</v>
      </c>
      <c r="S24" s="484">
        <v>47.24097360410785</v>
      </c>
      <c r="T24" s="68">
        <v>31.57611766294508</v>
      </c>
    </row>
    <row r="25" spans="2:21" x14ac:dyDescent="0.15">
      <c r="B25" t="s">
        <v>86</v>
      </c>
      <c r="C25" t="s">
        <v>7</v>
      </c>
      <c r="D25" s="3">
        <f>Tulostus!N53</f>
        <v>60.554075562111798</v>
      </c>
      <c r="E25" t="s">
        <v>31</v>
      </c>
    </row>
    <row r="26" spans="2:21" x14ac:dyDescent="0.15">
      <c r="B26" s="25"/>
      <c r="C26" s="25" t="s">
        <v>57</v>
      </c>
      <c r="D26" s="81">
        <f>Tulostus!N56</f>
        <v>58.69453842504565</v>
      </c>
      <c r="E26" t="s">
        <v>31</v>
      </c>
      <c r="K26" s="19">
        <f>K21-$T21</f>
        <v>9.7468202549653924</v>
      </c>
      <c r="L26" s="483">
        <f t="shared" ref="L26:R26" si="0">L21-$T21</f>
        <v>10.219263302672097</v>
      </c>
      <c r="M26" s="483">
        <f t="shared" si="0"/>
        <v>5.3781920854758241</v>
      </c>
      <c r="N26" s="483">
        <f t="shared" si="0"/>
        <v>-3.9657985891290366</v>
      </c>
      <c r="O26" s="483">
        <f t="shared" si="0"/>
        <v>-13.359993973034364</v>
      </c>
      <c r="P26" s="483">
        <f t="shared" si="0"/>
        <v>-20.064650430155496</v>
      </c>
      <c r="Q26" s="483">
        <f t="shared" si="0"/>
        <v>-22.340090753141155</v>
      </c>
      <c r="R26" s="20">
        <f t="shared" si="0"/>
        <v>-28.553896681989183</v>
      </c>
    </row>
    <row r="27" spans="2:21" x14ac:dyDescent="0.15">
      <c r="C27" t="s">
        <v>87</v>
      </c>
      <c r="D27" s="3">
        <f>ABS(D25-D26)</f>
        <v>1.8595371370661482</v>
      </c>
      <c r="E27" t="s">
        <v>31</v>
      </c>
      <c r="K27" s="17">
        <f t="shared" ref="K27:R29" si="1">K22-$T22</f>
        <v>11.236941839387399</v>
      </c>
      <c r="L27" s="5">
        <f t="shared" si="1"/>
        <v>11.056052328251184</v>
      </c>
      <c r="M27" s="5">
        <f t="shared" si="1"/>
        <v>4.9083153482445141</v>
      </c>
      <c r="N27" s="5">
        <f t="shared" si="1"/>
        <v>-4.7775181731402157</v>
      </c>
      <c r="O27" s="5">
        <f t="shared" si="1"/>
        <v>-13.536029841384838</v>
      </c>
      <c r="P27" s="5">
        <f t="shared" si="1"/>
        <v>-19.184478618620521</v>
      </c>
      <c r="Q27" s="5">
        <f t="shared" si="1"/>
        <v>-21.982808019835808</v>
      </c>
      <c r="R27" s="13">
        <f t="shared" si="1"/>
        <v>-30.053106147872946</v>
      </c>
    </row>
    <row r="28" spans="2:21" x14ac:dyDescent="0.15">
      <c r="K28" s="17">
        <f t="shared" si="1"/>
        <v>12.735566185817156</v>
      </c>
      <c r="L28" s="5">
        <f t="shared" si="1"/>
        <v>11.673832905841174</v>
      </c>
      <c r="M28" s="5">
        <f t="shared" si="1"/>
        <v>4.3029839976731026</v>
      </c>
      <c r="N28" s="5">
        <f t="shared" si="1"/>
        <v>-4.3906920362002353</v>
      </c>
      <c r="O28" s="5">
        <f t="shared" si="1"/>
        <v>-12.347572631167044</v>
      </c>
      <c r="P28" s="5">
        <f t="shared" si="1"/>
        <v>-18.408761251056614</v>
      </c>
      <c r="Q28" s="5">
        <f t="shared" si="1"/>
        <v>-22.504675847330248</v>
      </c>
      <c r="R28" s="13">
        <f t="shared" si="1"/>
        <v>-32.552716373499145</v>
      </c>
    </row>
    <row r="29" spans="2:21" x14ac:dyDescent="0.15">
      <c r="B29" t="s">
        <v>94</v>
      </c>
      <c r="C29" s="3">
        <f>AVERAGE(D27,D23)</f>
        <v>1.5799238966745399</v>
      </c>
      <c r="D29" t="s">
        <v>31</v>
      </c>
      <c r="K29" s="18">
        <f t="shared" si="1"/>
        <v>13.439367235351192</v>
      </c>
      <c r="L29" s="209">
        <f t="shared" si="1"/>
        <v>10.652940829954503</v>
      </c>
      <c r="M29" s="209">
        <f t="shared" si="1"/>
        <v>3.9931605095815286</v>
      </c>
      <c r="N29" s="209">
        <f t="shared" si="1"/>
        <v>-2.5463497520913201</v>
      </c>
      <c r="O29" s="209">
        <f t="shared" si="1"/>
        <v>-11.208760733142839</v>
      </c>
      <c r="P29" s="209">
        <f t="shared" si="1"/>
        <v>-19.614113890886642</v>
      </c>
      <c r="Q29" s="209">
        <f t="shared" si="1"/>
        <v>-26.274170407881535</v>
      </c>
      <c r="R29" s="15">
        <f t="shared" si="1"/>
        <v>-27.959041304388652</v>
      </c>
    </row>
    <row r="30" spans="2:21" x14ac:dyDescent="0.15">
      <c r="B30" t="s">
        <v>93</v>
      </c>
      <c r="C30" s="3">
        <f>-10*LOG10((1-10^(-C29/10)))-3</f>
        <v>2.1575213231084573</v>
      </c>
      <c r="D30" t="s">
        <v>31</v>
      </c>
      <c r="J30" t="s">
        <v>419</v>
      </c>
      <c r="K30" s="6">
        <f>AVERAGE(K26:K29)</f>
        <v>11.789673878880285</v>
      </c>
      <c r="L30" s="6">
        <f t="shared" ref="L30:R30" si="2">AVERAGE(L26:L29)</f>
        <v>10.900522341679739</v>
      </c>
      <c r="M30" s="6">
        <f t="shared" si="2"/>
        <v>4.6456629852437423</v>
      </c>
      <c r="N30" s="6">
        <f t="shared" si="2"/>
        <v>-3.9200896376402019</v>
      </c>
      <c r="O30" s="6">
        <f t="shared" si="2"/>
        <v>-12.613089294682272</v>
      </c>
      <c r="P30" s="6">
        <f t="shared" si="2"/>
        <v>-19.318001047679818</v>
      </c>
      <c r="Q30" s="6">
        <f t="shared" si="2"/>
        <v>-23.27543625704719</v>
      </c>
      <c r="R30" s="6">
        <f t="shared" si="2"/>
        <v>-29.779690126937481</v>
      </c>
      <c r="T30" t="s">
        <v>604</v>
      </c>
    </row>
    <row r="31" spans="2:21" x14ac:dyDescent="0.15">
      <c r="J31" t="s">
        <v>602</v>
      </c>
      <c r="K31" s="108">
        <f>ROUND(K30,0)</f>
        <v>12</v>
      </c>
      <c r="L31" s="108">
        <f t="shared" ref="L31:R31" si="3">ROUND(L30,0)</f>
        <v>11</v>
      </c>
      <c r="M31" s="108">
        <f t="shared" si="3"/>
        <v>5</v>
      </c>
      <c r="N31" s="108">
        <f t="shared" si="3"/>
        <v>-4</v>
      </c>
      <c r="O31" s="108">
        <f t="shared" si="3"/>
        <v>-13</v>
      </c>
      <c r="P31" s="108">
        <f t="shared" si="3"/>
        <v>-19</v>
      </c>
      <c r="Q31" s="108">
        <f t="shared" si="3"/>
        <v>-23</v>
      </c>
      <c r="R31" s="108">
        <f t="shared" si="3"/>
        <v>-30</v>
      </c>
      <c r="T31" s="5">
        <f t="array" ref="T31">10*LOG10(SUM(10^((K31:R31+L41:S41)/10)))</f>
        <v>0.20324316281360399</v>
      </c>
      <c r="U31" t="s">
        <v>603</v>
      </c>
    </row>
    <row r="32" spans="2:21" x14ac:dyDescent="0.15">
      <c r="B32" t="s">
        <v>83</v>
      </c>
      <c r="C32" s="3">
        <f>F15+C30</f>
        <v>35.347643004008731</v>
      </c>
      <c r="D32" t="s">
        <v>31</v>
      </c>
    </row>
    <row r="33" spans="2:23" x14ac:dyDescent="0.15">
      <c r="B33" t="s">
        <v>95</v>
      </c>
      <c r="C33" s="3">
        <f>F15-2.6</f>
        <v>30.590121680900275</v>
      </c>
      <c r="D33" t="s">
        <v>31</v>
      </c>
    </row>
    <row r="34" spans="2:23" x14ac:dyDescent="0.15">
      <c r="F34" t="s">
        <v>97</v>
      </c>
      <c r="G34" t="s">
        <v>98</v>
      </c>
    </row>
    <row r="35" spans="2:23" x14ac:dyDescent="0.15">
      <c r="B35" s="2" t="s">
        <v>21</v>
      </c>
      <c r="C35" s="84">
        <f>MIN(F15,IF(C29&lt;3,F16,IF(C29&gt;10,C33,C32)))</f>
        <v>32.345325455046833</v>
      </c>
      <c r="D35" s="2" t="s">
        <v>31</v>
      </c>
      <c r="F35" s="5">
        <f>C35+10*LOG10(4/10)</f>
        <v>28.365925368326458</v>
      </c>
      <c r="G35" s="5">
        <f>C35+10*LOG10(4/2.5)</f>
        <v>34.386525281606083</v>
      </c>
    </row>
    <row r="36" spans="2:23" x14ac:dyDescent="0.15">
      <c r="V36" s="3"/>
    </row>
    <row r="37" spans="2:23" x14ac:dyDescent="0.15">
      <c r="B37" s="2" t="s">
        <v>35</v>
      </c>
      <c r="C37" t="s">
        <v>36</v>
      </c>
    </row>
    <row r="38" spans="2:23" x14ac:dyDescent="0.15">
      <c r="B38" s="10"/>
      <c r="C38" s="43">
        <v>63</v>
      </c>
      <c r="D38" s="44">
        <v>125</v>
      </c>
      <c r="E38" s="44">
        <v>250</v>
      </c>
      <c r="F38" s="44">
        <v>500</v>
      </c>
      <c r="G38" s="44">
        <v>1000</v>
      </c>
      <c r="H38" s="44">
        <v>2000</v>
      </c>
      <c r="I38" s="44">
        <v>4000</v>
      </c>
      <c r="J38" s="45">
        <v>8000</v>
      </c>
      <c r="L38" s="43">
        <v>63</v>
      </c>
      <c r="M38" s="44">
        <v>125</v>
      </c>
      <c r="N38" s="44">
        <v>250</v>
      </c>
      <c r="O38" s="44">
        <v>500</v>
      </c>
      <c r="P38" s="44">
        <v>1000</v>
      </c>
      <c r="Q38" s="44">
        <v>2000</v>
      </c>
      <c r="R38" s="44">
        <v>4000</v>
      </c>
      <c r="S38" s="45">
        <v>8000</v>
      </c>
      <c r="T38" t="s">
        <v>70</v>
      </c>
      <c r="U38" t="s">
        <v>71</v>
      </c>
    </row>
    <row r="39" spans="2:23" x14ac:dyDescent="0.15">
      <c r="B39" s="74" t="s">
        <v>96</v>
      </c>
      <c r="C39" s="482">
        <f>K31</f>
        <v>12</v>
      </c>
      <c r="D39" s="482">
        <f t="shared" ref="D39:J39" si="4">L31</f>
        <v>11</v>
      </c>
      <c r="E39" s="482">
        <f t="shared" si="4"/>
        <v>5</v>
      </c>
      <c r="F39" s="482">
        <f t="shared" si="4"/>
        <v>-4</v>
      </c>
      <c r="G39" s="482">
        <f t="shared" si="4"/>
        <v>-13</v>
      </c>
      <c r="H39" s="482">
        <f t="shared" si="4"/>
        <v>-19</v>
      </c>
      <c r="I39" s="482">
        <f t="shared" si="4"/>
        <v>-23</v>
      </c>
      <c r="J39" s="482">
        <f t="shared" si="4"/>
        <v>-30</v>
      </c>
      <c r="K39" s="87" t="s">
        <v>42</v>
      </c>
      <c r="L39" s="86">
        <f>$C$35+C39</f>
        <v>44.345325455046833</v>
      </c>
      <c r="M39" s="86">
        <f t="shared" ref="M39:S39" si="5">$C$35+D39</f>
        <v>43.345325455046833</v>
      </c>
      <c r="N39" s="86">
        <f t="shared" si="5"/>
        <v>37.345325455046833</v>
      </c>
      <c r="O39" s="86">
        <f t="shared" si="5"/>
        <v>28.345325455046833</v>
      </c>
      <c r="P39" s="86">
        <f t="shared" si="5"/>
        <v>19.345325455046833</v>
      </c>
      <c r="Q39" s="86">
        <f t="shared" si="5"/>
        <v>13.345325455046833</v>
      </c>
      <c r="R39" s="86">
        <f t="shared" si="5"/>
        <v>9.345325455046833</v>
      </c>
      <c r="S39" s="86">
        <f t="shared" si="5"/>
        <v>2.345325455046833</v>
      </c>
      <c r="T39" s="5">
        <f t="array" ref="T39">10*LOG10(SUM(10^(L39:S39/10)))</f>
        <v>47.405948146406473</v>
      </c>
      <c r="U39" s="5">
        <f t="array" ref="U39">10*LOG10(SUM(10^((L39:S39+L41:S41)/10)))</f>
        <v>32.54856861786044</v>
      </c>
      <c r="W39" t="str">
        <f>IF(ABS(C35-U39)&lt;0.5,"OK","Tarkista laskenta!")</f>
        <v>OK</v>
      </c>
    </row>
    <row r="40" spans="2:23" x14ac:dyDescent="0.15">
      <c r="C40" s="394"/>
    </row>
    <row r="41" spans="2:23" x14ac:dyDescent="0.15">
      <c r="L41" s="73">
        <v>-26.2</v>
      </c>
      <c r="M41" s="73">
        <v>-16.100000000000001</v>
      </c>
      <c r="N41" s="73">
        <v>-8.6</v>
      </c>
      <c r="O41" s="73">
        <v>-3.2</v>
      </c>
      <c r="P41" s="73">
        <v>0</v>
      </c>
      <c r="Q41" s="73">
        <v>1.2</v>
      </c>
      <c r="R41" s="73">
        <v>1</v>
      </c>
      <c r="S41" s="73">
        <v>-1.1000000000000001</v>
      </c>
    </row>
    <row r="47" spans="2:23" x14ac:dyDescent="0.15">
      <c r="P47" s="4"/>
      <c r="Q47" s="4"/>
    </row>
    <row r="48" spans="2:23" x14ac:dyDescent="0.15">
      <c r="P48" s="80"/>
      <c r="Q48" s="32"/>
    </row>
    <row r="49" spans="16:17" x14ac:dyDescent="0.15">
      <c r="P49" s="80"/>
      <c r="Q49" s="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DBC09-6713-46C2-8B26-03FAAB3A7BE4}">
  <sheetPr codeName="Taul7"/>
  <dimension ref="C2:AP99"/>
  <sheetViews>
    <sheetView zoomScale="70" zoomScaleNormal="70" workbookViewId="0">
      <selection activeCell="AL36" sqref="AL36"/>
    </sheetView>
  </sheetViews>
  <sheetFormatPr baseColWidth="10" defaultColWidth="8.83203125" defaultRowHeight="13" x14ac:dyDescent="0.15"/>
  <cols>
    <col min="16" max="16" width="10.83203125" customWidth="1"/>
    <col min="22" max="22" width="13" customWidth="1"/>
    <col min="25" max="25" width="10" customWidth="1"/>
  </cols>
  <sheetData>
    <row r="2" spans="3:34" x14ac:dyDescent="0.15">
      <c r="C2" s="2" t="s">
        <v>0</v>
      </c>
      <c r="J2" t="s">
        <v>15</v>
      </c>
    </row>
    <row r="3" spans="3:34" x14ac:dyDescent="0.15">
      <c r="J3" s="7">
        <f>Tulostus!$E$33</f>
        <v>40</v>
      </c>
      <c r="K3" t="s">
        <v>13</v>
      </c>
      <c r="L3" s="7">
        <f>Tulostus!$E$39</f>
        <v>50</v>
      </c>
      <c r="M3" t="s">
        <v>14</v>
      </c>
      <c r="P3" t="s">
        <v>34</v>
      </c>
      <c r="AA3" s="2" t="s">
        <v>53</v>
      </c>
    </row>
    <row r="4" spans="3:34" x14ac:dyDescent="0.15">
      <c r="C4" t="s">
        <v>1</v>
      </c>
      <c r="E4" s="1"/>
      <c r="H4" s="1"/>
      <c r="P4" s="4" t="s">
        <v>4</v>
      </c>
      <c r="Q4" s="4" t="s">
        <v>5</v>
      </c>
      <c r="T4" s="4"/>
      <c r="U4" s="4"/>
      <c r="W4" t="s">
        <v>27</v>
      </c>
      <c r="AA4" s="61" t="s">
        <v>102</v>
      </c>
      <c r="AB4" s="62"/>
      <c r="AC4" s="61" t="s">
        <v>30</v>
      </c>
      <c r="AD4" s="63"/>
      <c r="AE4" s="61" t="s">
        <v>103</v>
      </c>
      <c r="AF4" s="63"/>
      <c r="AG4" s="62" t="s">
        <v>104</v>
      </c>
      <c r="AH4" s="63"/>
    </row>
    <row r="5" spans="3:34" x14ac:dyDescent="0.15">
      <c r="C5" t="s">
        <v>2</v>
      </c>
      <c r="D5" s="1"/>
      <c r="E5" s="1"/>
      <c r="H5" s="1"/>
      <c r="P5" s="52">
        <f t="array" ref="P5:Q5">LINEST(AF34:AF37,LN(AC34:AC37))</f>
        <v>15.661315194054707</v>
      </c>
      <c r="Q5" s="52">
        <v>-7.8060657892472562</v>
      </c>
      <c r="R5" t="s">
        <v>28</v>
      </c>
      <c r="T5" s="4"/>
      <c r="U5" s="39" t="s">
        <v>43</v>
      </c>
      <c r="V5" t="s">
        <v>28</v>
      </c>
      <c r="W5" s="9">
        <f>$P$5*LN($J$3)+$Q$5</f>
        <v>49.966638054503562</v>
      </c>
      <c r="X5" t="s">
        <v>31</v>
      </c>
      <c r="AA5" s="64" t="s">
        <v>14</v>
      </c>
      <c r="AB5" s="65" t="s">
        <v>13</v>
      </c>
      <c r="AC5" s="64" t="s">
        <v>14</v>
      </c>
      <c r="AD5" s="66" t="s">
        <v>13</v>
      </c>
      <c r="AE5" s="64" t="s">
        <v>14</v>
      </c>
      <c r="AF5" s="66" t="s">
        <v>13</v>
      </c>
      <c r="AG5" s="65" t="s">
        <v>14</v>
      </c>
      <c r="AH5" s="66" t="s">
        <v>13</v>
      </c>
    </row>
    <row r="6" spans="3:34" x14ac:dyDescent="0.15">
      <c r="C6" s="2" t="s">
        <v>3</v>
      </c>
      <c r="D6" s="1"/>
      <c r="E6" s="1"/>
      <c r="H6" s="1"/>
      <c r="P6" s="52">
        <f t="array" ref="P6:Q6">LINEST(AG34:AG37,LN(AC34:AC37))</f>
        <v>16.7877275236165</v>
      </c>
      <c r="Q6" s="52">
        <v>-1.3738275810201372</v>
      </c>
      <c r="R6" t="s">
        <v>7</v>
      </c>
      <c r="T6" s="4"/>
      <c r="U6" s="39" t="s">
        <v>43</v>
      </c>
      <c r="V6" t="s">
        <v>7</v>
      </c>
      <c r="W6" s="9">
        <f>$P$6*LN($J$3)+$Q$6</f>
        <v>60.554075562111798</v>
      </c>
      <c r="X6" t="s">
        <v>31</v>
      </c>
      <c r="AA6" s="55">
        <v>25</v>
      </c>
      <c r="AB6" s="56">
        <f t="shared" ref="AB6:AB12" si="0">(-$D$9-SQRT($D$9^2-(4*$C$9*($E$9-AA6))))/(2*$C$9)</f>
        <v>109.72216307386144</v>
      </c>
      <c r="AC6" s="55">
        <v>20</v>
      </c>
      <c r="AD6" s="57">
        <f t="shared" ref="AD6:AD12" si="1">(-$D$14-SQRT($D$14^2-(4*$C$14*($E$14-AC6))))/(2*$C$14)</f>
        <v>96.507952803164471</v>
      </c>
      <c r="AE6" s="55">
        <v>12</v>
      </c>
      <c r="AF6" s="57">
        <f t="shared" ref="AF6:AF11" si="2">(-$D$19-SQRT($D$19^2-(4*$C$19*($E$19-AE6))))/(2*$C$19)</f>
        <v>59.097603965649029</v>
      </c>
      <c r="AG6" s="56">
        <v>10</v>
      </c>
      <c r="AH6" s="57">
        <f>(-$D$24-SQRT($D$24^2-(4*$C$24*($E$24-AG6))))/(2*$C$24)</f>
        <v>24.856065562361952</v>
      </c>
    </row>
    <row r="7" spans="3:34" x14ac:dyDescent="0.15">
      <c r="C7" t="s">
        <v>11</v>
      </c>
      <c r="D7" s="1"/>
      <c r="E7" s="1"/>
      <c r="H7" s="1"/>
      <c r="T7" s="4"/>
      <c r="U7" s="5"/>
      <c r="AA7" s="55">
        <v>120</v>
      </c>
      <c r="AB7" s="56">
        <f t="shared" si="0"/>
        <v>96.04968080608154</v>
      </c>
      <c r="AC7" s="55">
        <v>100</v>
      </c>
      <c r="AD7" s="57">
        <f t="shared" si="1"/>
        <v>83.332352890524646</v>
      </c>
      <c r="AE7" s="55">
        <v>40</v>
      </c>
      <c r="AF7" s="57">
        <f t="shared" si="2"/>
        <v>51.041257936006687</v>
      </c>
      <c r="AG7" s="56">
        <v>20</v>
      </c>
      <c r="AH7" s="57">
        <f>(-$D$24-SQRT($D$24^2-(4*$C$24*($E$24-AG7))))/(2*$C$24)</f>
        <v>20.145468303465908</v>
      </c>
    </row>
    <row r="8" spans="3:34" x14ac:dyDescent="0.15">
      <c r="C8" t="s">
        <v>4</v>
      </c>
      <c r="D8" t="s">
        <v>5</v>
      </c>
      <c r="E8" t="s">
        <v>6</v>
      </c>
      <c r="P8" t="s">
        <v>41</v>
      </c>
      <c r="T8" s="4"/>
      <c r="U8" s="5"/>
      <c r="AA8" s="55">
        <v>190</v>
      </c>
      <c r="AB8" s="56">
        <f t="shared" si="0"/>
        <v>84.980913804604299</v>
      </c>
      <c r="AC8" s="55">
        <v>150</v>
      </c>
      <c r="AD8" s="57">
        <f t="shared" si="1"/>
        <v>74.171084186129335</v>
      </c>
      <c r="AE8" s="55">
        <v>60</v>
      </c>
      <c r="AF8" s="57">
        <f t="shared" si="2"/>
        <v>44.852206368094706</v>
      </c>
      <c r="AG8" s="56">
        <v>30</v>
      </c>
      <c r="AH8" s="57">
        <f>(-$D$24-SQRT($D$24^2-(4*$C$24*($E$24-AG8))))/(2*$C$24)</f>
        <v>15.25167922255933</v>
      </c>
    </row>
    <row r="9" spans="3:34" x14ac:dyDescent="0.15">
      <c r="C9" s="8">
        <v>-2.5227580083531695E-2</v>
      </c>
      <c r="D9" s="8">
        <v>-1.7571371350773939</v>
      </c>
      <c r="E9" s="8">
        <v>521.51053996349083</v>
      </c>
      <c r="H9" s="2"/>
      <c r="P9" t="s">
        <v>23</v>
      </c>
      <c r="Q9" s="52">
        <f t="array" ref="Q9:R9">LINEST(AC35:AC37,U35:U37)</f>
        <v>11.029152255843746</v>
      </c>
      <c r="R9" s="52">
        <v>-10.79695543375734</v>
      </c>
      <c r="U9" s="39" t="s">
        <v>42</v>
      </c>
      <c r="V9" t="s">
        <v>44</v>
      </c>
      <c r="W9" s="9">
        <f>IF($J$3&gt;$AC$35,($J$3-$R$10)/$Q$10,($J$3-$R$9)/$Q$9)</f>
        <v>4.6056989925805771</v>
      </c>
      <c r="X9" t="s">
        <v>25</v>
      </c>
      <c r="Y9" t="str">
        <f>IF(W9&gt;10,"Ei käyttöalueella","OK")</f>
        <v>OK</v>
      </c>
      <c r="AA9" s="55">
        <v>250</v>
      </c>
      <c r="AB9" s="56">
        <f t="shared" si="0"/>
        <v>74.605902678236006</v>
      </c>
      <c r="AC9" s="55">
        <v>200</v>
      </c>
      <c r="AD9" s="57">
        <f t="shared" si="1"/>
        <v>64.022740261473061</v>
      </c>
      <c r="AE9" s="55">
        <v>80</v>
      </c>
      <c r="AF9" s="57">
        <f t="shared" si="2"/>
        <v>38.211558072303703</v>
      </c>
      <c r="AG9" s="56">
        <v>35</v>
      </c>
      <c r="AH9" s="57">
        <f>(-$D$24-SQRT($D$24^2-(4*$C$24*($E$24-AG9))))/(2*$C$24)</f>
        <v>12.729029407613163</v>
      </c>
    </row>
    <row r="10" spans="3:34" x14ac:dyDescent="0.15">
      <c r="C10" s="2"/>
      <c r="D10" s="2"/>
      <c r="E10" s="2"/>
      <c r="H10" s="2"/>
      <c r="P10" t="s">
        <v>24</v>
      </c>
      <c r="Q10" s="52">
        <f t="array" ref="Q10:R10">LINEST(AC34:AC35,U34:U35)</f>
        <v>3.9498625330501671</v>
      </c>
      <c r="R10" s="52">
        <v>42.2897051359054</v>
      </c>
      <c r="W10" t="b">
        <f>IF(AND(W9&lt;=10.01,Tulostus!E33&gt;=W11),TRUE,FALSE)</f>
        <v>1</v>
      </c>
      <c r="AA10" s="55">
        <v>320</v>
      </c>
      <c r="AB10" s="56">
        <f t="shared" si="0"/>
        <v>61.093720132549571</v>
      </c>
      <c r="AC10" s="55">
        <v>250</v>
      </c>
      <c r="AD10" s="57">
        <f t="shared" si="1"/>
        <v>52.476744908244925</v>
      </c>
      <c r="AE10" s="55">
        <v>100</v>
      </c>
      <c r="AF10" s="57">
        <f t="shared" si="2"/>
        <v>31.003142403936327</v>
      </c>
      <c r="AG10" s="56">
        <v>40</v>
      </c>
      <c r="AH10" s="57">
        <f>(-$D$24-SQRT($D$24^2-(4*$C$24*($E$24-AG10))))/(2*$C$24)</f>
        <v>10.151502560183829</v>
      </c>
    </row>
    <row r="11" spans="3:34" x14ac:dyDescent="0.15">
      <c r="C11" s="2" t="s">
        <v>9</v>
      </c>
      <c r="D11" s="1"/>
      <c r="E11" s="1"/>
      <c r="H11" s="1"/>
      <c r="V11" t="s">
        <v>346</v>
      </c>
      <c r="W11">
        <v>18</v>
      </c>
      <c r="X11" t="s">
        <v>13</v>
      </c>
      <c r="Y11" t="s">
        <v>347</v>
      </c>
      <c r="AA11" s="55">
        <v>390</v>
      </c>
      <c r="AB11" s="56">
        <f t="shared" si="0"/>
        <v>45.335354941275455</v>
      </c>
      <c r="AC11" s="55">
        <v>300</v>
      </c>
      <c r="AD11" s="57">
        <f t="shared" si="1"/>
        <v>38.721346925604863</v>
      </c>
      <c r="AE11" s="55">
        <v>125</v>
      </c>
      <c r="AF11" s="57">
        <f t="shared" si="2"/>
        <v>20.915466815294725</v>
      </c>
      <c r="AG11" s="56"/>
      <c r="AH11" s="57"/>
    </row>
    <row r="12" spans="3:34" x14ac:dyDescent="0.15">
      <c r="C12" t="s">
        <v>11</v>
      </c>
      <c r="D12" s="1"/>
      <c r="E12" s="1"/>
      <c r="H12" s="1"/>
      <c r="P12" t="s">
        <v>51</v>
      </c>
      <c r="AA12" s="58">
        <v>410</v>
      </c>
      <c r="AB12" s="59">
        <f t="shared" si="0"/>
        <v>40.227692796254239</v>
      </c>
      <c r="AC12" s="58">
        <v>315</v>
      </c>
      <c r="AD12" s="60">
        <f t="shared" si="1"/>
        <v>33.921064483256508</v>
      </c>
      <c r="AE12" s="58"/>
      <c r="AF12" s="60"/>
      <c r="AG12" s="59"/>
      <c r="AH12" s="60"/>
    </row>
    <row r="13" spans="3:34" x14ac:dyDescent="0.15">
      <c r="C13" t="s">
        <v>4</v>
      </c>
      <c r="D13" t="s">
        <v>5</v>
      </c>
      <c r="E13" t="s">
        <v>6</v>
      </c>
      <c r="P13" s="51">
        <f t="array" ref="P13:R13">LINEST(AE34:AE37,AC34:AC37^{1,2})</f>
        <v>2.4376125166207786E-2</v>
      </c>
      <c r="Q13" s="51">
        <v>-0.9327192498556216</v>
      </c>
      <c r="R13" s="51">
        <v>15.722373911197067</v>
      </c>
      <c r="U13" s="39" t="s">
        <v>43</v>
      </c>
      <c r="V13" t="s">
        <v>44</v>
      </c>
      <c r="W13" s="9">
        <f>$P$13*J3^2+$Q$13*J3+$R$13</f>
        <v>17.415404182904666</v>
      </c>
      <c r="X13" t="s">
        <v>49</v>
      </c>
    </row>
    <row r="14" spans="3:34" x14ac:dyDescent="0.15">
      <c r="C14" s="8">
        <v>-2.7491339048511813E-2</v>
      </c>
      <c r="D14" s="8">
        <v>-1.127778967739665</v>
      </c>
      <c r="E14" s="8">
        <v>384.8880593934511</v>
      </c>
      <c r="H14" s="2"/>
      <c r="V14" t="s">
        <v>52</v>
      </c>
      <c r="W14" s="3">
        <f>IF(W13&gt;118,118,W13)</f>
        <v>17.415404182904666</v>
      </c>
      <c r="X14" t="s">
        <v>49</v>
      </c>
    </row>
    <row r="15" spans="3:34" x14ac:dyDescent="0.15">
      <c r="C15" s="2"/>
      <c r="D15" s="2"/>
      <c r="E15" s="2"/>
      <c r="H15" s="2"/>
    </row>
    <row r="16" spans="3:34" x14ac:dyDescent="0.15">
      <c r="C16" s="2" t="s">
        <v>10</v>
      </c>
      <c r="D16" s="1"/>
      <c r="E16" s="1"/>
      <c r="H16" s="1"/>
      <c r="V16" t="s">
        <v>58</v>
      </c>
      <c r="W16">
        <f>'Laskenta poistopuoli 60'!W14</f>
        <v>14.606785358742272</v>
      </c>
    </row>
    <row r="17" spans="3:35" x14ac:dyDescent="0.15">
      <c r="C17" t="s">
        <v>11</v>
      </c>
      <c r="D17" s="1"/>
      <c r="E17" s="1"/>
      <c r="H17" s="1"/>
      <c r="V17" t="s">
        <v>73</v>
      </c>
      <c r="W17">
        <v>3</v>
      </c>
    </row>
    <row r="18" spans="3:35" x14ac:dyDescent="0.15">
      <c r="C18" t="s">
        <v>4</v>
      </c>
      <c r="D18" t="s">
        <v>5</v>
      </c>
      <c r="E18" t="s">
        <v>6</v>
      </c>
      <c r="H18" s="1"/>
    </row>
    <row r="19" spans="3:35" x14ac:dyDescent="0.15">
      <c r="C19" s="8">
        <v>-1.7128909098259142E-2</v>
      </c>
      <c r="D19" s="8">
        <v>-1.5889624699730147</v>
      </c>
      <c r="E19" s="8">
        <v>165.72704875263895</v>
      </c>
      <c r="V19" s="74" t="s">
        <v>74</v>
      </c>
      <c r="W19" s="77">
        <f>W13+W16+W17</f>
        <v>35.022189541646938</v>
      </c>
      <c r="X19" s="75" t="s">
        <v>49</v>
      </c>
      <c r="AB19" s="6"/>
      <c r="AC19" s="6"/>
    </row>
    <row r="20" spans="3:35" x14ac:dyDescent="0.15">
      <c r="C20" s="2"/>
      <c r="D20" s="2"/>
      <c r="E20" s="2"/>
      <c r="H20" s="1"/>
      <c r="AB20" s="6"/>
      <c r="AC20" s="6"/>
    </row>
    <row r="21" spans="3:35" x14ac:dyDescent="0.15">
      <c r="C21" s="2" t="s">
        <v>12</v>
      </c>
      <c r="D21" s="1"/>
      <c r="E21" s="1"/>
      <c r="H21" s="1"/>
      <c r="V21" t="s">
        <v>78</v>
      </c>
      <c r="W21">
        <f>MAX(J3,'Laskenta poistopuoli 60'!J3)</f>
        <v>40</v>
      </c>
      <c r="X21" t="s">
        <v>13</v>
      </c>
      <c r="AB21" s="6"/>
      <c r="AC21" s="6"/>
    </row>
    <row r="22" spans="3:35" ht="15" x14ac:dyDescent="0.15">
      <c r="C22" t="s">
        <v>11</v>
      </c>
      <c r="D22" s="1"/>
      <c r="E22" s="1"/>
      <c r="H22" s="1"/>
      <c r="V22" t="s">
        <v>75</v>
      </c>
      <c r="W22">
        <f>W19/W21</f>
        <v>0.87555473854117349</v>
      </c>
      <c r="X22" t="s">
        <v>77</v>
      </c>
      <c r="AB22" s="6"/>
      <c r="AC22" s="6"/>
    </row>
    <row r="23" spans="3:35" x14ac:dyDescent="0.15">
      <c r="C23" t="s">
        <v>4</v>
      </c>
      <c r="D23" t="s">
        <v>5</v>
      </c>
      <c r="E23" t="s">
        <v>6</v>
      </c>
      <c r="H23" s="1"/>
    </row>
    <row r="24" spans="3:35" x14ac:dyDescent="0.15">
      <c r="C24" s="8">
        <v>-8.2739946950813742E-3</v>
      </c>
      <c r="D24" s="8">
        <v>-1.7505306038255037</v>
      </c>
      <c r="E24" s="8">
        <v>58.623175916721166</v>
      </c>
      <c r="H24" s="1"/>
    </row>
    <row r="25" spans="3:35" x14ac:dyDescent="0.15">
      <c r="E25" s="2"/>
      <c r="F25" s="2"/>
      <c r="G25" s="2"/>
      <c r="H25" s="1"/>
    </row>
    <row r="27" spans="3:35" x14ac:dyDescent="0.15">
      <c r="U27" t="s">
        <v>37</v>
      </c>
    </row>
    <row r="28" spans="3:35" x14ac:dyDescent="0.15">
      <c r="U28" s="4" t="s">
        <v>17</v>
      </c>
    </row>
    <row r="29" spans="3:35" x14ac:dyDescent="0.15">
      <c r="U29" s="4">
        <f>(L3/J3)^2/L3</f>
        <v>3.125E-2</v>
      </c>
    </row>
    <row r="31" spans="3:35" x14ac:dyDescent="0.15">
      <c r="U31" s="2" t="s">
        <v>16</v>
      </c>
      <c r="AI31" s="2" t="s">
        <v>1110</v>
      </c>
    </row>
    <row r="32" spans="3:35" x14ac:dyDescent="0.15">
      <c r="U32" s="34" t="s">
        <v>18</v>
      </c>
      <c r="V32" s="10" t="s">
        <v>40</v>
      </c>
      <c r="W32" s="22"/>
      <c r="X32" s="21"/>
      <c r="Y32" s="34"/>
      <c r="Z32" s="10" t="s">
        <v>39</v>
      </c>
      <c r="AA32" s="21"/>
      <c r="AB32" s="34"/>
      <c r="AC32" s="16" t="s">
        <v>21</v>
      </c>
      <c r="AD32" s="21"/>
      <c r="AE32" s="34" t="s">
        <v>54</v>
      </c>
      <c r="AF32" s="10" t="s">
        <v>27</v>
      </c>
      <c r="AG32" s="21"/>
    </row>
    <row r="33" spans="21:42" x14ac:dyDescent="0.15">
      <c r="U33" s="46" t="s">
        <v>25</v>
      </c>
      <c r="V33" s="47" t="s">
        <v>4</v>
      </c>
      <c r="W33" s="50" t="s">
        <v>5</v>
      </c>
      <c r="X33" s="48" t="s">
        <v>6</v>
      </c>
      <c r="Y33" s="38" t="s">
        <v>38</v>
      </c>
      <c r="Z33" s="47" t="s">
        <v>19</v>
      </c>
      <c r="AA33" s="48" t="s">
        <v>20</v>
      </c>
      <c r="AB33" s="38" t="s">
        <v>22</v>
      </c>
      <c r="AC33" s="47" t="s">
        <v>13</v>
      </c>
      <c r="AD33" s="48" t="s">
        <v>14</v>
      </c>
      <c r="AE33" s="38" t="s">
        <v>47</v>
      </c>
      <c r="AF33" s="14" t="s">
        <v>28</v>
      </c>
      <c r="AG33" s="26" t="s">
        <v>7</v>
      </c>
      <c r="AI33" s="2" t="s">
        <v>1107</v>
      </c>
      <c r="AL33" t="s">
        <v>1115</v>
      </c>
    </row>
    <row r="34" spans="21:42" x14ac:dyDescent="0.15">
      <c r="U34" s="35">
        <v>10</v>
      </c>
      <c r="V34" s="28">
        <f>C9</f>
        <v>-2.5227580083531695E-2</v>
      </c>
      <c r="W34" s="32">
        <f>D9</f>
        <v>-1.7571371350773939</v>
      </c>
      <c r="X34" s="29">
        <f>E9</f>
        <v>521.51053996349083</v>
      </c>
      <c r="Y34" s="36">
        <f>C9-U29</f>
        <v>-5.6477580083531695E-2</v>
      </c>
      <c r="Z34" s="28">
        <f>(-W34+SQRT(W34^2-(4*Y34*X34)))/(2*Y34)</f>
        <v>-112.90044845160661</v>
      </c>
      <c r="AA34" s="29">
        <f>(-W34-SQRT(W34^2-(4*Y34*X34)))/(2*Y34)</f>
        <v>81.788330466407075</v>
      </c>
      <c r="AB34" s="36">
        <f>AB6</f>
        <v>109.72216307386144</v>
      </c>
      <c r="AC34" s="53">
        <f>IF(Z34&lt;0,AA34,IF(Z34&gt;AB34,AA34,Z34))</f>
        <v>81.788330466407075</v>
      </c>
      <c r="AD34" s="53">
        <f>V34*AC34^2+W34*AC34+X34</f>
        <v>209.04159376506902</v>
      </c>
      <c r="AE34" s="53">
        <f>X51*AC34^2+Y51*AC34+Z51</f>
        <v>103.07947044177652</v>
      </c>
      <c r="AF34" s="53">
        <f>$H$60*AC34+$I$60</f>
        <v>61.229886742991816</v>
      </c>
      <c r="AG34" s="53">
        <f>$R$60*AC34^2+$S$60*AC34+$T$60</f>
        <v>72.82633733681827</v>
      </c>
      <c r="AI34" s="618">
        <f>AC34/$J$3-1</f>
        <v>1.0447082616601771</v>
      </c>
      <c r="AL34" s="278" t="b">
        <f>IF(AI36&gt;AC34,FALSE,TRUE)</f>
        <v>1</v>
      </c>
      <c r="AM34" t="s">
        <v>1117</v>
      </c>
    </row>
    <row r="35" spans="21:42" x14ac:dyDescent="0.15">
      <c r="U35" s="35">
        <v>7.5</v>
      </c>
      <c r="V35" s="28">
        <f>C14</f>
        <v>-2.7491339048511813E-2</v>
      </c>
      <c r="W35" s="32">
        <f>D14</f>
        <v>-1.127778967739665</v>
      </c>
      <c r="X35" s="29">
        <f>E14</f>
        <v>384.8880593934511</v>
      </c>
      <c r="Y35" s="36">
        <f>C14-U29</f>
        <v>-5.8741339048511809E-2</v>
      </c>
      <c r="Z35" s="28">
        <f t="shared" ref="Z35:Z37" si="3">(-W35+SQRT(W35^2-(4*Y35*X35)))/(2*Y35)</f>
        <v>-91.112742217815025</v>
      </c>
      <c r="AA35" s="29">
        <f t="shared" ref="AA35:AA37" si="4">(-W35-SQRT(W35^2-(4*Y35*X35)))/(2*Y35)</f>
        <v>71.913674133781655</v>
      </c>
      <c r="AB35" s="36">
        <f>AD6</f>
        <v>96.507952803164471</v>
      </c>
      <c r="AC35" s="53">
        <f t="shared" ref="AC35:AC37" si="5">IF(Z35&lt;0,AA35,IF(Z35&gt;AB35,AA35,Z35))</f>
        <v>71.913674133781655</v>
      </c>
      <c r="AD35" s="53">
        <f>V35*AC35^2+W35*AC35+X35</f>
        <v>161.61176648186688</v>
      </c>
      <c r="AE35" s="53">
        <f t="shared" ref="AE35:AE37" si="6">X52*AC35^2+Y52*AC35+Z52</f>
        <v>73.761073857442312</v>
      </c>
      <c r="AF35" s="53">
        <f>$H$65*AC35+$I$65</f>
        <v>59.35569303195048</v>
      </c>
      <c r="AG35" s="53">
        <f>$R$65*AC35^2+$S$65*AC35+$T$65</f>
        <v>70.468656338656231</v>
      </c>
      <c r="AI35" t="s">
        <v>1114</v>
      </c>
      <c r="AL35" t="s">
        <v>1116</v>
      </c>
    </row>
    <row r="36" spans="21:42" x14ac:dyDescent="0.15">
      <c r="U36" s="35">
        <v>5</v>
      </c>
      <c r="V36" s="28">
        <f>C19</f>
        <v>-1.7128909098259142E-2</v>
      </c>
      <c r="W36" s="32">
        <f>D19</f>
        <v>-1.5889624699730147</v>
      </c>
      <c r="X36" s="29">
        <f>E19</f>
        <v>165.72704875263895</v>
      </c>
      <c r="Y36" s="36">
        <f>C19-U29</f>
        <v>-4.8378909098259142E-2</v>
      </c>
      <c r="Z36" s="28">
        <f t="shared" si="3"/>
        <v>-77.210948966072849</v>
      </c>
      <c r="AA36" s="29">
        <f t="shared" si="4"/>
        <v>44.366833635861909</v>
      </c>
      <c r="AB36" s="36">
        <f>AF6</f>
        <v>59.097603965649029</v>
      </c>
      <c r="AC36" s="53">
        <f t="shared" si="5"/>
        <v>44.366833635861909</v>
      </c>
      <c r="AD36" s="53">
        <f>V36*AC36^2+W36*AC36+X36</f>
        <v>61.512997714757745</v>
      </c>
      <c r="AE36" s="53">
        <f t="shared" si="6"/>
        <v>22.885693851865732</v>
      </c>
      <c r="AF36" s="53">
        <f>$H$70*AC36^2+$I$70*AC36+$J$70</f>
        <v>51.129195514894171</v>
      </c>
      <c r="AG36" s="53">
        <f>$R$70*AC36^2+$S$70*AC36+$T$70</f>
        <v>61.679459197793783</v>
      </c>
      <c r="AI36" s="611">
        <f>Tulokset!$CR$16</f>
        <v>48</v>
      </c>
      <c r="AJ36" t="s">
        <v>13</v>
      </c>
      <c r="AL36" s="619">
        <f>IF($AI$36&gt;$AC$35,($AI$36-$R$10)/$Q$10,($AI$36-$R$9)/$Q$9)</f>
        <v>5.3310493925409403</v>
      </c>
      <c r="AM36" t="s">
        <v>25</v>
      </c>
    </row>
    <row r="37" spans="21:42" x14ac:dyDescent="0.15">
      <c r="U37" s="38">
        <v>3</v>
      </c>
      <c r="V37" s="30">
        <f>C24</f>
        <v>-8.2739946950813742E-3</v>
      </c>
      <c r="W37" s="33">
        <f>D24</f>
        <v>-1.7505306038255037</v>
      </c>
      <c r="X37" s="31">
        <f>E24</f>
        <v>58.623175916721166</v>
      </c>
      <c r="Y37" s="37">
        <f>C24-U29</f>
        <v>-3.9523994695081374E-2</v>
      </c>
      <c r="Z37" s="30">
        <f t="shared" si="3"/>
        <v>-66.570811741795353</v>
      </c>
      <c r="AA37" s="31">
        <f t="shared" si="4"/>
        <v>22.280485894662519</v>
      </c>
      <c r="AB37" s="37">
        <f>AH6</f>
        <v>24.856065562361952</v>
      </c>
      <c r="AC37" s="53">
        <f t="shared" si="5"/>
        <v>22.280485894662519</v>
      </c>
      <c r="AD37" s="53">
        <f>V37*AC37^2+W37*AC37+X37</f>
        <v>15.513126615695484</v>
      </c>
      <c r="AE37" s="53">
        <f t="shared" si="6"/>
        <v>6.8453179971700946</v>
      </c>
      <c r="AF37" s="53">
        <f>$H$75*AC37^2+$I$75*AC37+$J$75</f>
        <v>40.99854408390943</v>
      </c>
      <c r="AG37" s="53">
        <f>$R$75*AC37^2+$S$75*AC37+$T$75</f>
        <v>51.012597482696698</v>
      </c>
      <c r="AI37" s="611">
        <f>Tulokset!$CR$17</f>
        <v>72</v>
      </c>
      <c r="AJ37" t="s">
        <v>14</v>
      </c>
    </row>
    <row r="40" spans="21:42" x14ac:dyDescent="0.15">
      <c r="U40" s="2" t="s">
        <v>35</v>
      </c>
      <c r="W40" t="s">
        <v>36</v>
      </c>
    </row>
    <row r="42" spans="21:42" x14ac:dyDescent="0.15">
      <c r="U42" s="10"/>
      <c r="V42" s="22"/>
      <c r="W42" s="43">
        <v>63</v>
      </c>
      <c r="X42" s="44">
        <v>125</v>
      </c>
      <c r="Y42" s="44">
        <v>250</v>
      </c>
      <c r="Z42" s="44">
        <v>500</v>
      </c>
      <c r="AA42" s="44">
        <v>1000</v>
      </c>
      <c r="AB42" s="44">
        <v>2000</v>
      </c>
      <c r="AC42" s="44">
        <v>4000</v>
      </c>
      <c r="AD42" s="45">
        <v>8000</v>
      </c>
      <c r="AF42" s="43">
        <v>63</v>
      </c>
      <c r="AG42" s="44">
        <v>125</v>
      </c>
      <c r="AH42" s="44">
        <v>250</v>
      </c>
      <c r="AI42" s="44">
        <v>500</v>
      </c>
      <c r="AJ42" s="44">
        <v>1000</v>
      </c>
      <c r="AK42" s="44">
        <v>2000</v>
      </c>
      <c r="AL42" s="44">
        <v>4000</v>
      </c>
      <c r="AM42" s="45">
        <v>8000</v>
      </c>
      <c r="AN42" t="s">
        <v>70</v>
      </c>
      <c r="AO42" t="s">
        <v>71</v>
      </c>
    </row>
    <row r="43" spans="21:42" x14ac:dyDescent="0.15">
      <c r="U43" s="10" t="s">
        <v>26</v>
      </c>
      <c r="V43" s="21"/>
      <c r="W43" s="49">
        <v>23</v>
      </c>
      <c r="X43" s="49">
        <v>6</v>
      </c>
      <c r="Y43" s="49">
        <v>3</v>
      </c>
      <c r="Z43" s="49">
        <v>-6</v>
      </c>
      <c r="AA43" s="49">
        <v>-16</v>
      </c>
      <c r="AB43" s="49">
        <v>-22</v>
      </c>
      <c r="AC43" s="49">
        <v>-30</v>
      </c>
      <c r="AD43" s="49">
        <v>-33</v>
      </c>
      <c r="AE43" s="39" t="s">
        <v>42</v>
      </c>
      <c r="AF43" s="53">
        <f>$W$5+W43</f>
        <v>72.966638054503562</v>
      </c>
      <c r="AG43" s="53">
        <f t="shared" ref="AG43:AM43" si="7">$W$5+X43</f>
        <v>55.966638054503562</v>
      </c>
      <c r="AH43" s="53">
        <f t="shared" si="7"/>
        <v>52.966638054503562</v>
      </c>
      <c r="AI43" s="53">
        <f t="shared" si="7"/>
        <v>43.966638054503562</v>
      </c>
      <c r="AJ43" s="53">
        <f t="shared" si="7"/>
        <v>33.966638054503562</v>
      </c>
      <c r="AK43" s="53">
        <f t="shared" si="7"/>
        <v>27.966638054503562</v>
      </c>
      <c r="AL43" s="53">
        <f t="shared" si="7"/>
        <v>19.966638054503562</v>
      </c>
      <c r="AM43" s="53">
        <f t="shared" si="7"/>
        <v>16.966638054503562</v>
      </c>
      <c r="AN43" s="5">
        <f t="array" ref="AN43">10*LOG10(SUM(10^(AF43:AM43/10)))</f>
        <v>73.100810741004437</v>
      </c>
      <c r="AO43" s="5">
        <f t="array" ref="AO43">10*LOG10(SUM(10^((AF43:AM43+AF46:AM46)/10)))</f>
        <v>49.997310544428274</v>
      </c>
      <c r="AP43" t="str">
        <f>IF(ABS(W5-AO43)&lt;0.5,"OK","Tarkista laskenta!")</f>
        <v>OK</v>
      </c>
    </row>
    <row r="44" spans="21:42" x14ac:dyDescent="0.15">
      <c r="U44" s="14" t="s">
        <v>29</v>
      </c>
      <c r="V44" s="26"/>
      <c r="W44" s="49">
        <v>21</v>
      </c>
      <c r="X44" s="49">
        <v>4</v>
      </c>
      <c r="Y44" s="49">
        <v>0</v>
      </c>
      <c r="Z44" s="49">
        <v>-3</v>
      </c>
      <c r="AA44" s="49">
        <v>-9</v>
      </c>
      <c r="AB44" s="49">
        <v>-11</v>
      </c>
      <c r="AC44" s="49">
        <v>-16</v>
      </c>
      <c r="AD44" s="49">
        <v>-24</v>
      </c>
      <c r="AE44" s="39" t="s">
        <v>43</v>
      </c>
      <c r="AF44" s="53">
        <f>$W$6+W44</f>
        <v>81.554075562111791</v>
      </c>
      <c r="AG44" s="53">
        <f t="shared" ref="AG44:AM44" si="8">$W$6+X44</f>
        <v>64.554075562111791</v>
      </c>
      <c r="AH44" s="53">
        <f t="shared" si="8"/>
        <v>60.554075562111798</v>
      </c>
      <c r="AI44" s="53">
        <f t="shared" si="8"/>
        <v>57.554075562111798</v>
      </c>
      <c r="AJ44" s="53">
        <f t="shared" si="8"/>
        <v>51.554075562111798</v>
      </c>
      <c r="AK44" s="53">
        <f t="shared" si="8"/>
        <v>49.554075562111798</v>
      </c>
      <c r="AL44" s="53">
        <f t="shared" si="8"/>
        <v>44.554075562111798</v>
      </c>
      <c r="AM44" s="53">
        <f t="shared" si="8"/>
        <v>36.554075562111798</v>
      </c>
      <c r="AN44" s="5">
        <f t="array" ref="AN44">10*LOG10(SUM(10^(AF44:AM44/10)))</f>
        <v>81.698184925789533</v>
      </c>
      <c r="AO44" s="5">
        <f t="array" ref="AO44">10*LOG10(SUM(10^((AF44:AM44+AF46:AM46)/10)))</f>
        <v>60.583916794851035</v>
      </c>
      <c r="AP44" t="str">
        <f>IF(ABS(W6-AO44)&lt;0.5,"OK","Tarkista laskenta!")</f>
        <v>OK</v>
      </c>
    </row>
    <row r="46" spans="21:42" x14ac:dyDescent="0.15">
      <c r="AF46" s="73">
        <v>-26.2</v>
      </c>
      <c r="AG46" s="73">
        <v>-16.100000000000001</v>
      </c>
      <c r="AH46" s="73">
        <v>-8.6</v>
      </c>
      <c r="AI46" s="73">
        <v>-3.2</v>
      </c>
      <c r="AJ46" s="73">
        <v>0</v>
      </c>
      <c r="AK46" s="73">
        <v>1.2</v>
      </c>
      <c r="AL46" s="73">
        <v>1</v>
      </c>
      <c r="AM46" s="73">
        <v>-1.1000000000000001</v>
      </c>
    </row>
    <row r="49" spans="3:26" x14ac:dyDescent="0.15">
      <c r="W49" t="s">
        <v>50</v>
      </c>
    </row>
    <row r="50" spans="3:26" x14ac:dyDescent="0.15">
      <c r="X50" s="4" t="s">
        <v>4</v>
      </c>
      <c r="Y50" s="4" t="s">
        <v>5</v>
      </c>
      <c r="Z50" s="4" t="s">
        <v>6</v>
      </c>
    </row>
    <row r="51" spans="3:26" x14ac:dyDescent="0.15">
      <c r="W51" t="s">
        <v>3</v>
      </c>
      <c r="X51" s="54">
        <f t="array" ref="X51:Z51">LINEST(Y59:Y65,X59:X65^{1,2})</f>
        <v>-2.0231098860687587E-3</v>
      </c>
      <c r="Y51" s="54">
        <v>0.98155588131709259</v>
      </c>
      <c r="Z51" s="54">
        <v>36.332905327630492</v>
      </c>
    </row>
    <row r="52" spans="3:26" x14ac:dyDescent="0.15">
      <c r="W52" t="s">
        <v>9</v>
      </c>
      <c r="X52" s="54">
        <f t="array" ref="X52:Z52">LINEST(Y67:Y73,X67:X73^{1,2})</f>
        <v>-3.4459913539103392E-3</v>
      </c>
      <c r="Y52" s="54">
        <v>1.0151910704779696</v>
      </c>
      <c r="Z52" s="54">
        <v>18.576162031138701</v>
      </c>
    </row>
    <row r="53" spans="3:26" x14ac:dyDescent="0.15">
      <c r="W53" t="s">
        <v>10</v>
      </c>
      <c r="X53" s="54">
        <f t="array" ref="X53:Z53">LINEST(Y75:Y81,X75:X81^{1,2})</f>
        <v>1.059869318974052E-3</v>
      </c>
      <c r="Y53" s="54">
        <v>0.20072896972064355</v>
      </c>
      <c r="Z53" s="54">
        <v>11.89372139850021</v>
      </c>
    </row>
    <row r="54" spans="3:26" x14ac:dyDescent="0.15">
      <c r="W54" t="s">
        <v>12</v>
      </c>
      <c r="X54" s="54">
        <f t="array" ref="X54:Z54">LINEST(Y83:Y89,X83:X89^{1,2})</f>
        <v>1.9762401886598813E-3</v>
      </c>
      <c r="Y54" s="54">
        <v>6.0953198401276498E-3</v>
      </c>
      <c r="Z54" s="54">
        <v>5.7284660528180602</v>
      </c>
    </row>
    <row r="56" spans="3:26" x14ac:dyDescent="0.15">
      <c r="C56" s="2" t="s">
        <v>45</v>
      </c>
    </row>
    <row r="57" spans="3:26" x14ac:dyDescent="0.15">
      <c r="C57" s="23" t="s">
        <v>26</v>
      </c>
      <c r="D57" s="22"/>
      <c r="E57" s="22"/>
      <c r="F57" s="22"/>
      <c r="G57" s="22"/>
      <c r="H57" s="40" t="s">
        <v>46</v>
      </c>
      <c r="I57" s="22"/>
      <c r="J57" s="22"/>
      <c r="K57" s="21"/>
      <c r="M57" s="23" t="s">
        <v>29</v>
      </c>
      <c r="N57" s="22"/>
      <c r="O57" s="22"/>
      <c r="P57" s="22"/>
      <c r="Q57" s="22"/>
      <c r="R57" s="40" t="s">
        <v>46</v>
      </c>
      <c r="S57" s="22"/>
      <c r="T57" s="21"/>
      <c r="W57" s="2" t="s">
        <v>48</v>
      </c>
    </row>
    <row r="58" spans="3:26" x14ac:dyDescent="0.15">
      <c r="C58" s="12"/>
      <c r="D58" s="16" t="s">
        <v>13</v>
      </c>
      <c r="E58" s="41" t="s">
        <v>27</v>
      </c>
      <c r="F58" s="11" t="s">
        <v>47</v>
      </c>
      <c r="H58" t="s">
        <v>32</v>
      </c>
      <c r="K58" s="24"/>
      <c r="M58" s="12"/>
      <c r="N58" s="16" t="s">
        <v>13</v>
      </c>
      <c r="O58" s="41" t="s">
        <v>27</v>
      </c>
      <c r="P58" s="11" t="s">
        <v>47</v>
      </c>
      <c r="R58" t="s">
        <v>33</v>
      </c>
      <c r="T58" s="24"/>
      <c r="W58" s="10"/>
      <c r="X58" s="16" t="s">
        <v>13</v>
      </c>
      <c r="Y58" s="11" t="s">
        <v>49</v>
      </c>
    </row>
    <row r="59" spans="3:26" x14ac:dyDescent="0.15">
      <c r="C59" s="10" t="s">
        <v>3</v>
      </c>
      <c r="D59" s="67">
        <v>96.723636363636345</v>
      </c>
      <c r="E59" s="68">
        <v>60.599066890970008</v>
      </c>
      <c r="F59" s="69">
        <v>113.27948964249916</v>
      </c>
      <c r="H59" t="s">
        <v>4</v>
      </c>
      <c r="I59" t="s">
        <v>5</v>
      </c>
      <c r="K59" s="24"/>
      <c r="M59" s="10" t="s">
        <v>3</v>
      </c>
      <c r="N59" s="67">
        <v>100.80833333333335</v>
      </c>
      <c r="O59" s="68">
        <v>73.463084655756148</v>
      </c>
      <c r="P59" s="69">
        <v>113.65438305372545</v>
      </c>
      <c r="R59" t="s">
        <v>4</v>
      </c>
      <c r="S59" t="s">
        <v>5</v>
      </c>
      <c r="T59" s="24" t="s">
        <v>6</v>
      </c>
      <c r="W59" s="10" t="s">
        <v>3</v>
      </c>
      <c r="X59" s="19">
        <f>D59</f>
        <v>96.723636363636345</v>
      </c>
      <c r="Y59" s="20">
        <f>F59</f>
        <v>113.27948964249916</v>
      </c>
    </row>
    <row r="60" spans="3:26" x14ac:dyDescent="0.15">
      <c r="C60" s="12"/>
      <c r="D60" s="67">
        <v>80.354545454545459</v>
      </c>
      <c r="E60" s="68">
        <v>61.362739164604648</v>
      </c>
      <c r="F60" s="69">
        <v>102.87442469929833</v>
      </c>
      <c r="H60" s="2">
        <f t="array" ref="H60:I60">LINEST(E59:E62,D59:D62)</f>
        <v>-4.0951820359822956E-2</v>
      </c>
      <c r="I60" s="2">
        <v>64.579267759781956</v>
      </c>
      <c r="K60" s="24"/>
      <c r="M60" s="12"/>
      <c r="N60" s="67">
        <v>84.36272727272727</v>
      </c>
      <c r="O60" s="68">
        <v>72.844325501453028</v>
      </c>
      <c r="P60" s="69">
        <v>104.87036922149747</v>
      </c>
      <c r="R60" s="2">
        <f t="array" ref="R60:T60">LINEST(O59:O62,N59:N62^{1,2})</f>
        <v>2.0059070272867075E-3</v>
      </c>
      <c r="S60" s="2">
        <v>-0.332497384000217</v>
      </c>
      <c r="T60" s="27">
        <v>86.602567196929783</v>
      </c>
      <c r="W60" s="12"/>
      <c r="X60" s="17">
        <f t="shared" ref="X60" si="9">D60</f>
        <v>80.354545454545459</v>
      </c>
      <c r="Y60" s="13">
        <f>F60</f>
        <v>102.87442469929833</v>
      </c>
    </row>
    <row r="61" spans="3:26" x14ac:dyDescent="0.15">
      <c r="C61" s="12"/>
      <c r="D61" s="67">
        <v>63.446363636363643</v>
      </c>
      <c r="E61" s="68">
        <v>61.896602572706271</v>
      </c>
      <c r="F61" s="69">
        <v>83.349675561449914</v>
      </c>
      <c r="K61" s="24"/>
      <c r="M61" s="12"/>
      <c r="N61" s="67">
        <v>66.019090909090906</v>
      </c>
      <c r="O61" s="68">
        <v>73.377484864511445</v>
      </c>
      <c r="P61" s="69">
        <v>91.726942216503261</v>
      </c>
      <c r="T61" s="24"/>
      <c r="W61" s="12"/>
      <c r="X61" s="17">
        <f>D62</f>
        <v>42.587272727272719</v>
      </c>
      <c r="Y61" s="13">
        <f>F62</f>
        <v>75.245481502293231</v>
      </c>
    </row>
    <row r="62" spans="3:26" x14ac:dyDescent="0.15">
      <c r="C62" s="14"/>
      <c r="D62" s="67">
        <v>42.587272727272719</v>
      </c>
      <c r="E62" s="68">
        <v>62.864718090922231</v>
      </c>
      <c r="F62" s="69">
        <v>75.245481502293231</v>
      </c>
      <c r="K62" s="24"/>
      <c r="M62" s="14"/>
      <c r="N62" s="67">
        <v>50.885454545454543</v>
      </c>
      <c r="O62" s="68">
        <v>74.883615288580316</v>
      </c>
      <c r="P62" s="69">
        <v>80.123569584691879</v>
      </c>
      <c r="T62" s="24"/>
      <c r="W62" s="12"/>
      <c r="X62" s="17">
        <f>N59</f>
        <v>100.80833333333335</v>
      </c>
      <c r="Y62" s="13">
        <f>P59</f>
        <v>113.65438305372545</v>
      </c>
    </row>
    <row r="63" spans="3:26" x14ac:dyDescent="0.15">
      <c r="C63" s="12"/>
      <c r="D63" s="17"/>
      <c r="E63" s="42"/>
      <c r="F63" s="13"/>
      <c r="K63" s="24"/>
      <c r="M63" s="12"/>
      <c r="N63" s="17"/>
      <c r="O63" s="42"/>
      <c r="P63" s="13"/>
      <c r="T63" s="24"/>
      <c r="W63" s="12"/>
      <c r="X63" s="17">
        <f>N60</f>
        <v>84.36272727272727</v>
      </c>
      <c r="Y63" s="13">
        <f>P60</f>
        <v>104.87036922149747</v>
      </c>
    </row>
    <row r="64" spans="3:26" x14ac:dyDescent="0.15">
      <c r="C64" s="10" t="s">
        <v>30</v>
      </c>
      <c r="D64" s="67">
        <v>82.99727272727273</v>
      </c>
      <c r="E64" s="68">
        <v>59.138026796221006</v>
      </c>
      <c r="F64" s="69">
        <v>78.255958790207444</v>
      </c>
      <c r="H64" t="s">
        <v>4</v>
      </c>
      <c r="I64" t="s">
        <v>5</v>
      </c>
      <c r="K64" s="24"/>
      <c r="M64" s="10" t="s">
        <v>30</v>
      </c>
      <c r="N64" s="67">
        <v>89.261428571428567</v>
      </c>
      <c r="O64" s="68">
        <v>70.897854605553789</v>
      </c>
      <c r="P64" s="69">
        <v>81.810295802939748</v>
      </c>
      <c r="R64" t="s">
        <v>4</v>
      </c>
      <c r="S64" t="s">
        <v>5</v>
      </c>
      <c r="T64" s="24" t="s">
        <v>6</v>
      </c>
      <c r="W64" s="12"/>
      <c r="X64" s="17">
        <f>N61</f>
        <v>66.019090909090906</v>
      </c>
      <c r="Y64" s="13">
        <f>P61</f>
        <v>91.726942216503261</v>
      </c>
    </row>
    <row r="65" spans="3:25" x14ac:dyDescent="0.15">
      <c r="C65" s="12"/>
      <c r="D65" s="67">
        <v>70.897272727272721</v>
      </c>
      <c r="E65" s="68">
        <v>59.317875533330209</v>
      </c>
      <c r="F65" s="69">
        <v>72.802553211280866</v>
      </c>
      <c r="H65" s="2">
        <f t="array" ref="H65:I65">LINEST(E64:E67,D64:D67)</f>
        <v>-3.3241298187670444E-2</v>
      </c>
      <c r="I65" s="2">
        <v>61.746196917602482</v>
      </c>
      <c r="K65" s="24"/>
      <c r="M65" s="12"/>
      <c r="N65" s="67">
        <v>74.599090909090918</v>
      </c>
      <c r="O65" s="68">
        <v>70.710057546995316</v>
      </c>
      <c r="P65" s="69">
        <v>76.627890610641956</v>
      </c>
      <c r="R65" s="2">
        <f t="array" ref="R65:T65">LINEST(O64:O67,N64:N67^{1,2})</f>
        <v>2.2925201254309843E-3</v>
      </c>
      <c r="S65" s="2">
        <v>-0.33950166700790002</v>
      </c>
      <c r="T65" s="27">
        <v>83.02752531842178</v>
      </c>
      <c r="W65" s="14"/>
      <c r="X65" s="18">
        <f>N62</f>
        <v>50.885454545454543</v>
      </c>
      <c r="Y65" s="15">
        <f>P62</f>
        <v>80.123569584691879</v>
      </c>
    </row>
    <row r="66" spans="3:25" x14ac:dyDescent="0.15">
      <c r="C66" s="12"/>
      <c r="D66" s="67">
        <v>54.980909090909087</v>
      </c>
      <c r="E66" s="68">
        <v>59.664136609223121</v>
      </c>
      <c r="F66" s="69">
        <v>56.467153435229974</v>
      </c>
      <c r="K66" s="24"/>
      <c r="M66" s="12"/>
      <c r="N66" s="67">
        <v>57.18545454545454</v>
      </c>
      <c r="O66" s="68">
        <v>70.830937471938014</v>
      </c>
      <c r="P66" s="69">
        <v>65.407494463167055</v>
      </c>
      <c r="T66" s="24"/>
      <c r="W66" s="12"/>
      <c r="X66" s="16" t="s">
        <v>13</v>
      </c>
      <c r="Y66" s="11" t="s">
        <v>49</v>
      </c>
    </row>
    <row r="67" spans="3:25" x14ac:dyDescent="0.15">
      <c r="C67" s="14"/>
      <c r="D67" s="67">
        <v>37.382727272727273</v>
      </c>
      <c r="E67" s="68">
        <v>60.67880707866388</v>
      </c>
      <c r="F67" s="69">
        <v>52.379014670595019</v>
      </c>
      <c r="K67" s="24"/>
      <c r="M67" s="14"/>
      <c r="N67" s="67">
        <v>45.010909090909095</v>
      </c>
      <c r="O67" s="68">
        <v>72.509865191750777</v>
      </c>
      <c r="P67" s="69">
        <v>56.273097889950385</v>
      </c>
      <c r="T67" s="24"/>
      <c r="W67" s="10" t="s">
        <v>9</v>
      </c>
      <c r="X67" s="19">
        <f>D64</f>
        <v>82.99727272727273</v>
      </c>
      <c r="Y67" s="20">
        <f>F64</f>
        <v>78.255958790207444</v>
      </c>
    </row>
    <row r="68" spans="3:25" x14ac:dyDescent="0.15">
      <c r="C68" s="12"/>
      <c r="D68" s="17"/>
      <c r="E68" s="42"/>
      <c r="F68" s="24"/>
      <c r="K68" s="24"/>
      <c r="M68" s="12"/>
      <c r="N68" s="17"/>
      <c r="O68" s="42"/>
      <c r="P68" s="13"/>
      <c r="T68" s="24"/>
      <c r="W68" s="12"/>
      <c r="X68" s="17">
        <f t="shared" ref="X68" si="10">D65</f>
        <v>70.897272727272721</v>
      </c>
      <c r="Y68" s="13">
        <f t="shared" ref="Y68" si="11">F65</f>
        <v>72.802553211280866</v>
      </c>
    </row>
    <row r="69" spans="3:25" x14ac:dyDescent="0.15">
      <c r="C69" s="10" t="s">
        <v>10</v>
      </c>
      <c r="D69" s="67">
        <v>52.310909090909099</v>
      </c>
      <c r="E69" s="68">
        <v>50.94529100608618</v>
      </c>
      <c r="F69" s="69">
        <v>25.325845818272938</v>
      </c>
      <c r="H69" t="s">
        <v>4</v>
      </c>
      <c r="I69" t="s">
        <v>5</v>
      </c>
      <c r="J69" t="s">
        <v>6</v>
      </c>
      <c r="K69" s="24"/>
      <c r="M69" s="10" t="s">
        <v>10</v>
      </c>
      <c r="N69" s="67">
        <v>54.800000000000018</v>
      </c>
      <c r="O69" s="68">
        <v>61.425878439568542</v>
      </c>
      <c r="P69" s="69">
        <v>25.952768140673616</v>
      </c>
      <c r="R69" t="s">
        <v>4</v>
      </c>
      <c r="S69" t="s">
        <v>5</v>
      </c>
      <c r="T69" s="24" t="s">
        <v>6</v>
      </c>
      <c r="W69" s="12"/>
      <c r="X69" s="17">
        <f>D67</f>
        <v>37.382727272727273</v>
      </c>
      <c r="Y69" s="13">
        <f>F67</f>
        <v>52.379014670595019</v>
      </c>
    </row>
    <row r="70" spans="3:25" x14ac:dyDescent="0.15">
      <c r="C70" s="12"/>
      <c r="D70" s="67">
        <v>45.190909090909088</v>
      </c>
      <c r="E70" s="68">
        <v>50.931209616046694</v>
      </c>
      <c r="F70" s="69">
        <v>22.775988006105152</v>
      </c>
      <c r="H70" s="2">
        <f t="array" ref="H70:J70">LINEST(E69:E72,D69:D72^{1,2})</f>
        <v>-1.0142167228149672E-3</v>
      </c>
      <c r="I70" s="2">
        <v>6.4609006666790328E-2</v>
      </c>
      <c r="J70" s="2">
        <v>50.259098815219552</v>
      </c>
      <c r="K70" s="24"/>
      <c r="M70" s="12"/>
      <c r="N70" s="67">
        <v>46.856363636363632</v>
      </c>
      <c r="O70" s="68">
        <v>61.425103707020618</v>
      </c>
      <c r="P70" s="69">
        <v>24.143815384871559</v>
      </c>
      <c r="R70" s="2">
        <f t="array" ref="R70:T70">LINEST(O69:O72,N69:N72^{1,2})</f>
        <v>-1.084947951295763E-3</v>
      </c>
      <c r="S70" s="2">
        <v>7.5669240483334399E-2</v>
      </c>
      <c r="T70" s="27">
        <v>60.457883421075657</v>
      </c>
      <c r="W70" s="12"/>
      <c r="X70" s="17">
        <f>N64</f>
        <v>89.261428571428567</v>
      </c>
      <c r="Y70" s="13">
        <f>P64</f>
        <v>81.810295802939748</v>
      </c>
    </row>
    <row r="71" spans="3:25" x14ac:dyDescent="0.15">
      <c r="C71" s="12"/>
      <c r="D71" s="67">
        <v>33.940000000000005</v>
      </c>
      <c r="E71" s="68">
        <v>51.422351987256611</v>
      </c>
      <c r="F71" s="69">
        <v>18.165718058774672</v>
      </c>
      <c r="K71" s="24"/>
      <c r="M71" s="12"/>
      <c r="N71" s="67">
        <v>36.492727272727272</v>
      </c>
      <c r="O71" s="68">
        <v>61.951981129231115</v>
      </c>
      <c r="P71" s="69">
        <v>20.500649722172916</v>
      </c>
      <c r="T71" s="24"/>
      <c r="W71" s="12"/>
      <c r="X71" s="17">
        <f>N65</f>
        <v>74.599090909090918</v>
      </c>
      <c r="Y71" s="13">
        <f>P65</f>
        <v>76.627890610641956</v>
      </c>
    </row>
    <row r="72" spans="3:25" x14ac:dyDescent="0.15">
      <c r="C72" s="14"/>
      <c r="D72" s="67">
        <v>23.01</v>
      </c>
      <c r="E72" s="68">
        <v>51.164647526699852</v>
      </c>
      <c r="F72" s="69">
        <v>17.067596645961789</v>
      </c>
      <c r="K72" s="24"/>
      <c r="M72" s="14"/>
      <c r="N72" s="67">
        <v>26.934545454545454</v>
      </c>
      <c r="O72" s="68">
        <v>61.648215190594982</v>
      </c>
      <c r="P72" s="69">
        <v>18.132714267956356</v>
      </c>
      <c r="T72" s="24"/>
      <c r="W72" s="12"/>
      <c r="X72" s="17">
        <f>N66</f>
        <v>57.18545454545454</v>
      </c>
      <c r="Y72" s="13">
        <f>P66</f>
        <v>65.407494463167055</v>
      </c>
    </row>
    <row r="73" spans="3:25" x14ac:dyDescent="0.15">
      <c r="C73" s="12"/>
      <c r="D73" s="17"/>
      <c r="E73" s="42"/>
      <c r="F73" s="13"/>
      <c r="K73" s="24"/>
      <c r="M73" s="12"/>
      <c r="N73" s="17"/>
      <c r="O73" s="42"/>
      <c r="P73" s="13"/>
      <c r="T73" s="24"/>
      <c r="W73" s="14"/>
      <c r="X73" s="18">
        <f>N67</f>
        <v>45.010909090909095</v>
      </c>
      <c r="Y73" s="15">
        <f>P67</f>
        <v>56.273097889950385</v>
      </c>
    </row>
    <row r="74" spans="3:25" x14ac:dyDescent="0.15">
      <c r="C74" s="10" t="s">
        <v>12</v>
      </c>
      <c r="D74" s="67">
        <v>26.16090909090909</v>
      </c>
      <c r="E74" s="68">
        <v>39.950577720506828</v>
      </c>
      <c r="F74" s="69">
        <v>7.1297314567323751</v>
      </c>
      <c r="H74" t="s">
        <v>4</v>
      </c>
      <c r="I74" t="s">
        <v>5</v>
      </c>
      <c r="J74" t="s">
        <v>6</v>
      </c>
      <c r="K74" s="24"/>
      <c r="M74" s="10" t="s">
        <v>12</v>
      </c>
      <c r="N74" s="67">
        <v>26.427857142857146</v>
      </c>
      <c r="O74" s="68">
        <v>50.527020875026068</v>
      </c>
      <c r="P74" s="69">
        <v>7.2464039897962467</v>
      </c>
      <c r="R74" t="s">
        <v>4</v>
      </c>
      <c r="S74" t="s">
        <v>5</v>
      </c>
      <c r="T74" s="24" t="s">
        <v>6</v>
      </c>
      <c r="W74" s="12"/>
      <c r="X74" s="16" t="s">
        <v>13</v>
      </c>
      <c r="Y74" s="11" t="s">
        <v>49</v>
      </c>
    </row>
    <row r="75" spans="3:25" x14ac:dyDescent="0.15">
      <c r="C75" s="12"/>
      <c r="D75" s="67">
        <v>23.122727272727271</v>
      </c>
      <c r="E75" s="68">
        <v>40.891244214226447</v>
      </c>
      <c r="F75" s="69">
        <v>7.1955342389818666</v>
      </c>
      <c r="H75" s="2">
        <f t="array" ref="H75:J75">LINEST(E74:E77,D74:D77^{1,2})</f>
        <v>-2.775240017932579E-2</v>
      </c>
      <c r="I75" s="2">
        <v>1.079841467966675</v>
      </c>
      <c r="J75" s="2">
        <v>30.715999420288853</v>
      </c>
      <c r="K75" s="24"/>
      <c r="M75" s="12"/>
      <c r="N75" s="67">
        <v>23.416363636363634</v>
      </c>
      <c r="O75" s="68">
        <v>50.680435128406216</v>
      </c>
      <c r="P75" s="69">
        <v>6.9733060287072117</v>
      </c>
      <c r="R75" s="2">
        <f t="array" ref="R75:T75">LINEST(O74:O77,N74:N77^{1,2})</f>
        <v>-5.7281961522839151E-3</v>
      </c>
      <c r="S75" s="2">
        <v>0.13956611470695213</v>
      </c>
      <c r="T75" s="27">
        <v>50.746588062673041</v>
      </c>
      <c r="W75" s="10" t="s">
        <v>10</v>
      </c>
      <c r="X75" s="19">
        <f>D69</f>
        <v>52.310909090909099</v>
      </c>
      <c r="Y75" s="20">
        <f>F69</f>
        <v>25.325845818272938</v>
      </c>
    </row>
    <row r="76" spans="3:25" x14ac:dyDescent="0.15">
      <c r="C76" s="12"/>
      <c r="D76" s="67">
        <v>18.288181818181819</v>
      </c>
      <c r="E76" s="68">
        <v>41.152225282467427</v>
      </c>
      <c r="F76" s="69">
        <v>6.0547261318075511</v>
      </c>
      <c r="K76" s="24"/>
      <c r="M76" s="12"/>
      <c r="N76" s="67">
        <v>18.350000000000001</v>
      </c>
      <c r="O76" s="68">
        <v>51.5281753279952</v>
      </c>
      <c r="P76" s="69">
        <v>6.7232744090643006</v>
      </c>
      <c r="T76" s="24"/>
      <c r="W76" s="12"/>
      <c r="X76" s="17">
        <f t="shared" ref="X76" si="12">D70</f>
        <v>45.190909090909088</v>
      </c>
      <c r="Y76" s="13">
        <f>F70</f>
        <v>22.775988006105152</v>
      </c>
    </row>
    <row r="77" spans="3:25" x14ac:dyDescent="0.15">
      <c r="C77" s="14"/>
      <c r="D77" s="70">
        <v>11.878181818181817</v>
      </c>
      <c r="E77" s="71">
        <v>39.634068965353691</v>
      </c>
      <c r="F77" s="72">
        <v>6.0735968016280397</v>
      </c>
      <c r="G77" s="25"/>
      <c r="H77" s="25"/>
      <c r="I77" s="25"/>
      <c r="J77" s="25"/>
      <c r="K77" s="26"/>
      <c r="M77" s="14"/>
      <c r="N77" s="70">
        <v>13.623636363636363</v>
      </c>
      <c r="O77" s="71">
        <v>51.53606298607442</v>
      </c>
      <c r="P77" s="72">
        <v>6.2531096612725054</v>
      </c>
      <c r="Q77" s="25"/>
      <c r="R77" s="25"/>
      <c r="S77" s="25"/>
      <c r="T77" s="26"/>
      <c r="W77" s="12"/>
      <c r="X77" s="17">
        <f>D72</f>
        <v>23.01</v>
      </c>
      <c r="Y77" s="13">
        <f>F72</f>
        <v>17.067596645961789</v>
      </c>
    </row>
    <row r="78" spans="3:25" x14ac:dyDescent="0.15">
      <c r="W78" s="12"/>
      <c r="X78" s="17">
        <f>N69</f>
        <v>54.800000000000018</v>
      </c>
      <c r="Y78" s="13">
        <f>P69</f>
        <v>25.952768140673616</v>
      </c>
    </row>
    <row r="79" spans="3:25" x14ac:dyDescent="0.15">
      <c r="F79" s="5"/>
      <c r="W79" s="12"/>
      <c r="X79" s="17">
        <f>N70</f>
        <v>46.856363636363632</v>
      </c>
      <c r="Y79" s="13">
        <f>P70</f>
        <v>24.143815384871559</v>
      </c>
    </row>
    <row r="80" spans="3:25" x14ac:dyDescent="0.15">
      <c r="F80" s="5"/>
      <c r="W80" s="12"/>
      <c r="X80" s="17">
        <f>N71</f>
        <v>36.492727272727272</v>
      </c>
      <c r="Y80" s="13">
        <f>P71</f>
        <v>20.500649722172916</v>
      </c>
    </row>
    <row r="81" spans="6:25" x14ac:dyDescent="0.15">
      <c r="F81" s="5"/>
      <c r="W81" s="14"/>
      <c r="X81" s="18">
        <f>N72</f>
        <v>26.934545454545454</v>
      </c>
      <c r="Y81" s="15">
        <f>P72</f>
        <v>18.132714267956356</v>
      </c>
    </row>
    <row r="82" spans="6:25" x14ac:dyDescent="0.15">
      <c r="F82" s="5"/>
      <c r="W82" s="12"/>
      <c r="X82" s="16" t="s">
        <v>13</v>
      </c>
      <c r="Y82" s="11" t="s">
        <v>49</v>
      </c>
    </row>
    <row r="83" spans="6:25" x14ac:dyDescent="0.15">
      <c r="W83" s="10" t="s">
        <v>12</v>
      </c>
      <c r="X83" s="19">
        <f>D74</f>
        <v>26.16090909090909</v>
      </c>
      <c r="Y83" s="20">
        <f>F74</f>
        <v>7.1297314567323751</v>
      </c>
    </row>
    <row r="84" spans="6:25" x14ac:dyDescent="0.15">
      <c r="W84" s="12"/>
      <c r="X84" s="17">
        <f t="shared" ref="X84:X85" si="13">D75</f>
        <v>23.122727272727271</v>
      </c>
      <c r="Y84" s="13">
        <f>F75</f>
        <v>7.1955342389818666</v>
      </c>
    </row>
    <row r="85" spans="6:25" x14ac:dyDescent="0.15">
      <c r="W85" s="12"/>
      <c r="X85" s="17">
        <f t="shared" si="13"/>
        <v>18.288181818181819</v>
      </c>
      <c r="Y85" s="13">
        <f>F76</f>
        <v>6.0547261318075511</v>
      </c>
    </row>
    <row r="86" spans="6:25" x14ac:dyDescent="0.15">
      <c r="W86" s="12"/>
      <c r="X86" s="17">
        <f>N74</f>
        <v>26.427857142857146</v>
      </c>
      <c r="Y86" s="13">
        <f>P74</f>
        <v>7.2464039897962467</v>
      </c>
    </row>
    <row r="87" spans="6:25" x14ac:dyDescent="0.15">
      <c r="F87" s="5"/>
      <c r="W87" s="12"/>
      <c r="X87" s="17">
        <f t="shared" ref="X87:X89" si="14">N75</f>
        <v>23.416363636363634</v>
      </c>
      <c r="Y87" s="13">
        <f>P75</f>
        <v>6.9733060287072117</v>
      </c>
    </row>
    <row r="88" spans="6:25" x14ac:dyDescent="0.15">
      <c r="F88" s="5"/>
      <c r="W88" s="12"/>
      <c r="X88" s="17">
        <f t="shared" si="14"/>
        <v>18.350000000000001</v>
      </c>
      <c r="Y88" s="13">
        <f>P76</f>
        <v>6.7232744090643006</v>
      </c>
    </row>
    <row r="89" spans="6:25" x14ac:dyDescent="0.15">
      <c r="F89" s="5"/>
      <c r="W89" s="14"/>
      <c r="X89" s="18">
        <f t="shared" si="14"/>
        <v>13.623636363636363</v>
      </c>
      <c r="Y89" s="15">
        <f>P77</f>
        <v>6.2531096612725054</v>
      </c>
    </row>
    <row r="90" spans="6:25" x14ac:dyDescent="0.15">
      <c r="F90" s="5"/>
    </row>
    <row r="91" spans="6:25" x14ac:dyDescent="0.15">
      <c r="F91" s="5"/>
    </row>
    <row r="92" spans="6:25" x14ac:dyDescent="0.15">
      <c r="F92" s="5"/>
    </row>
    <row r="93" spans="6:25" x14ac:dyDescent="0.15">
      <c r="F93" s="5"/>
    </row>
    <row r="94" spans="6:25" x14ac:dyDescent="0.15">
      <c r="F94" s="5"/>
    </row>
    <row r="95" spans="6:25" x14ac:dyDescent="0.15">
      <c r="F95" s="5"/>
    </row>
    <row r="96" spans="6:25" x14ac:dyDescent="0.15">
      <c r="F96" s="5"/>
    </row>
    <row r="97" spans="6:6" x14ac:dyDescent="0.15">
      <c r="F97" s="5"/>
    </row>
    <row r="98" spans="6:6" x14ac:dyDescent="0.15">
      <c r="F98" s="5"/>
    </row>
    <row r="99" spans="6:6" x14ac:dyDescent="0.15">
      <c r="F99" s="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1</vt:i4>
      </vt:variant>
    </vt:vector>
  </HeadingPairs>
  <TitlesOfParts>
    <vt:vector size="35" baseType="lpstr">
      <vt:lpstr>Tulostus</vt:lpstr>
      <vt:lpstr>Kirjasto</vt:lpstr>
      <vt:lpstr>Tulokset</vt:lpstr>
      <vt:lpstr>SEC-laskenta</vt:lpstr>
      <vt:lpstr>Kojeet ja kennon hyötysuhde</vt:lpstr>
      <vt:lpstr>Laskenta tulopuoli 130</vt:lpstr>
      <vt:lpstr>Laskenta poistopuoli 130</vt:lpstr>
      <vt:lpstr>Laskenta vaipan läpi 130</vt:lpstr>
      <vt:lpstr>Laskenta tulopuoli 60</vt:lpstr>
      <vt:lpstr>Laskenta poistopuoli 60</vt:lpstr>
      <vt:lpstr>Laskenta keittiöohitus</vt:lpstr>
      <vt:lpstr>Laskenta vaipan läpi 60</vt:lpstr>
      <vt:lpstr>Laskenta tulopuoli 250</vt:lpstr>
      <vt:lpstr>Laskenta poistopuoli 250</vt:lpstr>
      <vt:lpstr>Laskenta vaipan läpi 250</vt:lpstr>
      <vt:lpstr>Laskenta vesipatteri 250</vt:lpstr>
      <vt:lpstr>Laskenta tulopuoli 350</vt:lpstr>
      <vt:lpstr>Laskenta poistopuoli 350</vt:lpstr>
      <vt:lpstr>Laskenta vaipan läpi 350</vt:lpstr>
      <vt:lpstr>Laskenta vesipatteri 350</vt:lpstr>
      <vt:lpstr>Laskenta tulopuoli 100</vt:lpstr>
      <vt:lpstr>Laskenta poistopuoli 100</vt:lpstr>
      <vt:lpstr>Laskenta vaipan läpi 100</vt:lpstr>
      <vt:lpstr>Laskenta tulopuoli 150</vt:lpstr>
      <vt:lpstr>Laskenta poistopuoli 150</vt:lpstr>
      <vt:lpstr>Laskenta vaipan läpi 150</vt:lpstr>
      <vt:lpstr>Säädata</vt:lpstr>
      <vt:lpstr>Laskenta_vuosihyötysuhde</vt:lpstr>
      <vt:lpstr>Kirjasto (maat)</vt:lpstr>
      <vt:lpstr>Kirjasto (kaupungit)</vt:lpstr>
      <vt:lpstr>Syötä maat KIRJASTOLINKIT!</vt:lpstr>
      <vt:lpstr>Syötä kaupungit KIRJASTOLINKIT!</vt:lpstr>
      <vt:lpstr>Syötä pysyvyyskäyrät</vt:lpstr>
      <vt:lpstr>Muutoslogi</vt:lpstr>
      <vt:lpstr>Tulostus!Print_Area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2025-03-03T13:58:12Z</dcterms:modified>
</cp:coreProperties>
</file>